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O78" i="14"/>
  <c r="O9" i="55"/>
  <c r="N78" i="14"/>
  <c r="N9" i="55"/>
  <c r="L90" i="14"/>
  <c r="H90"/>
  <c r="P32" i="48"/>
  <c r="K22" i="14"/>
  <c r="D22"/>
  <c r="L22"/>
  <c r="G10" i="55"/>
  <c r="L20"/>
  <c r="P31" i="48"/>
  <c r="D14"/>
  <c r="C101" i="18"/>
  <c r="F76" i="14"/>
  <c r="K20" i="55"/>
  <c r="B14" i="48"/>
  <c r="Q14" s="1"/>
  <c r="F101" i="18"/>
  <c r="I8" s="1"/>
  <c r="G78" i="14"/>
  <c r="G9" i="55"/>
  <c r="C77" i="14"/>
  <c r="C9" i="55" s="1"/>
  <c r="F9"/>
  <c r="M90" i="14"/>
  <c r="M17" i="55"/>
  <c r="M20" s="1"/>
  <c r="F90" i="14"/>
  <c r="F18" i="55"/>
  <c r="F20" s="1"/>
  <c r="N90" i="14"/>
  <c r="N18" i="55"/>
  <c r="N20" s="1"/>
  <c r="E90" i="14"/>
  <c r="E18" i="55"/>
  <c r="E20"/>
  <c r="O20"/>
  <c r="R9" i="14"/>
  <c r="O10" i="55"/>
  <c r="H20"/>
  <c r="P24" i="48"/>
  <c r="B101" i="18"/>
  <c r="C8" s="1"/>
  <c r="D76" i="14" s="1"/>
  <c r="M22"/>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Q78" l="1"/>
  <c r="B9" i="6" s="1"/>
  <c r="P9" i="55"/>
  <c r="P10" s="1"/>
  <c r="Q76" i="14"/>
  <c r="P8" i="55" s="1"/>
  <c r="D8"/>
  <c r="D10" s="1"/>
  <c r="F8"/>
  <c r="F10" s="1"/>
  <c r="F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C90" i="14"/>
  <c r="C17" i="55"/>
  <c r="C20" s="1"/>
  <c r="H5" i="48"/>
  <c r="I10" i="14"/>
  <c r="I16" s="1"/>
  <c r="G5" i="48"/>
  <c r="H10" i="14"/>
  <c r="H16" s="1"/>
  <c r="B90"/>
  <c r="B17" i="55"/>
  <c r="B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28"/>
  <c r="N27"/>
  <c r="N31"/>
  <c r="N30"/>
  <c r="M30"/>
  <c r="M24"/>
  <c r="M32"/>
  <c r="M26"/>
  <c r="M22"/>
  <c r="M25"/>
  <c r="M29"/>
  <c r="L10" i="14"/>
  <c r="L16" s="1"/>
  <c r="L27" s="1"/>
  <c r="K5" i="48"/>
  <c r="D22"/>
  <c r="D30"/>
  <c r="D24"/>
  <c r="D28"/>
  <c r="D31"/>
  <c r="D29"/>
  <c r="D32"/>
  <c r="B10"/>
  <c r="C19" i="14"/>
  <c r="J10"/>
  <c r="J16" s="1"/>
  <c r="J27" s="1"/>
  <c r="I5" i="48"/>
  <c r="J32"/>
  <c r="J29"/>
  <c r="J27"/>
  <c r="J30"/>
  <c r="J28"/>
  <c r="J31"/>
  <c r="J24"/>
  <c r="Q11" i="14"/>
  <c r="P4" i="48"/>
  <c r="P11" i="14"/>
  <c r="O4" i="48"/>
  <c r="I28"/>
  <c r="I24"/>
  <c r="I32"/>
  <c r="I30"/>
  <c r="I26"/>
  <c r="I22"/>
  <c r="I25"/>
  <c r="I31"/>
  <c r="I29"/>
  <c r="I27"/>
  <c r="N10" i="14"/>
  <c r="N16" s="1"/>
  <c r="M5" i="48"/>
  <c r="F32"/>
  <c r="F27"/>
  <c r="F28"/>
  <c r="F29"/>
  <c r="F24"/>
  <c r="F31"/>
  <c r="F30"/>
  <c r="B7"/>
  <c r="C24" i="14"/>
  <c r="C26" s="1"/>
  <c r="E30" i="48"/>
  <c r="E24"/>
  <c r="E32"/>
  <c r="E31"/>
  <c r="E29"/>
  <c r="E28"/>
  <c r="L32"/>
  <c r="L28"/>
  <c r="L24"/>
  <c r="L22"/>
  <c r="L30"/>
  <c r="L27"/>
  <c r="L31"/>
  <c r="L29"/>
  <c r="P5"/>
  <c r="P23" s="1"/>
  <c r="Q10" i="14"/>
  <c r="K30" i="48"/>
  <c r="K32"/>
  <c r="K27"/>
  <c r="K29"/>
  <c r="K28"/>
  <c r="K25"/>
  <c r="K26"/>
  <c r="K24"/>
  <c r="K22"/>
  <c r="K31"/>
  <c r="H12" i="22"/>
  <c r="H13" i="48"/>
  <c r="H31" s="1"/>
  <c r="I18" i="14"/>
  <c r="E11"/>
  <c r="D4" i="48"/>
  <c r="H30"/>
  <c r="H32"/>
  <c r="H26"/>
  <c r="H22"/>
  <c r="H25"/>
  <c r="H24"/>
  <c r="H29"/>
  <c r="H28"/>
  <c r="H23"/>
  <c r="C4"/>
  <c r="D11" i="14"/>
  <c r="G30" i="48"/>
  <c r="G32"/>
  <c r="G29"/>
  <c r="G26"/>
  <c r="G24"/>
  <c r="G22"/>
  <c r="G25"/>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M23"/>
  <c r="F4"/>
  <c r="F22" s="1"/>
  <c r="G11" i="14"/>
  <c r="I23" i="48"/>
  <c r="I33" s="1"/>
  <c r="I15"/>
  <c r="G12" i="22"/>
  <c r="G13" i="48"/>
  <c r="H18" i="14"/>
  <c r="P22" i="48"/>
  <c r="P33" s="1"/>
  <c r="C8"/>
  <c r="J63" i="14"/>
  <c r="D16" i="15"/>
  <c r="D5" i="48" s="1"/>
  <c r="L46" i="14"/>
  <c r="L61" s="1"/>
  <c r="L63" s="1"/>
  <c r="Q16"/>
  <c r="Q27" s="1"/>
  <c r="K15" i="48"/>
  <c r="K23"/>
  <c r="K33" s="1"/>
  <c r="O5"/>
  <c r="O23" s="1"/>
  <c r="P10" i="14"/>
  <c r="M13" i="48"/>
  <c r="M31" s="1"/>
  <c r="N18" i="14"/>
  <c r="P22" i="16"/>
  <c r="Q43" i="14" s="1"/>
  <c r="P8" i="48"/>
  <c r="P26" s="1"/>
  <c r="Q13" i="14"/>
  <c r="O22" i="48"/>
  <c r="I22" i="14"/>
  <c r="I27"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Q13" i="48"/>
  <c r="G31"/>
  <c r="H27"/>
  <c r="H33" s="1"/>
  <c r="H15"/>
  <c r="C20" i="14"/>
  <c r="B9" i="48"/>
  <c r="E9"/>
  <c r="E27" s="1"/>
  <c r="F20" i="14"/>
  <c r="F22" s="1"/>
  <c r="P16"/>
  <c r="P27" s="1"/>
  <c r="G14" i="22"/>
  <c r="R18" i="14"/>
  <c r="C15" i="48"/>
  <c r="P15"/>
  <c r="J4"/>
  <c r="J22" s="1"/>
  <c r="K11" i="14"/>
  <c r="E20"/>
  <c r="E22" s="1"/>
  <c r="D9" i="48"/>
  <c r="D27" s="1"/>
  <c r="P13" i="14"/>
  <c r="O8" i="48"/>
  <c r="N4"/>
  <c r="N22" s="1"/>
  <c r="O11" i="14"/>
  <c r="M10" i="48"/>
  <c r="M28" s="1"/>
  <c r="N19" i="14"/>
  <c r="E12" i="13"/>
  <c r="F41" i="14" s="1"/>
  <c r="E4" i="48"/>
  <c r="F11"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9" i="48"/>
  <c r="H20" i="14"/>
  <c r="H22" s="1"/>
  <c r="H27" s="1"/>
  <c r="E22" i="48"/>
  <c r="Q4"/>
  <c r="G18" i="22"/>
  <c r="H50" i="14" s="1"/>
  <c r="M18" i="22"/>
  <c r="N50" i="14" s="1"/>
  <c r="N20"/>
  <c r="N22" s="1"/>
  <c r="N27" s="1"/>
  <c r="N63" s="1"/>
  <c r="M9" i="48"/>
  <c r="G28"/>
  <c r="Q10"/>
  <c r="C22" i="14"/>
  <c r="O26" i="48"/>
  <c r="O33" s="1"/>
  <c r="O15"/>
  <c r="H52" i="14"/>
  <c r="H61" s="1"/>
  <c r="R11"/>
  <c r="B15" i="48"/>
  <c r="J5"/>
  <c r="K10" i="14"/>
  <c r="E20" i="15"/>
  <c r="F40" i="14" s="1"/>
  <c r="E5" i="48"/>
  <c r="F10" i="14"/>
  <c r="L15" i="48"/>
  <c r="Q7"/>
  <c r="R24" i="14"/>
  <c r="R26" s="1"/>
  <c r="J18" i="16"/>
  <c r="N18"/>
  <c r="E18"/>
  <c r="F18"/>
  <c r="F22" s="1"/>
  <c r="G43" i="14" s="1"/>
  <c r="M27" i="48" l="1"/>
  <c r="M33" s="1"/>
  <c r="M15"/>
  <c r="G27"/>
  <c r="G33" s="1"/>
  <c r="G15"/>
  <c r="H63" i="14"/>
  <c r="Q9" i="48"/>
  <c r="R20" i="14"/>
  <c r="R22" s="1"/>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<sst xmlns="http://schemas.openxmlformats.org/spreadsheetml/2006/main" count="2511" uniqueCount="973">
  <si>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</si>
  <si>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</si>
  <si>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</si>
  <si>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</si>
  <si>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</si>
  <si>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</si>
  <si>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</si>
  <si>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</si>
  <si>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</si>
  <si>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</si>
  <si>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</si>
  <si>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</si>
  <si>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</si>
  <si>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</si>
  <si>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</si>
  <si>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</si>
  <si>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</si>
  <si>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</si>
  <si>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</si>
  <si>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</si>
  <si>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</si>
  <si>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</si>
  <si>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</si>
  <si>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</si>
  <si>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</si>
  <si>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</si>
  <si>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</si>
  <si>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</si>
  <si>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</si>
  <si>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</si>
  <si>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</si>
  <si>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</si>
  <si>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</si>
  <si>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</si>
  <si>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</si>
  <si>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</si>
  <si>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</si>
  <si>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</si>
  <si>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</si>
  <si>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</si>
  <si>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</si>
  <si>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</si>
  <si>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</si>
  <si>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</si>
  <si>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</si>
  <si>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</si>
  <si>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</si>
  <si>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</si>
  <si>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</si>
  <si>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</si>
  <si>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</si>
  <si>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</si>
  <si>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</si>
  <si>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</si>
  <si>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</si>
  <si>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</si>
  <si>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</si>
  <si>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</si>
  <si>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</si>
  <si>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</si>
  <si>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</si>
  <si>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</si>
  <si>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</si>
  <si>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</si>
  <si>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</si>
  <si>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</si>
  <si>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</si>
  <si>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</si>
  <si>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</si>
  <si>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</si>
  <si>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</si>
  <si>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</si>
  <si>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</si>
  <si>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</si>
  <si>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</si>
  <si>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</si>
  <si>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</si>
  <si>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</si>
  <si>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</si>
  <si>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</si>
  <si>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</si>
  <si>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</si>
  <si>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</si>
  <si>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</si>
  <si>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</si>
  <si>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</si>
  <si>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</si>
  <si>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</si>
  <si>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</si>
  <si>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</si>
  <si>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</si>
  <si>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</si>
  <si>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</si>
  <si>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</si>
  <si>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</si>
  <si>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</si>
  <si>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</si>
  <si>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</si>
  <si>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</si>
  <si>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</si>
  <si>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</si>
  <si>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</si>
  <si>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</si>
  <si>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</si>
  <si>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</si>
  <si>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</si>
  <si>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</si>
  <si>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</si>
  <si>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</si>
  <si>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</si>
  <si>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</si>
  <si>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</si>
  <si>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</si>
  <si>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</si>
  <si>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</si>
  <si>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</si>
  <si>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</si>
  <si>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</si>
  <si>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</si>
  <si>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</si>
  <si>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</si>
  <si>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</si>
  <si>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</si>
  <si>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</si>
  <si>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</si>
  <si>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</si>
  <si>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</si>
  <si>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</si>
  <si>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</si>
  <si>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</si>
  <si>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</si>
  <si>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</si>
  <si>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</si>
  <si>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</si>
  <si>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</si>
  <si>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</si>
  <si>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</si>
  <si>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</si>
  <si>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</si>
  <si>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</si>
  <si>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</si>
  <si>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</si>
  <si>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</si>
  <si>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</si>
  <si>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</si>
  <si>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</si>
  <si>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</si>
  <si>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</si>
  <si>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</si>
  <si>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</si>
  <si>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</si>
  <si>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</si>
  <si>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</si>
  <si>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</si>
  <si>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</si>
  <si>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</si>
  <si>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</si>
  <si>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</si>
  <si>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</si>
  <si>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</si>
  <si>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</si>
  <si>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</si>
  <si>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</si>
  <si>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</si>
  <si>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</si>
  <si>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</si>
  <si>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</si>
  <si>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</si>
  <si>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</si>
  <si>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</si>
  <si>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</si>
  <si>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</si>
  <si>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</si>
  <si>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</si>
  <si>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</si>
  <si>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</si>
  <si>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</si>
  <si>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</si>
  <si>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</si>
  <si>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</si>
  <si>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</si>
  <si>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</si>
  <si>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</si>
  <si>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</si>
  <si>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</si>
  <si>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</si>
  <si>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</si>
  <si>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</si>
  <si>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</si>
  <si>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</si>
  <si>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</si>
  <si>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</si>
  <si>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</si>
  <si>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</si>
  <si>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</si>
  <si>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</si>
  <si>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</si>
  <si>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</si>
  <si>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</si>
  <si>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</si>
  <si>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</si>
  <si>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</si>
  <si>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</si>
  <si>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</si>
  <si>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</si>
  <si>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</si>
  <si>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</si>
  <si>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</si>
  <si>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</si>
  <si>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</si>
  <si>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</si>
  <si>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</si>
  <si>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</si>
  <si>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</si>
  <si>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</si>
  <si>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</si>
  <si>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</si>
  <si>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</si>
  <si>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</si>
  <si>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</si>
  <si>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</si>
  <si>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</si>
  <si>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</si>
  <si>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</si>
  <si>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</si>
  <si>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</si>
  <si>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</si>
  <si>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</si>
  <si>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</si>
  <si>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</si>
  <si>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</si>
  <si>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</si>
  <si>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</si>
  <si>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</si>
  <si>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</si>
  <si>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</si>
  <si>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</si>
  <si>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</si>
  <si>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</si>
  <si>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</si>
  <si>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</si>
  <si>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</si>
  <si>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</si>
  <si>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</si>
  <si>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</si>
  <si>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</si>
  <si>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</si>
  <si>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</si>
  <si>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</si>
  <si>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</si>
  <si>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</si>
  <si>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</si>
  <si>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</si>
  <si>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</si>
  <si>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</si>
  <si>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</si>
  <si>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</si>
  <si>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</si>
  <si>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</si>
  <si>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</si>
  <si>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</si>
  <si>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</si>
  <si>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</si>
  <si>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</si>
  <si>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</si>
  <si>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</si>
  <si>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</si>
  <si>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</si>
  <si>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</si>
  <si>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</si>
  <si>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</si>
  <si>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</si>
  <si>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</si>
  <si>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</si>
  <si>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</si>
  <si>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</si>
  <si>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</si>
  <si>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</si>
  <si>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</si>
  <si>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</si>
  <si>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</si>
  <si>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</si>
  <si>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</si>
  <si>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</si>
  <si>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</si>
  <si>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</si>
  <si>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</si>
  <si>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</si>
  <si>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</si>
  <si>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</si>
  <si>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</si>
  <si>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</si>
  <si>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</si>
  <si>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</si>
  <si>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</si>
  <si>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</si>
  <si>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</si>
  <si>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</si>
  <si>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</si>
  <si>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</si>
  <si>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</si>
  <si>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</si>
  <si>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</si>
  <si>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</si>
  <si>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</si>
  <si>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</si>
  <si>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</si>
  <si>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</si>
  <si>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</si>
  <si>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</si>
  <si>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</si>
  <si>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</si>
  <si>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</si>
  <si>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</si>
  <si>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</si>
  <si>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</si>
  <si>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</si>
  <si>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</si>
  <si>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</si>
  <si>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</si>
  <si>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</si>
  <si>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</si>
  <si>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</si>
  <si>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</si>
  <si>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</si>
  <si>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</si>
  <si>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</si>
  <si>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</si>
  <si>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</si>
  <si>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</si>
  <si>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</si>
  <si>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</si>
  <si>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</si>
  <si>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</si>
  <si>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</si>
  <si>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</si>
  <si>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</si>
  <si>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</si>
  <si>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</si>
  <si>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</si>
  <si>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</si>
  <si>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</si>
  <si>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</si>
  <si>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</si>
  <si>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</si>
  <si>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</si>
  <si>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</si>
  <si>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</si>
  <si>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</si>
  <si>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</si>
  <si>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</si>
  <si>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</si>
  <si>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</si>
  <si>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</si>
  <si>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</si>
  <si>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</si>
  <si>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</si>
  <si>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</si>
  <si>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</si>
  <si>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</si>
  <si>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</si>
  <si>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</si>
  <si>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</si>
  <si>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</si>
  <si>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</si>
  <si>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</si>
  <si>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</si>
  <si>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</si>
  <si>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</si>
  <si>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</si>
  <si>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</si>
  <si>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</si>
  <si>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</si>
  <si>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</si>
  <si>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</si>
  <si>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</si>
  <si>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</si>
  <si>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</si>
  <si>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</si>
  <si>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</si>
  <si>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</si>
  <si>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</si>
  <si>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</si>
  <si>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</si>
  <si>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</si>
  <si>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</si>
  <si>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</si>
  <si>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</si>
  <si>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</si>
  <si>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</si>
  <si>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</si>
  <si>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</si>
  <si>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</si>
  <si>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</si>
  <si>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</si>
  <si>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</si>
  <si>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</si>
  <si>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</si>
  <si>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</si>
  <si>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</si>
  <si>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</si>
  <si>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</si>
  <si>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</si>
  <si>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</si>
  <si>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</si>
  <si>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</si>
  <si>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</si>
  <si>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</si>
  <si>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</si>
  <si>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</si>
  <si>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</si>
  <si>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</si>
  <si>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</si>
  <si>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</si>
  <si>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</si>
  <si>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</si>
  <si>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</si>
  <si>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</si>
  <si>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</si>
  <si>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</si>
  <si>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</si>
  <si>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</si>
  <si>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</si>
  <si>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</si>
  <si>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</si>
  <si>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</si>
  <si>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</si>
  <si>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</si>
  <si>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</si>
  <si>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</si>
  <si>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</si>
  <si>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</si>
  <si>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</si>
  <si>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</si>
  <si>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</si>
  <si>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</si>
  <si>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</si>
  <si>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</si>
  <si>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</si>
  <si>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</si>
  <si>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</si>
  <si>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</si>
  <si>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</si>
  <si>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</si>
  <si>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</si>
  <si>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</si>
  <si>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</si>
  <si>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</si>
  <si>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</si>
  <si>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</si>
  <si>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</si>
  <si>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</si>
  <si>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</si>
  <si>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</si>
  <si>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</si>
  <si>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</si>
  <si>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</si>
  <si>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</si>
  <si>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</si>
  <si>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</si>
  <si>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</si>
  <si>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</si>
  <si>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</si>
  <si>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</si>
  <si>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</si>
  <si>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</si>
  <si>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</si>
  <si>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</si>
  <si>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</si>
  <si>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</si>
  <si>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</si>
  <si>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</si>
  <si>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</si>
  <si>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</si>
  <si>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</si>
  <si>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</si>
  <si>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</si>
  <si>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</si>
  <si>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</si>
  <si>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</si>
  <si>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</si>
  <si>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</si>
  <si>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</si>
  <si>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</si>
  <si>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</si>
  <si>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</si>
  <si>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</si>
  <si>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</si>
  <si>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</si>
  <si>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</si>
  <si>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</si>
  <si>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</si>
  <si>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</si>
  <si>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</si>
  <si>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</si>
  <si>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</si>
  <si>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</si>
  <si>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</si>
  <si>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</si>
  <si>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</si>
  <si>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</si>
  <si>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</si>
  <si>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</si>
  <si>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</si>
  <si>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</si>
  <si>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</si>
  <si>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</si>
  <si>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</si>
  <si>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</si>
  <si>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</si>
  <si>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</si>
  <si>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</si>
  <si>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</si>
  <si>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</si>
  <si>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</si>
  <si>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</si>
  <si>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</si>
  <si>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</si>
  <si>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</si>
  <si>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</si>
  <si>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</si>
  <si>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</si>
  <si>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</si>
  <si>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</si>
  <si>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</si>
  <si>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</si>
  <si>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</si>
  <si>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</si>
  <si>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</si>
  <si>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</si>
  <si>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</si>
  <si>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</si>
  <si>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</si>
  <si>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</si>
  <si>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</si>
  <si>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</si>
  <si>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</si>
  <si>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</si>
  <si>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</si>
  <si>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</si>
  <si>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</si>
  <si>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</si>
  <si>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</si>
  <si>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</si>
  <si>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</si>
  <si>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</si>
  <si>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</si>
  <si>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</si>
  <si>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</si>
  <si>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</si>
  <si>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</si>
  <si>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</si>
  <si>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</si>
  <si>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</si>
  <si>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</si>
  <si>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</si>
  <si>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</si>
  <si>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</si>
  <si>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</si>
  <si>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</si>
  <si>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</si>
  <si>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</si>
  <si>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</si>
  <si>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</si>
  <si>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</si>
  <si>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</si>
  <si>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</si>
  <si>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</si>
  <si>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</si>
  <si>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</si>
  <si>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</si>
  <si>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</si>
  <si>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</si>
  <si>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</si>
  <si>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</si>
  <si>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</si>
  <si>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</si>
  <si>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</si>
  <si>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</si>
  <si>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</si>
  <si>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</si>
  <si>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</si>
  <si>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</si>
  <si>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</si>
  <si>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</si>
  <si>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</si>
  <si>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</si>
  <si>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</si>
  <si>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</si>
  <si>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</si>
  <si>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</si>
  <si>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</si>
  <si>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</si>
  <si>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</si>
  <si>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</si>
  <si>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</si>
  <si>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</si>
  <si>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</si>
  <si>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</si>
  <si>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</si>
  <si>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</si>
  <si>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</si>
  <si>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</si>
  <si>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</si>
  <si>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</si>
  <si>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</si>
  <si>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</si>
  <si>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</si>
  <si>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</si>
  <si>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</si>
  <si>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</si>
  <si>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</si>
  <si>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</si>
  <si>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</si>
  <si>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</si>
  <si>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</si>
  <si>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</si>
  <si>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</si>
  <si>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</si>
  <si>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</si>
  <si>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</si>
  <si>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</si>
  <si>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</si>
  <si>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</si>
  <si>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</si>
  <si>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</si>
  <si>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</si>
  <si>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</si>
  <si>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</si>
  <si>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</si>
  <si>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</si>
  <si>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</si>
  <si>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</si>
  <si>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</si>
  <si>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</si>
  <si>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</si>
  <si>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</si>
  <si>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</si>
  <si>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</si>
  <si>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</si>
  <si>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</si>
  <si>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</si>
  <si>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</si>
  <si>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</si>
  <si>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</si>
  <si>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</si>
  <si>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</si>
  <si>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</si>
  <si>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</si>
  <si>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</si>
  <si>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</si>
  <si>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</si>
  <si>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</si>
  <si>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</si>
  <si>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</si>
  <si>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</si>
  <si>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</si>
  <si>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</si>
  <si>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</si>
  <si>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</si>
  <si>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</si>
  <si>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</si>
  <si>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</si>
  <si>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</si>
  <si>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</si>
  <si>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</si>
  <si>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</si>
  <si>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</si>
  <si>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</si>
  <si>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</si>
  <si>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</si>
  <si>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</si>
  <si>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</si>
  <si>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</si>
  <si>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</si>
  <si>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</si>
  <si>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</si>
  <si>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</si>
  <si>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</si>
  <si>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</si>
  <si>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</si>
  <si>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</si>
  <si>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</si>
  <si>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</si>
  <si>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</si>
  <si>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</si>
  <si>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</si>
  <si>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</si>
  <si>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</si>
  <si>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</si>
  <si>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</si>
  <si>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</si>
  <si>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</si>
  <si>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</si>
  <si>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</si>
  <si>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</si>
  <si>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</si>
  <si>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</si>
  <si>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</si>
  <si>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</si>
  <si>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</si>
  <si>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</si>
  <si>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</si>
  <si>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</si>
  <si>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</si>
  <si>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</si>
  <si>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</si>
  <si>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</si>
  <si>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</si>
  <si>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</si>
  <si>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</si>
  <si>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</si>
  <si>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</si>
  <si>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</si>
  <si>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</si>
  <si>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</si>
  <si>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</si>
  <si>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</si>
  <si>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</si>
  <si>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</si>
  <si>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</si>
  <si>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</si>
  <si>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</si>
  <si>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</si>
  <si>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</si>
  <si>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</si>
  <si>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</si>
  <si>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</si>
  <si>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</si>
  <si>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</si>
  <si>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</si>
  <si>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</si>
  <si>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</si>
  <si>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</si>
  <si>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</si>
  <si>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</si>
  <si>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</si>
  <si>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</si>
  <si>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</si>
  <si>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</si>
  <si>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</si>
  <si>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</si>
  <si>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</si>
  <si>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</si>
  <si>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</si>
  <si>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</si>
  <si>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</si>
  <si>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</si>
  <si>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</si>
  <si>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</si>
  <si>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</si>
  <si>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</si>
  <si>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</si>
  <si>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</si>
  <si>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</si>
  <si>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</si>
  <si>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</si>
  <si>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</si>
  <si>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</si>
  <si>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</si>
  <si>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</si>
  <si>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</si>
  <si>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</si>
  <si>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</si>
  <si>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</si>
  <si>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</si>
  <si>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</si>
  <si>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</si>
  <si>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</si>
  <si>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</si>
  <si>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</si>
  <si>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</si>
  <si>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</si>
  <si>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</si>
  <si>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</si>
  <si>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</si>
  <si>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</si>
  <si>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</si>
  <si>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</si>
  <si>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</si>
  <si>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</si>
  <si>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</si>
  <si>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</si>
  <si>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</si>
  <si>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</si>
  <si>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</si>
  <si>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</si>
  <si>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</si>
  <si>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</si>
  <si>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</si>
  <si>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</si>
  <si>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</si>
  <si>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</si>
  <si>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</si>
  <si>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</si>
  <si>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</si>
  <si>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</si>
  <si>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</si>
  <si>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</si>
  <si>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</si>
  <si>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</si>
  <si>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</si>
  <si>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</si>
  <si>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</si>
  <si>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</si>
  <si>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</si>
  <si>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</si>
  <si>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</si>
  <si>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</si>
  <si>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</si>
  <si>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</si>
  <si>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</si>
  <si>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</si>
  <si>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</si>
  <si>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</si>
  <si>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</si>
  <si>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</si>
  <si>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</si>
  <si>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</si>
  <si>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</si>
  <si>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</si>
  <si>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</si>
  <si>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</si>
  <si>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</si>
  <si>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</si>
  <si>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</si>
  <si>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</si>
  <si>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</si>
  <si>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</si>
  <si>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</si>
  <si>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</si>
  <si>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</si>
  <si>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</si>
  <si>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</si>
  <si>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</si>
  <si>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</si>
  <si>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</si>
  <si>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</si>
  <si>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</si>
  <si>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</si>
  <si>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</si>
  <si>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</si>
  <si>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</si>
  <si>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</si>
  <si>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</si>
  <si>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</si>
  <si>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</si>
  <si>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</si>
  <si>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</si>
  <si>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</si>
  <si>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</si>
  <si>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</si>
  <si>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</si>
  <si>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</si>
  <si>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</si>
  <si>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</si>
  <si>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</si>
  <si>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</si>
  <si>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</si>
  <si>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</si>
  <si>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</si>
  <si>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</si>
  <si>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</si>
  <si>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</si>
  <si>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</si>
  <si>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</si>
  <si>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</si>
  <si>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</si>
  <si>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</si>
  <si>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</si>
  <si>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</si>
  <si>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</si>
  <si>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</si>
  <si>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</si>
  <si>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</si>
  <si>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</si>
  <si>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</si>
  <si>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</si>
  <si>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</si>
  <si>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</si>
  <si>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</si>
  <si>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</si>
  <si>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</si>
  <si>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</si>
  <si>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</si>
  <si>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</si>
  <si>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</si>
  <si>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</si>
  <si>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</si>
  <si>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</si>
  <si>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</si>
  <si>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</si>
  <si>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</si>
  <si>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</si>
  <si>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</si>
  <si>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</si>
  <si>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</si>
  <si>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</si>
  <si>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</si>
  <si>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</si>
  <si>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</si>
  <si>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</si>
  <si>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</si>
  <si>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</si>
  <si>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</si>
  <si>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</si>
  <si>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</si>
  <si>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</si>
  <si>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</si>
  <si>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</si>
  <si>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</si>
  <si>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</si>
  <si>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</si>
  <si>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</si>
  <si>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</si>
  <si>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</si>
  <si>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</si>
  <si>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</si>
  <si>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</si>
  <si>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</si>
  <si>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</si>
  <si>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</si>
  <si>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</si>
  <si>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</si>
  <si>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</si>
  <si>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</si>
  <si>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</si>
  <si>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</si>
  <si>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</si>
  <si>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</si>
  <si>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</si>
  <si>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</si>
  <si>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</si>
  <si>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</si>
  <si>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</si>
  <si>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</si>
  <si>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</si>
  <si>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</si>
  <si>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</si>
  <si>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</si>
  <si>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</si>
  <si>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</si>
  <si>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</si>
  <si>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</si>
  <si>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</si>
  <si>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</si>
  <si>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</si>
  <si>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</si>
  <si>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</si>
  <si>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</si>
  <si>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</si>
  <si>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</si>
  <si>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</si>
  <si>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</si>
  <si>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42003</t>
  </si>
  <si>
    <t>BERLARE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</si>
  <si>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</si>
  <si>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</si>
  <si>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</si>
  <si>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</si>
  <si>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</si>
  <si>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</si>
  <si>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</si>
  <si>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Robert Van Migerode</t>
  </si>
  <si>
    <t>Sluis 17 A, 9290 Berlare</t>
  </si>
  <si>
    <t>WKK-0349 Van Migerode</t>
  </si>
  <si>
    <t>interne verbrandingsmotor</t>
  </si>
  <si>
    <t>WKK interne verbrandinsgmotor (gas)</t>
  </si>
  <si>
    <t>IMEWO</t>
  </si>
  <si>
    <t>BMS-0097 Van Migerode</t>
  </si>
  <si>
    <t>biomassa uit land- of bosbouw</t>
  </si>
  <si>
    <t>niet WKK interne verbrandingsmotor (andere biomassa)</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</si>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</sst>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42003</v>
      </c>
      <c r="B6" s="396"/>
      <c r="C6" s="397"/>
    </row>
    <row r="7" spans="1:7" s="394" customFormat="1" ht="15.75" customHeight="1">
      <c r="A7" s="398" t="str">
        <f>txtMunicipality</f>
        <v>BERLARE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0.18147591411125547</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0.18147591411125547</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42003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6072</v>
      </c>
      <c r="C9" s="336">
        <v>6966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1894</v>
      </c>
    </row>
    <row r="15" spans="1:6">
      <c r="A15" s="1277" t="s">
        <v>184</v>
      </c>
      <c r="B15" s="333">
        <v>24</v>
      </c>
    </row>
    <row r="16" spans="1:6">
      <c r="A16" s="1277" t="s">
        <v>6</v>
      </c>
      <c r="B16" s="333">
        <v>833</v>
      </c>
    </row>
    <row r="17" spans="1:6">
      <c r="A17" s="1277" t="s">
        <v>7</v>
      </c>
      <c r="B17" s="333">
        <v>488</v>
      </c>
    </row>
    <row r="18" spans="1:6">
      <c r="A18" s="1277" t="s">
        <v>8</v>
      </c>
      <c r="B18" s="333">
        <v>748</v>
      </c>
    </row>
    <row r="19" spans="1:6">
      <c r="A19" s="1277" t="s">
        <v>9</v>
      </c>
      <c r="B19" s="333">
        <v>786</v>
      </c>
    </row>
    <row r="20" spans="1:6">
      <c r="A20" s="1277" t="s">
        <v>10</v>
      </c>
      <c r="B20" s="333">
        <v>786</v>
      </c>
    </row>
    <row r="21" spans="1:6">
      <c r="A21" s="1277" t="s">
        <v>11</v>
      </c>
      <c r="B21" s="333">
        <v>292</v>
      </c>
    </row>
    <row r="22" spans="1:6">
      <c r="A22" s="1277" t="s">
        <v>12</v>
      </c>
      <c r="B22" s="333">
        <v>2621</v>
      </c>
    </row>
    <row r="23" spans="1:6">
      <c r="A23" s="1277" t="s">
        <v>13</v>
      </c>
      <c r="B23" s="333">
        <v>0</v>
      </c>
    </row>
    <row r="24" spans="1:6">
      <c r="A24" s="1277" t="s">
        <v>14</v>
      </c>
      <c r="B24" s="333">
        <v>0</v>
      </c>
    </row>
    <row r="25" spans="1:6">
      <c r="A25" s="1277" t="s">
        <v>15</v>
      </c>
      <c r="B25" s="333">
        <v>70</v>
      </c>
    </row>
    <row r="26" spans="1:6">
      <c r="A26" s="1277" t="s">
        <v>16</v>
      </c>
      <c r="B26" s="333">
        <v>59</v>
      </c>
    </row>
    <row r="27" spans="1:6">
      <c r="A27" s="1277" t="s">
        <v>17</v>
      </c>
      <c r="B27" s="333">
        <v>0</v>
      </c>
    </row>
    <row r="28" spans="1:6">
      <c r="A28" s="1277" t="s">
        <v>18</v>
      </c>
      <c r="B28" s="333">
        <v>99781</v>
      </c>
    </row>
    <row r="29" spans="1:6">
      <c r="A29" s="1277" t="s">
        <v>957</v>
      </c>
      <c r="B29" s="333">
        <v>41</v>
      </c>
    </row>
    <row r="30" spans="1:6">
      <c r="A30" s="1273" t="s">
        <v>958</v>
      </c>
      <c r="B30" s="1273">
        <v>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6999.5119393836003</v>
      </c>
    </row>
    <row r="39" spans="1:6">
      <c r="A39" s="1277" t="s">
        <v>30</v>
      </c>
      <c r="B39" s="1277" t="s">
        <v>31</v>
      </c>
      <c r="C39" s="333">
        <v>2665</v>
      </c>
      <c r="D39" s="333">
        <v>42601425.161712103</v>
      </c>
      <c r="E39" s="333">
        <v>5856</v>
      </c>
      <c r="F39" s="333">
        <v>30301365.418375</v>
      </c>
    </row>
    <row r="40" spans="1:6">
      <c r="A40" s="1277" t="s">
        <v>30</v>
      </c>
      <c r="B40" s="1277" t="s">
        <v>29</v>
      </c>
      <c r="C40" s="333">
        <v>0</v>
      </c>
      <c r="D40" s="333">
        <v>0</v>
      </c>
      <c r="E40" s="333">
        <v>0</v>
      </c>
      <c r="F40" s="333">
        <v>0</v>
      </c>
    </row>
    <row r="41" spans="1:6">
      <c r="A41" s="1277" t="s">
        <v>32</v>
      </c>
      <c r="B41" s="1277" t="s">
        <v>33</v>
      </c>
      <c r="C41" s="333">
        <v>38</v>
      </c>
      <c r="D41" s="333">
        <v>659298.65612927801</v>
      </c>
      <c r="E41" s="333">
        <v>116</v>
      </c>
      <c r="F41" s="333">
        <v>1046613.02394064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61473.893334427397</v>
      </c>
    </row>
    <row r="45" spans="1:6">
      <c r="A45" s="1277" t="s">
        <v>32</v>
      </c>
      <c r="B45" s="1277" t="s">
        <v>37</v>
      </c>
      <c r="C45" s="333">
        <v>0</v>
      </c>
      <c r="D45" s="333">
        <v>0</v>
      </c>
      <c r="E45" s="333">
        <v>3</v>
      </c>
      <c r="F45" s="333">
        <v>137934.72613364601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16</v>
      </c>
      <c r="D48" s="333">
        <v>8466003.6823173203</v>
      </c>
      <c r="E48" s="333">
        <v>27</v>
      </c>
      <c r="F48" s="333">
        <v>1237211.17700543</v>
      </c>
    </row>
    <row r="49" spans="1:6">
      <c r="A49" s="1277" t="s">
        <v>32</v>
      </c>
      <c r="B49" s="1277" t="s">
        <v>40</v>
      </c>
      <c r="C49" s="333">
        <v>0</v>
      </c>
      <c r="D49" s="333">
        <v>0</v>
      </c>
      <c r="E49" s="333">
        <v>0</v>
      </c>
      <c r="F49" s="333">
        <v>0</v>
      </c>
    </row>
    <row r="50" spans="1:6">
      <c r="A50" s="1277" t="s">
        <v>32</v>
      </c>
      <c r="B50" s="1277" t="s">
        <v>41</v>
      </c>
      <c r="C50" s="333">
        <v>5</v>
      </c>
      <c r="D50" s="333">
        <v>158195.135706712</v>
      </c>
      <c r="E50" s="333">
        <v>18</v>
      </c>
      <c r="F50" s="333">
        <v>428036.30794822698</v>
      </c>
    </row>
    <row r="51" spans="1:6">
      <c r="A51" s="1277" t="s">
        <v>42</v>
      </c>
      <c r="B51" s="1277" t="s">
        <v>43</v>
      </c>
      <c r="C51" s="333">
        <v>10</v>
      </c>
      <c r="D51" s="333">
        <v>1345427.94147186</v>
      </c>
      <c r="E51" s="333">
        <v>70</v>
      </c>
      <c r="F51" s="333">
        <v>981999.119338908</v>
      </c>
    </row>
    <row r="52" spans="1:6">
      <c r="A52" s="1277" t="s">
        <v>42</v>
      </c>
      <c r="B52" s="1277" t="s">
        <v>29</v>
      </c>
      <c r="C52" s="333">
        <v>2</v>
      </c>
      <c r="D52" s="333">
        <v>81948.363243496802</v>
      </c>
      <c r="E52" s="333">
        <v>7</v>
      </c>
      <c r="F52" s="333">
        <v>65489.142752870503</v>
      </c>
    </row>
    <row r="53" spans="1:6">
      <c r="A53" s="1277" t="s">
        <v>44</v>
      </c>
      <c r="B53" s="1277" t="s">
        <v>45</v>
      </c>
      <c r="C53" s="333">
        <v>98</v>
      </c>
      <c r="D53" s="333">
        <v>1922424.65140909</v>
      </c>
      <c r="E53" s="333">
        <v>229</v>
      </c>
      <c r="F53" s="333">
        <v>1468853.9527950101</v>
      </c>
    </row>
    <row r="54" spans="1:6">
      <c r="A54" s="1277" t="s">
        <v>46</v>
      </c>
      <c r="B54" s="1277" t="s">
        <v>47</v>
      </c>
      <c r="C54" s="333">
        <v>0</v>
      </c>
      <c r="D54" s="333">
        <v>0</v>
      </c>
      <c r="E54" s="333">
        <v>3</v>
      </c>
      <c r="F54" s="333">
        <v>1122890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15</v>
      </c>
      <c r="D57" s="333">
        <v>299399.944255143</v>
      </c>
      <c r="E57" s="333">
        <v>39</v>
      </c>
      <c r="F57" s="333">
        <v>1536329.1203066199</v>
      </c>
    </row>
    <row r="58" spans="1:6">
      <c r="A58" s="1277" t="s">
        <v>49</v>
      </c>
      <c r="B58" s="1277" t="s">
        <v>51</v>
      </c>
      <c r="C58" s="333">
        <v>0</v>
      </c>
      <c r="D58" s="333">
        <v>0</v>
      </c>
      <c r="E58" s="333">
        <v>21</v>
      </c>
      <c r="F58" s="333">
        <v>179130.47003837899</v>
      </c>
    </row>
    <row r="59" spans="1:6">
      <c r="A59" s="1277" t="s">
        <v>49</v>
      </c>
      <c r="B59" s="1277" t="s">
        <v>52</v>
      </c>
      <c r="C59" s="333">
        <v>32</v>
      </c>
      <c r="D59" s="333">
        <v>1005684.00429773</v>
      </c>
      <c r="E59" s="333">
        <v>134</v>
      </c>
      <c r="F59" s="333">
        <v>3227142.8870758298</v>
      </c>
    </row>
    <row r="60" spans="1:6">
      <c r="A60" s="1277" t="s">
        <v>49</v>
      </c>
      <c r="B60" s="1277" t="s">
        <v>53</v>
      </c>
      <c r="C60" s="333">
        <v>42</v>
      </c>
      <c r="D60" s="333">
        <v>2012912.7100285599</v>
      </c>
      <c r="E60" s="333">
        <v>89</v>
      </c>
      <c r="F60" s="333">
        <v>2304735.18147599</v>
      </c>
    </row>
    <row r="61" spans="1:6">
      <c r="A61" s="1277" t="s">
        <v>49</v>
      </c>
      <c r="B61" s="1277" t="s">
        <v>54</v>
      </c>
      <c r="C61" s="333">
        <v>71</v>
      </c>
      <c r="D61" s="333">
        <v>4148633.1441570702</v>
      </c>
      <c r="E61" s="333">
        <v>205</v>
      </c>
      <c r="F61" s="333">
        <v>3440997.74240425</v>
      </c>
    </row>
    <row r="62" spans="1:6">
      <c r="A62" s="1277" t="s">
        <v>49</v>
      </c>
      <c r="B62" s="1277" t="s">
        <v>55</v>
      </c>
      <c r="C62" s="333">
        <v>3</v>
      </c>
      <c r="D62" s="333">
        <v>138109.095102797</v>
      </c>
      <c r="E62" s="333">
        <v>10</v>
      </c>
      <c r="F62" s="333">
        <v>168634.145885643</v>
      </c>
    </row>
    <row r="63" spans="1:6">
      <c r="A63" s="1277" t="s">
        <v>49</v>
      </c>
      <c r="B63" s="1277" t="s">
        <v>29</v>
      </c>
      <c r="C63" s="333">
        <v>65</v>
      </c>
      <c r="D63" s="333">
        <v>1680060.0171032301</v>
      </c>
      <c r="E63" s="333">
        <v>93</v>
      </c>
      <c r="F63" s="333">
        <v>1473239.43546136</v>
      </c>
    </row>
    <row r="64" spans="1:6">
      <c r="A64" s="1277" t="s">
        <v>56</v>
      </c>
      <c r="B64" s="1277" t="s">
        <v>57</v>
      </c>
      <c r="C64" s="333">
        <v>0</v>
      </c>
      <c r="D64" s="333">
        <v>0</v>
      </c>
      <c r="E64" s="333">
        <v>0</v>
      </c>
      <c r="F64" s="333">
        <v>0</v>
      </c>
    </row>
    <row r="65" spans="1:6">
      <c r="A65" s="1277" t="s">
        <v>56</v>
      </c>
      <c r="B65" s="1277" t="s">
        <v>29</v>
      </c>
      <c r="C65" s="333">
        <v>1</v>
      </c>
      <c r="D65" s="333">
        <v>5339.8125079759002</v>
      </c>
      <c r="E65" s="333">
        <v>3</v>
      </c>
      <c r="F65" s="333">
        <v>9624.0886108264003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102986.08631688901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40747011</v>
      </c>
      <c r="E73" s="333">
        <v>44141733.65875975</v>
      </c>
      <c r="F73" s="333">
        <v>37152430</v>
      </c>
    </row>
    <row r="74" spans="1:6">
      <c r="A74" s="1277" t="s">
        <v>64</v>
      </c>
      <c r="B74" s="1277" t="s">
        <v>774</v>
      </c>
      <c r="C74" s="1288" t="s">
        <v>775</v>
      </c>
      <c r="D74" s="333">
        <v>3561097.7233257038</v>
      </c>
      <c r="E74" s="333">
        <v>3827140.0756069878</v>
      </c>
      <c r="F74" s="333">
        <v>3316774.4043825874</v>
      </c>
    </row>
    <row r="75" spans="1:6">
      <c r="A75" s="1277" t="s">
        <v>65</v>
      </c>
      <c r="B75" s="1277" t="s">
        <v>772</v>
      </c>
      <c r="C75" s="1288" t="s">
        <v>776</v>
      </c>
      <c r="D75" s="333">
        <v>22680979</v>
      </c>
      <c r="E75" s="333">
        <v>24505964.181273244</v>
      </c>
      <c r="F75" s="333">
        <v>20671106</v>
      </c>
    </row>
    <row r="76" spans="1:6">
      <c r="A76" s="1277" t="s">
        <v>65</v>
      </c>
      <c r="B76" s="1277" t="s">
        <v>774</v>
      </c>
      <c r="C76" s="1288" t="s">
        <v>777</v>
      </c>
      <c r="D76" s="333">
        <v>1907384.7233257038</v>
      </c>
      <c r="E76" s="333">
        <v>2052546.4986134877</v>
      </c>
      <c r="F76" s="333">
        <v>1769255.4043825874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255164.55334859254</v>
      </c>
      <c r="C83" s="333">
        <v>233125.4152622775</v>
      </c>
      <c r="D83" s="333">
        <v>229767.19123482521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7598.5958320085565</v>
      </c>
    </row>
    <row r="91" spans="1:6">
      <c r="A91" s="1277" t="s">
        <v>68</v>
      </c>
      <c r="B91" s="333">
        <v>1399.9073909090682</v>
      </c>
    </row>
    <row r="92" spans="1:6">
      <c r="A92" s="1273" t="s">
        <v>69</v>
      </c>
      <c r="B92" s="336">
        <v>40.918447025758468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1055</v>
      </c>
    </row>
    <row r="98" spans="1:6">
      <c r="A98" s="1277" t="s">
        <v>72</v>
      </c>
      <c r="B98" s="333">
        <v>3</v>
      </c>
    </row>
    <row r="99" spans="1:6">
      <c r="A99" s="1277" t="s">
        <v>73</v>
      </c>
      <c r="B99" s="333">
        <v>179</v>
      </c>
    </row>
    <row r="100" spans="1:6">
      <c r="A100" s="1277" t="s">
        <v>74</v>
      </c>
      <c r="B100" s="333">
        <v>711</v>
      </c>
    </row>
    <row r="101" spans="1:6">
      <c r="A101" s="1277" t="s">
        <v>75</v>
      </c>
      <c r="B101" s="333">
        <v>87</v>
      </c>
    </row>
    <row r="102" spans="1:6">
      <c r="A102" s="1277" t="s">
        <v>76</v>
      </c>
      <c r="B102" s="333">
        <v>120</v>
      </c>
    </row>
    <row r="103" spans="1:6">
      <c r="A103" s="1277" t="s">
        <v>77</v>
      </c>
      <c r="B103" s="333">
        <v>285</v>
      </c>
    </row>
    <row r="104" spans="1:6">
      <c r="A104" s="1277" t="s">
        <v>78</v>
      </c>
      <c r="B104" s="333">
        <v>2904</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34</v>
      </c>
    </row>
    <row r="130" spans="1:6">
      <c r="A130" s="1277" t="s">
        <v>295</v>
      </c>
      <c r="B130" s="333">
        <v>2</v>
      </c>
    </row>
    <row r="131" spans="1:6">
      <c r="A131" s="1277" t="s">
        <v>296</v>
      </c>
      <c r="B131" s="333">
        <v>1</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50599.364546049554</v>
      </c>
      <c r="C3" s="43" t="s">
        <v>170</v>
      </c>
      <c r="D3" s="43"/>
      <c r="E3" s="156"/>
      <c r="F3" s="43"/>
      <c r="G3" s="43"/>
      <c r="H3" s="43"/>
      <c r="I3" s="43"/>
      <c r="J3" s="43"/>
      <c r="K3" s="96"/>
    </row>
    <row r="4" spans="1:11">
      <c r="A4" s="364" t="s">
        <v>171</v>
      </c>
      <c r="B4" s="49">
        <f>IF(ISERROR('SEAP template'!B78),0,'SEAP template'!B78)</f>
        <v>9052.9216699433837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0.80205882352941171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0.18147591411125547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1.1457983193277312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4.8214285714285712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1122.8900000000001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1122.8900000000001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0.18147591411125547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203.77748919638768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30301.365418375</v>
      </c>
      <c r="C5" s="17">
        <f>IF(ISERROR('Eigen informatie GS &amp; warmtenet'!B57),0,'Eigen informatie GS &amp; warmtenet'!B57)</f>
        <v>0</v>
      </c>
      <c r="D5" s="30">
        <f>(SUM(HH_hh_gas_kWh,HH_rest_gas_kWh)/1000)*0.902</f>
        <v>38426.485495864319</v>
      </c>
      <c r="E5" s="17">
        <f>B46*B57</f>
        <v>6832.5660441226401</v>
      </c>
      <c r="F5" s="17">
        <f>B51*B62</f>
        <v>33177.064027225162</v>
      </c>
      <c r="G5" s="18"/>
      <c r="H5" s="17"/>
      <c r="I5" s="17"/>
      <c r="J5" s="17">
        <f>B50*B61+C50*C61</f>
        <v>3557.0699963346869</v>
      </c>
      <c r="K5" s="17"/>
      <c r="L5" s="17"/>
      <c r="M5" s="17"/>
      <c r="N5" s="17">
        <f>B48*B59+C48*C59</f>
        <v>9608.3753605925031</v>
      </c>
      <c r="O5" s="17">
        <f>B69*B70*B71</f>
        <v>62.533333333333331</v>
      </c>
      <c r="P5" s="17">
        <f>B77*B78*B79/1000-B77*B78*B79/1000/B80</f>
        <v>286</v>
      </c>
    </row>
    <row r="6" spans="1:16">
      <c r="A6" s="16" t="s">
        <v>632</v>
      </c>
      <c r="B6" s="779">
        <f>kWh_PV_kleiner_dan_10kW</f>
        <v>1399.9073909090682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31701.27280928407</v>
      </c>
      <c r="C8" s="21">
        <f>C5</f>
        <v>0</v>
      </c>
      <c r="D8" s="21">
        <f>D5</f>
        <v>38426.485495864319</v>
      </c>
      <c r="E8" s="21">
        <f>E5</f>
        <v>6832.5660441226401</v>
      </c>
      <c r="F8" s="21">
        <f>F5</f>
        <v>33177.064027225162</v>
      </c>
      <c r="G8" s="21"/>
      <c r="H8" s="21"/>
      <c r="I8" s="21"/>
      <c r="J8" s="21">
        <f>J5</f>
        <v>3557.0699963346869</v>
      </c>
      <c r="K8" s="21"/>
      <c r="L8" s="21">
        <f>L5</f>
        <v>0</v>
      </c>
      <c r="M8" s="21">
        <f>M5</f>
        <v>0</v>
      </c>
      <c r="N8" s="21">
        <f>N5</f>
        <v>9608.3753605925031</v>
      </c>
      <c r="O8" s="21">
        <f>O5</f>
        <v>62.533333333333331</v>
      </c>
      <c r="P8" s="21">
        <f>P5</f>
        <v>286</v>
      </c>
    </row>
    <row r="9" spans="1:16">
      <c r="B9" s="19"/>
      <c r="C9" s="19"/>
      <c r="D9" s="260"/>
      <c r="E9" s="19"/>
      <c r="F9" s="19"/>
      <c r="G9" s="19"/>
      <c r="H9" s="19"/>
      <c r="I9" s="19"/>
      <c r="J9" s="19"/>
      <c r="K9" s="19"/>
      <c r="L9" s="19"/>
      <c r="M9" s="19"/>
      <c r="N9" s="19"/>
      <c r="O9" s="19"/>
      <c r="P9" s="19"/>
    </row>
    <row r="10" spans="1:16">
      <c r="A10" s="24" t="s">
        <v>214</v>
      </c>
      <c r="B10" s="25">
        <f ca="1">'EF ele_warmte'!B12</f>
        <v>0.18147591411125547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5753.0174615551141</v>
      </c>
      <c r="C12" s="23">
        <f ca="1">C10*C8</f>
        <v>0</v>
      </c>
      <c r="D12" s="23">
        <f>D8*D10</f>
        <v>7762.1500701645928</v>
      </c>
      <c r="E12" s="23">
        <f>E10*E8</f>
        <v>1550.9924920158394</v>
      </c>
      <c r="F12" s="23">
        <f>F10*F8</f>
        <v>8858.2760952691187</v>
      </c>
      <c r="G12" s="23"/>
      <c r="H12" s="23"/>
      <c r="I12" s="23"/>
      <c r="J12" s="23">
        <f>J10*J8</f>
        <v>1259.202778702479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1055</v>
      </c>
      <c r="C18" s="167" t="s">
        <v>111</v>
      </c>
      <c r="D18" s="229"/>
      <c r="E18" s="15"/>
    </row>
    <row r="19" spans="1:7">
      <c r="A19" s="172" t="s">
        <v>72</v>
      </c>
      <c r="B19" s="37">
        <f>aantalw2001_ander</f>
        <v>3</v>
      </c>
      <c r="C19" s="167" t="s">
        <v>111</v>
      </c>
      <c r="D19" s="230"/>
      <c r="E19" s="15"/>
    </row>
    <row r="20" spans="1:7">
      <c r="A20" s="172" t="s">
        <v>73</v>
      </c>
      <c r="B20" s="37">
        <f>aantalw2001_propaan</f>
        <v>179</v>
      </c>
      <c r="C20" s="168">
        <f>IF(ISERROR(B20/SUM($B$20,$B$21,$B$22)*100),0,B20/SUM($B$20,$B$21,$B$22)*100)</f>
        <v>18.321392016376663</v>
      </c>
      <c r="D20" s="230"/>
      <c r="E20" s="15"/>
    </row>
    <row r="21" spans="1:7">
      <c r="A21" s="172" t="s">
        <v>74</v>
      </c>
      <c r="B21" s="37">
        <f>aantalw2001_elektriciteit</f>
        <v>711</v>
      </c>
      <c r="C21" s="168">
        <f>IF(ISERROR(B21/SUM($B$20,$B$21,$B$22)*100),0,B21/SUM($B$20,$B$21,$B$22)*100)</f>
        <v>72.773797338792221</v>
      </c>
      <c r="D21" s="230"/>
      <c r="E21" s="15"/>
    </row>
    <row r="22" spans="1:7">
      <c r="A22" s="172" t="s">
        <v>75</v>
      </c>
      <c r="B22" s="37">
        <f>aantalw2001_hout</f>
        <v>87</v>
      </c>
      <c r="C22" s="168">
        <f>IF(ISERROR(B22/SUM($B$20,$B$21,$B$22)*100),0,B22/SUM($B$20,$B$21,$B$22)*100)</f>
        <v>8.904810644831116</v>
      </c>
      <c r="D22" s="230"/>
      <c r="E22" s="15"/>
    </row>
    <row r="23" spans="1:7">
      <c r="A23" s="172" t="s">
        <v>76</v>
      </c>
      <c r="B23" s="37">
        <f>aantalw2001_niet_gespec</f>
        <v>120</v>
      </c>
      <c r="C23" s="167" t="s">
        <v>111</v>
      </c>
      <c r="D23" s="229"/>
      <c r="E23" s="15"/>
    </row>
    <row r="24" spans="1:7">
      <c r="A24" s="172" t="s">
        <v>77</v>
      </c>
      <c r="B24" s="37">
        <f>aantalw2001_steenkool</f>
        <v>285</v>
      </c>
      <c r="C24" s="167" t="s">
        <v>111</v>
      </c>
      <c r="D24" s="230"/>
      <c r="E24" s="15"/>
    </row>
    <row r="25" spans="1:7">
      <c r="A25" s="172" t="s">
        <v>78</v>
      </c>
      <c r="B25" s="37">
        <f>aantalw2001_stookolie</f>
        <v>2904</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6072</v>
      </c>
      <c r="C28" s="36"/>
      <c r="D28" s="229"/>
    </row>
    <row r="29" spans="1:7" s="15" customFormat="1">
      <c r="A29" s="231" t="s">
        <v>713</v>
      </c>
      <c r="B29" s="37">
        <f>SUM(HH_hh_gas_aantal,HH_rest_gas_aantal)</f>
        <v>2665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2665</v>
      </c>
      <c r="C32" s="168">
        <f>IF(ISERROR(B32/SUM($B$32,$B$34,$B$35,$B$36,$B$38,$B$39)*100),0,B32/SUM($B$32,$B$34,$B$35,$B$36,$B$38,$B$39)*100)</f>
        <v>43.998679214132416</v>
      </c>
      <c r="D32" s="234"/>
      <c r="G32" s="15"/>
    </row>
    <row r="33" spans="1:7">
      <c r="A33" s="172" t="s">
        <v>72</v>
      </c>
      <c r="B33" s="34" t="s">
        <v>111</v>
      </c>
      <c r="C33" s="168"/>
      <c r="D33" s="234"/>
      <c r="G33" s="15"/>
    </row>
    <row r="34" spans="1:7">
      <c r="A34" s="172" t="s">
        <v>73</v>
      </c>
      <c r="B34" s="33">
        <f>IF((($B$28-$B$32-$B$39-$B$77-$B$38)*C20/100)&lt;0,0,($B$28-$B$32-$B$39-$B$77-$B$38)*C20/100)</f>
        <v>332.16683725690893</v>
      </c>
      <c r="C34" s="168">
        <f>IF(ISERROR(B34/SUM($B$32,$B$34,$B$35,$B$36,$B$38,$B$39)*100),0,B34/SUM($B$32,$B$34,$B$35,$B$36,$B$38,$B$39)*100)</f>
        <v>5.4840158041424631</v>
      </c>
      <c r="D34" s="234"/>
      <c r="G34" s="15"/>
    </row>
    <row r="35" spans="1:7">
      <c r="A35" s="172" t="s">
        <v>74</v>
      </c>
      <c r="B35" s="33">
        <f>IF((($B$28-$B$32-$B$39-$B$77-$B$38)*C21/100)&lt;0,0,($B$28-$B$32-$B$39-$B$77-$B$38)*C21/100)</f>
        <v>1319.3889457523028</v>
      </c>
      <c r="C35" s="168">
        <f>IF(ISERROR(B35/SUM($B$32,$B$34,$B$35,$B$36,$B$38,$B$39)*100),0,B35/SUM($B$32,$B$34,$B$35,$B$36,$B$38,$B$39)*100)</f>
        <v>21.782878417571457</v>
      </c>
      <c r="D35" s="234"/>
      <c r="G35" s="15"/>
    </row>
    <row r="36" spans="1:7">
      <c r="A36" s="172" t="s">
        <v>75</v>
      </c>
      <c r="B36" s="33">
        <f>IF((($B$28-$B$32-$B$39-$B$77-$B$38)*C22/100)&lt;0,0,($B$28-$B$32-$B$39-$B$77-$B$38)*C22/100)</f>
        <v>161.44421699078814</v>
      </c>
      <c r="C36" s="168">
        <f>IF(ISERROR(B36/SUM($B$32,$B$34,$B$35,$B$36,$B$38,$B$39)*100),0,B36/SUM($B$32,$B$34,$B$35,$B$36,$B$38,$B$39)*100)</f>
        <v>2.665415502572035</v>
      </c>
      <c r="D36" s="234"/>
      <c r="G36" s="15"/>
    </row>
    <row r="37" spans="1:7">
      <c r="A37" s="172" t="s">
        <v>76</v>
      </c>
      <c r="B37" s="34" t="s">
        <v>111</v>
      </c>
      <c r="C37" s="168"/>
      <c r="D37" s="174"/>
      <c r="G37" s="15"/>
    </row>
    <row r="38" spans="1:7">
      <c r="A38" s="172" t="s">
        <v>77</v>
      </c>
      <c r="B38" s="33">
        <f>IF((B24-(B29-B18)*0.1)&lt;0,0,B24-(B29-B18)*0.1)</f>
        <v>124</v>
      </c>
      <c r="C38" s="168">
        <f>IF(ISERROR(B38/SUM($B$32,$B$34,$B$35,$B$36,$B$38,$B$39)*100),0,B38/SUM($B$32,$B$34,$B$35,$B$36,$B$38,$B$39)*100)</f>
        <v>2.0472180947663863</v>
      </c>
      <c r="D38" s="235"/>
      <c r="G38" s="15"/>
    </row>
    <row r="39" spans="1:7">
      <c r="A39" s="172" t="s">
        <v>78</v>
      </c>
      <c r="B39" s="33">
        <f>IF((B25-(B29-B18))&lt;0,0,B25-(B29-B18)*0.9)</f>
        <v>1455</v>
      </c>
      <c r="C39" s="168">
        <f>IF(ISERROR(B39/SUM($B$32,$B$34,$B$35,$B$36,$B$38,$B$39)*100),0,B39/SUM($B$32,$B$34,$B$35,$B$36,$B$38,$B$39)*100)</f>
        <v>24.021792966815259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2665</v>
      </c>
      <c r="C44" s="34" t="s">
        <v>111</v>
      </c>
      <c r="D44" s="175"/>
    </row>
    <row r="45" spans="1:7">
      <c r="A45" s="172" t="s">
        <v>72</v>
      </c>
      <c r="B45" s="33" t="str">
        <f t="shared" si="0"/>
        <v>-</v>
      </c>
      <c r="C45" s="34" t="s">
        <v>111</v>
      </c>
      <c r="D45" s="175"/>
    </row>
    <row r="46" spans="1:7">
      <c r="A46" s="172" t="s">
        <v>73</v>
      </c>
      <c r="B46" s="33">
        <f t="shared" si="0"/>
        <v>332.16683725690893</v>
      </c>
      <c r="C46" s="34" t="s">
        <v>111</v>
      </c>
      <c r="D46" s="175"/>
    </row>
    <row r="47" spans="1:7">
      <c r="A47" s="172" t="s">
        <v>74</v>
      </c>
      <c r="B47" s="33">
        <f t="shared" si="0"/>
        <v>1319.3889457523028</v>
      </c>
      <c r="C47" s="34" t="s">
        <v>111</v>
      </c>
      <c r="D47" s="175"/>
    </row>
    <row r="48" spans="1:7">
      <c r="A48" s="172" t="s">
        <v>75</v>
      </c>
      <c r="B48" s="33">
        <f t="shared" si="0"/>
        <v>161.44421699078814</v>
      </c>
      <c r="C48" s="33">
        <f>B48*10</f>
        <v>1614.4421699078814</v>
      </c>
      <c r="D48" s="235"/>
    </row>
    <row r="49" spans="1:6">
      <c r="A49" s="172" t="s">
        <v>76</v>
      </c>
      <c r="B49" s="33" t="str">
        <f t="shared" si="0"/>
        <v>-</v>
      </c>
      <c r="C49" s="34" t="s">
        <v>111</v>
      </c>
      <c r="D49" s="235"/>
    </row>
    <row r="50" spans="1:6">
      <c r="A50" s="172" t="s">
        <v>77</v>
      </c>
      <c r="B50" s="33">
        <f t="shared" si="0"/>
        <v>124</v>
      </c>
      <c r="C50" s="33">
        <f>B50*2</f>
        <v>248</v>
      </c>
      <c r="D50" s="235"/>
    </row>
    <row r="51" spans="1:6">
      <c r="A51" s="172" t="s">
        <v>78</v>
      </c>
      <c r="B51" s="33">
        <f t="shared" si="0"/>
        <v>1455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12330.208982648071</v>
      </c>
      <c r="C5" s="17">
        <f>IF(ISERROR('Eigen informatie GS &amp; warmtenet'!B58),0,'Eigen informatie GS &amp; warmtenet'!B58)</f>
        <v>0</v>
      </c>
      <c r="D5" s="30">
        <f>SUM(D6:D12)</f>
        <v>8374.8886212799662</v>
      </c>
      <c r="E5" s="17">
        <f>SUM(E6:E12)</f>
        <v>308.19889223885491</v>
      </c>
      <c r="F5" s="17">
        <f>SUM(F6:F12)</f>
        <v>2284.9506944474374</v>
      </c>
      <c r="G5" s="18"/>
      <c r="H5" s="17"/>
      <c r="I5" s="17"/>
      <c r="J5" s="17">
        <f>SUM(J6:J12)</f>
        <v>0</v>
      </c>
      <c r="K5" s="17"/>
      <c r="L5" s="17"/>
      <c r="M5" s="17"/>
      <c r="N5" s="17">
        <f>SUM(N6:N12)</f>
        <v>426.02809428297877</v>
      </c>
      <c r="O5" s="17">
        <f>B38*B39*B40</f>
        <v>3.1266666666666669</v>
      </c>
      <c r="P5" s="17">
        <f>B46*B47*B48/1000-B46*B47*B48/1000/B49</f>
        <v>19.066666666666666</v>
      </c>
      <c r="R5" s="32"/>
    </row>
    <row r="6" spans="1:18">
      <c r="A6" s="32" t="s">
        <v>54</v>
      </c>
      <c r="B6" s="37">
        <f>B26</f>
        <v>3440.9977424042499</v>
      </c>
      <c r="C6" s="33"/>
      <c r="D6" s="37">
        <f>IF(ISERROR(TER_kantoor_gas_kWh/1000),0,TER_kantoor_gas_kWh/1000)*0.902</f>
        <v>3742.0670960296775</v>
      </c>
      <c r="E6" s="33">
        <f>$C$26*'E Balans VL '!I12/100/3.6*1000000</f>
        <v>120.44845699743982</v>
      </c>
      <c r="F6" s="33">
        <f>$C$26*('E Balans VL '!L12+'E Balans VL '!N12)/100/3.6*1000000</f>
        <v>521.72913524608055</v>
      </c>
      <c r="G6" s="34"/>
      <c r="H6" s="33"/>
      <c r="I6" s="33"/>
      <c r="J6" s="33">
        <f>$C$26*('E Balans VL '!D12+'E Balans VL '!E12)/100/3.6*1000000</f>
        <v>0</v>
      </c>
      <c r="K6" s="33"/>
      <c r="L6" s="33"/>
      <c r="M6" s="33"/>
      <c r="N6" s="33">
        <f>$C$26*'E Balans VL '!Y12/100/3.6*1000000</f>
        <v>26.597835546131918</v>
      </c>
      <c r="O6" s="33"/>
      <c r="P6" s="33"/>
      <c r="R6" s="32"/>
    </row>
    <row r="7" spans="1:18">
      <c r="A7" s="32" t="s">
        <v>53</v>
      </c>
      <c r="B7" s="37">
        <f t="shared" ref="B7:B12" si="0">B27</f>
        <v>2304.73518147599</v>
      </c>
      <c r="C7" s="33"/>
      <c r="D7" s="37">
        <f>IF(ISERROR(TER_horeca_gas_kWh/1000),0,TER_horeca_gas_kWh/1000)*0.902</f>
        <v>1815.6472644457613</v>
      </c>
      <c r="E7" s="33">
        <f>$C$27*'E Balans VL '!I9/100/3.6*1000000</f>
        <v>130.01770974971205</v>
      </c>
      <c r="F7" s="33">
        <f>$C$27*('E Balans VL '!L9+'E Balans VL '!N9)/100/3.6*1000000</f>
        <v>401.4976231813726</v>
      </c>
      <c r="G7" s="34"/>
      <c r="H7" s="33"/>
      <c r="I7" s="33"/>
      <c r="J7" s="33">
        <f>$C$27*('E Balans VL '!D9+'E Balans VL '!E9)/100/3.6*1000000</f>
        <v>0</v>
      </c>
      <c r="K7" s="33"/>
      <c r="L7" s="33"/>
      <c r="M7" s="33"/>
      <c r="N7" s="33">
        <f>$C$27*'E Balans VL '!Y9/100/3.6*1000000</f>
        <v>0</v>
      </c>
      <c r="O7" s="33"/>
      <c r="P7" s="33"/>
      <c r="R7" s="32"/>
    </row>
    <row r="8" spans="1:18">
      <c r="A8" s="6" t="s">
        <v>52</v>
      </c>
      <c r="B8" s="37">
        <f t="shared" si="0"/>
        <v>3227.14288707583</v>
      </c>
      <c r="C8" s="33"/>
      <c r="D8" s="37">
        <f>IF(ISERROR(TER_handel_gas_kWh/1000),0,TER_handel_gas_kWh/1000)*0.902</f>
        <v>907.1269718765526</v>
      </c>
      <c r="E8" s="33">
        <f>$C$28*'E Balans VL '!I13/100/3.6*1000000</f>
        <v>16.567823709285246</v>
      </c>
      <c r="F8" s="33">
        <f>$C$28*('E Balans VL '!L13+'E Balans VL '!N13)/100/3.6*1000000</f>
        <v>497.57556871067567</v>
      </c>
      <c r="G8" s="34"/>
      <c r="H8" s="33"/>
      <c r="I8" s="33"/>
      <c r="J8" s="33">
        <f>$C$28*('E Balans VL '!D13+'E Balans VL '!E13)/100/3.6*1000000</f>
        <v>0</v>
      </c>
      <c r="K8" s="33"/>
      <c r="L8" s="33"/>
      <c r="M8" s="33"/>
      <c r="N8" s="33">
        <f>$C$28*'E Balans VL '!Y13/100/3.6*1000000</f>
        <v>1.5093741208666915</v>
      </c>
      <c r="O8" s="33"/>
      <c r="P8" s="33"/>
      <c r="R8" s="32"/>
    </row>
    <row r="9" spans="1:18">
      <c r="A9" s="32" t="s">
        <v>51</v>
      </c>
      <c r="B9" s="37">
        <f t="shared" si="0"/>
        <v>179.130470038379</v>
      </c>
      <c r="C9" s="33"/>
      <c r="D9" s="37">
        <f>IF(ISERROR(TER_gezond_gas_kWh/1000),0,TER_gezond_gas_kWh/1000)*0.902</f>
        <v>0</v>
      </c>
      <c r="E9" s="33">
        <f>$C$29*'E Balans VL '!I10/100/3.6*1000000</f>
        <v>7.4248304109422084E-2</v>
      </c>
      <c r="F9" s="33">
        <f>$C$29*('E Balans VL '!L10+'E Balans VL '!N10)/100/3.6*1000000</f>
        <v>44.117265696817171</v>
      </c>
      <c r="G9" s="34"/>
      <c r="H9" s="33"/>
      <c r="I9" s="33"/>
      <c r="J9" s="33">
        <f>$C$29*('E Balans VL '!D10+'E Balans VL '!E10)/100/3.6*1000000</f>
        <v>0</v>
      </c>
      <c r="K9" s="33"/>
      <c r="L9" s="33"/>
      <c r="M9" s="33"/>
      <c r="N9" s="33">
        <f>$C$29*'E Balans VL '!Y10/100/3.6*1000000</f>
        <v>1.5481306314573582</v>
      </c>
      <c r="O9" s="33"/>
      <c r="P9" s="33"/>
      <c r="R9" s="32"/>
    </row>
    <row r="10" spans="1:18">
      <c r="A10" s="32" t="s">
        <v>50</v>
      </c>
      <c r="B10" s="37">
        <f t="shared" si="0"/>
        <v>1536.3291203066199</v>
      </c>
      <c r="C10" s="33"/>
      <c r="D10" s="37">
        <f>IF(ISERROR(TER_ander_gas_kWh/1000),0,TER_ander_gas_kWh/1000)*0.902</f>
        <v>270.05874971813898</v>
      </c>
      <c r="E10" s="33">
        <f>$C$30*'E Balans VL '!I14/100/3.6*1000000</f>
        <v>9.3655002227727255</v>
      </c>
      <c r="F10" s="33">
        <f>$C$30*('E Balans VL '!L14+'E Balans VL '!N14)/100/3.6*1000000</f>
        <v>407.30189511495854</v>
      </c>
      <c r="G10" s="34"/>
      <c r="H10" s="33"/>
      <c r="I10" s="33"/>
      <c r="J10" s="33">
        <f>$C$30*('E Balans VL '!D14+'E Balans VL '!E14)/100/3.6*1000000</f>
        <v>0</v>
      </c>
      <c r="K10" s="33"/>
      <c r="L10" s="33"/>
      <c r="M10" s="33"/>
      <c r="N10" s="33">
        <f>$C$30*'E Balans VL '!Y14/100/3.6*1000000</f>
        <v>354.09066460187159</v>
      </c>
      <c r="O10" s="33"/>
      <c r="P10" s="33"/>
      <c r="R10" s="32"/>
    </row>
    <row r="11" spans="1:18">
      <c r="A11" s="32" t="s">
        <v>55</v>
      </c>
      <c r="B11" s="37">
        <f t="shared" si="0"/>
        <v>168.63414588564299</v>
      </c>
      <c r="C11" s="33"/>
      <c r="D11" s="37">
        <f>IF(ISERROR(TER_onderwijs_gas_kWh/1000),0,TER_onderwijs_gas_kWh/1000)*0.902</f>
        <v>124.5744037827229</v>
      </c>
      <c r="E11" s="33">
        <f>$C$31*'E Balans VL '!I11/100/3.6*1000000</f>
        <v>0.12850800003760027</v>
      </c>
      <c r="F11" s="33">
        <f>$C$31*('E Balans VL '!L11+'E Balans VL '!N11)/100/3.6*1000000</f>
        <v>122.03290949856597</v>
      </c>
      <c r="G11" s="34"/>
      <c r="H11" s="33"/>
      <c r="I11" s="33"/>
      <c r="J11" s="33">
        <f>$C$31*('E Balans VL '!D11+'E Balans VL '!E11)/100/3.6*1000000</f>
        <v>0</v>
      </c>
      <c r="K11" s="33"/>
      <c r="L11" s="33"/>
      <c r="M11" s="33"/>
      <c r="N11" s="33">
        <f>$C$31*'E Balans VL '!Y11/100/3.6*1000000</f>
        <v>0.49700513075145974</v>
      </c>
      <c r="O11" s="33"/>
      <c r="P11" s="33"/>
      <c r="R11" s="32"/>
    </row>
    <row r="12" spans="1:18">
      <c r="A12" s="32" t="s">
        <v>260</v>
      </c>
      <c r="B12" s="37">
        <f t="shared" si="0"/>
        <v>1473.23943546136</v>
      </c>
      <c r="C12" s="33"/>
      <c r="D12" s="37">
        <f>IF(ISERROR(TER_rest_gas_kWh/1000),0,TER_rest_gas_kWh/1000)*0.902</f>
        <v>1515.4141354271137</v>
      </c>
      <c r="E12" s="33">
        <f>$C$32*'E Balans VL '!I8/100/3.6*1000000</f>
        <v>31.596645255498089</v>
      </c>
      <c r="F12" s="33">
        <f>$C$32*('E Balans VL '!L8+'E Balans VL '!N8)/100/3.6*1000000</f>
        <v>290.69629699896694</v>
      </c>
      <c r="G12" s="34"/>
      <c r="H12" s="33"/>
      <c r="I12" s="33"/>
      <c r="J12" s="33">
        <f>$C$32*('E Balans VL '!D8+'E Balans VL '!E8)/100/3.6*1000000</f>
        <v>0</v>
      </c>
      <c r="K12" s="33"/>
      <c r="L12" s="33"/>
      <c r="M12" s="33"/>
      <c r="N12" s="33">
        <f>$C$32*'E Balans VL '!Y8/100/3.6*1000000</f>
        <v>41.785084251899789</v>
      </c>
      <c r="O12" s="33"/>
      <c r="P12" s="33"/>
      <c r="R12" s="32"/>
    </row>
    <row r="13" spans="1:18">
      <c r="A13" s="16" t="s">
        <v>496</v>
      </c>
      <c r="B13" s="248">
        <f ca="1">'lokale energieproductie'!N91+'lokale energieproductie'!N60</f>
        <v>16.874999999999996</v>
      </c>
      <c r="C13" s="248">
        <f ca="1">'lokale energieproductie'!O91+'lokale energieproductie'!O60</f>
        <v>4.8214285714285712</v>
      </c>
      <c r="D13" s="311">
        <f ca="1">('lokale energieproductie'!P60+'lokale energieproductie'!P91)*(-1)</f>
        <v>-9.6428571428571423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-33.749999999999993</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12347.083982648071</v>
      </c>
      <c r="C16" s="21">
        <f ca="1">C5+C13+C14</f>
        <v>4.8214285714285712</v>
      </c>
      <c r="D16" s="21">
        <f t="shared" ref="D16:N16" ca="1" si="1">MAX((D5+D13+D14),0)</f>
        <v>8365.2457641371093</v>
      </c>
      <c r="E16" s="21">
        <f t="shared" si="1"/>
        <v>308.19889223885491</v>
      </c>
      <c r="F16" s="21">
        <f t="shared" ca="1" si="1"/>
        <v>2284.9506944474374</v>
      </c>
      <c r="G16" s="21">
        <f t="shared" si="1"/>
        <v>0</v>
      </c>
      <c r="H16" s="21">
        <f t="shared" si="1"/>
        <v>0</v>
      </c>
      <c r="I16" s="21">
        <f t="shared" si="1"/>
        <v>0</v>
      </c>
      <c r="J16" s="21">
        <f t="shared" si="1"/>
        <v>0</v>
      </c>
      <c r="K16" s="21">
        <f t="shared" si="1"/>
        <v>0</v>
      </c>
      <c r="L16" s="21">
        <f t="shared" ca="1" si="1"/>
        <v>0</v>
      </c>
      <c r="M16" s="21">
        <f t="shared" si="1"/>
        <v>0</v>
      </c>
      <c r="N16" s="21">
        <f t="shared" ca="1" si="1"/>
        <v>392.27809428297877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0.18147591411125547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2240.6983523594995</v>
      </c>
      <c r="C20" s="23">
        <f t="shared" ref="C20:P20" ca="1" si="2">C16*C18</f>
        <v>1.1457983193277312</v>
      </c>
      <c r="D20" s="23">
        <f t="shared" ca="1" si="2"/>
        <v>1689.7796443556963</v>
      </c>
      <c r="E20" s="23">
        <f t="shared" si="2"/>
        <v>69.961148538220073</v>
      </c>
      <c r="F20" s="23">
        <f t="shared" ca="1" si="2"/>
        <v>610.08183541746587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3440.9977424042499</v>
      </c>
      <c r="C26" s="39">
        <f>IF(ISERROR(B26*3.6/1000000/'E Balans VL '!Z12*100),0,B26*3.6/1000000/'E Balans VL '!Z12*100)</f>
        <v>7.2410091023681081E-2</v>
      </c>
      <c r="D26" s="238" t="s">
        <v>719</v>
      </c>
      <c r="F26" s="6"/>
    </row>
    <row r="27" spans="1:18">
      <c r="A27" s="232" t="s">
        <v>53</v>
      </c>
      <c r="B27" s="33">
        <f>IF(ISERROR(TER_horeca_ele_kWh/1000),0,TER_horeca_ele_kWh/1000)</f>
        <v>2304.73518147599</v>
      </c>
      <c r="C27" s="39">
        <f>IF(ISERROR(B27*3.6/1000000/'E Balans VL '!Z9*100),0,B27*3.6/1000000/'E Balans VL '!Z9*100)</f>
        <v>0.1951354515696862</v>
      </c>
      <c r="D27" s="238" t="s">
        <v>719</v>
      </c>
      <c r="F27" s="6"/>
    </row>
    <row r="28" spans="1:18">
      <c r="A28" s="172" t="s">
        <v>52</v>
      </c>
      <c r="B28" s="33">
        <f>IF(ISERROR(TER_handel_ele_kWh/1000),0,TER_handel_ele_kWh/1000)</f>
        <v>3227.14288707583</v>
      </c>
      <c r="C28" s="39">
        <f>IF(ISERROR(B28*3.6/1000000/'E Balans VL '!Z13*100),0,B28*3.6/1000000/'E Balans VL '!Z13*100)</f>
        <v>8.934300458245556E-2</v>
      </c>
      <c r="D28" s="238" t="s">
        <v>719</v>
      </c>
      <c r="F28" s="6"/>
    </row>
    <row r="29" spans="1:18">
      <c r="A29" s="232" t="s">
        <v>51</v>
      </c>
      <c r="B29" s="33">
        <f>IF(ISERROR(TER_gezond_ele_kWh/1000),0,TER_gezond_ele_kWh/1000)</f>
        <v>179.130470038379</v>
      </c>
      <c r="C29" s="39">
        <f>IF(ISERROR(B29*3.6/1000000/'E Balans VL '!Z10*100),0,B29*3.6/1000000/'E Balans VL '!Z10*100)</f>
        <v>2.3284975212194213E-2</v>
      </c>
      <c r="D29" s="238" t="s">
        <v>719</v>
      </c>
      <c r="F29" s="6"/>
    </row>
    <row r="30" spans="1:18">
      <c r="A30" s="232" t="s">
        <v>50</v>
      </c>
      <c r="B30" s="33">
        <f>IF(ISERROR(TER_ander_ele_kWh/1000),0,TER_ander_ele_kWh/1000)</f>
        <v>1536.3291203066199</v>
      </c>
      <c r="C30" s="39">
        <f>IF(ISERROR(B30*3.6/1000000/'E Balans VL '!Z14*100),0,B30*3.6/1000000/'E Balans VL '!Z14*100)</f>
        <v>0.11907959603808568</v>
      </c>
      <c r="D30" s="238" t="s">
        <v>719</v>
      </c>
      <c r="F30" s="6"/>
    </row>
    <row r="31" spans="1:18">
      <c r="A31" s="232" t="s">
        <v>55</v>
      </c>
      <c r="B31" s="33">
        <f>IF(ISERROR(TER_onderwijs_ele_kWh/1000),0,TER_onderwijs_ele_kWh/1000)</f>
        <v>168.63414588564299</v>
      </c>
      <c r="C31" s="39">
        <f>IF(ISERROR(B31*3.6/1000000/'E Balans VL '!Z11*100),0,B31*3.6/1000000/'E Balans VL '!Z11*100)</f>
        <v>3.226258557296071E-2</v>
      </c>
      <c r="D31" s="238" t="s">
        <v>719</v>
      </c>
    </row>
    <row r="32" spans="1:18">
      <c r="A32" s="232" t="s">
        <v>260</v>
      </c>
      <c r="B32" s="33">
        <f>IF(ISERROR(TER_rest_ele_kWh/1000),0,TER_rest_ele_kWh/1000)</f>
        <v>1473.23943546136</v>
      </c>
      <c r="C32" s="39">
        <f>IF(ISERROR(B32*3.6/1000000/'E Balans VL '!Z8*100),0,B32*3.6/1000000/'E Balans VL '!Z8*100)</f>
        <v>1.2147990468869789E-2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2911.2691283623708</v>
      </c>
      <c r="C5" s="17">
        <f>IF(ISERROR('Eigen informatie GS &amp; warmtenet'!B59),0,'Eigen informatie GS &amp; warmtenet'!B59)</f>
        <v>0</v>
      </c>
      <c r="D5" s="30">
        <f>SUM(D6:D15)</f>
        <v>8373.714721686285</v>
      </c>
      <c r="E5" s="17">
        <f>SUM(E6:E15)</f>
        <v>36.503104682356465</v>
      </c>
      <c r="F5" s="17">
        <f>SUM(F6:F15)</f>
        <v>1155.9729042647837</v>
      </c>
      <c r="G5" s="18"/>
      <c r="H5" s="17"/>
      <c r="I5" s="17"/>
      <c r="J5" s="17">
        <f>SUM(J6:J15)</f>
        <v>12.239797134239307</v>
      </c>
      <c r="K5" s="17"/>
      <c r="L5" s="17"/>
      <c r="M5" s="17"/>
      <c r="N5" s="17">
        <f>SUM(N6:N15)</f>
        <v>106.32773407923563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61.473893334427395</v>
      </c>
      <c r="C8" s="33"/>
      <c r="D8" s="37">
        <f>IF( ISERROR(IND_metaal_Gas_kWH/1000),0,IND_metaal_Gas_kWH/1000)*0.902</f>
        <v>0</v>
      </c>
      <c r="E8" s="33">
        <f>C30*'E Balans VL '!I18/100/3.6*1000000</f>
        <v>0.43196348486170549</v>
      </c>
      <c r="F8" s="33">
        <f>C30*'E Balans VL '!L18/100/3.6*1000000+C30*'E Balans VL '!N18/100/3.6*1000000</f>
        <v>6.7494738304435433</v>
      </c>
      <c r="G8" s="34"/>
      <c r="H8" s="33"/>
      <c r="I8" s="33"/>
      <c r="J8" s="40">
        <f>C30*'E Balans VL '!D18/100/3.6*1000000+C30*'E Balans VL '!E18/100/3.6*1000000</f>
        <v>1.2683389198131483</v>
      </c>
      <c r="K8" s="33"/>
      <c r="L8" s="33"/>
      <c r="M8" s="33"/>
      <c r="N8" s="33">
        <f>C30*'E Balans VL '!Y18/100/3.6*1000000</f>
        <v>0.23040857956248301</v>
      </c>
      <c r="O8" s="33"/>
      <c r="P8" s="33"/>
      <c r="R8" s="32"/>
    </row>
    <row r="9" spans="1:18">
      <c r="A9" s="6" t="s">
        <v>33</v>
      </c>
      <c r="B9" s="37">
        <f t="shared" si="0"/>
        <v>1046.61302394064</v>
      </c>
      <c r="C9" s="33"/>
      <c r="D9" s="37">
        <f>IF( ISERROR(IND_andere_gas_kWh/1000),0,IND_andere_gas_kWh/1000)*0.902</f>
        <v>594.68738782860873</v>
      </c>
      <c r="E9" s="33">
        <f>C31*'E Balans VL '!I19/100/3.6*1000000</f>
        <v>17.579147878973888</v>
      </c>
      <c r="F9" s="33">
        <f>C31*'E Balans VL '!L19/100/3.6*1000000+C31*'E Balans VL '!N19/100/3.6*1000000</f>
        <v>818.18245148992969</v>
      </c>
      <c r="G9" s="34"/>
      <c r="H9" s="33"/>
      <c r="I9" s="33"/>
      <c r="J9" s="40">
        <f>C31*'E Balans VL '!D19/100/3.6*1000000+C31*'E Balans VL '!E19/100/3.6*1000000</f>
        <v>9.4395255903427691E-2</v>
      </c>
      <c r="K9" s="33"/>
      <c r="L9" s="33"/>
      <c r="M9" s="33"/>
      <c r="N9" s="33">
        <f>C31*'E Balans VL '!Y19/100/3.6*1000000</f>
        <v>77.570816501699142</v>
      </c>
      <c r="O9" s="33"/>
      <c r="P9" s="33"/>
      <c r="R9" s="32"/>
    </row>
    <row r="10" spans="1:18">
      <c r="A10" s="6" t="s">
        <v>41</v>
      </c>
      <c r="B10" s="37">
        <f t="shared" si="0"/>
        <v>428.03630794822698</v>
      </c>
      <c r="C10" s="33"/>
      <c r="D10" s="37">
        <f>IF( ISERROR(IND_voed_gas_kWh/1000),0,IND_voed_gas_kWh/1000)*0.902</f>
        <v>142.69201240745423</v>
      </c>
      <c r="E10" s="33">
        <f>C32*'E Balans VL '!I20/100/3.6*1000000</f>
        <v>3.9052254032404061</v>
      </c>
      <c r="F10" s="33">
        <f>C32*'E Balans VL '!L20/100/3.6*1000000+C32*'E Balans VL '!N20/100/3.6*1000000</f>
        <v>69.055644664257343</v>
      </c>
      <c r="G10" s="34"/>
      <c r="H10" s="33"/>
      <c r="I10" s="33"/>
      <c r="J10" s="40">
        <f>C32*'E Balans VL '!D20/100/3.6*1000000+C32*'E Balans VL '!E20/100/3.6*1000000</f>
        <v>1.7629341503184097</v>
      </c>
      <c r="K10" s="33"/>
      <c r="L10" s="33"/>
      <c r="M10" s="33"/>
      <c r="N10" s="33">
        <f>C32*'E Balans VL '!Y20/100/3.6*1000000</f>
        <v>6.2618336691809935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137.934726133646</v>
      </c>
      <c r="C12" s="33"/>
      <c r="D12" s="37">
        <f>IF( ISERROR(IND_min_gas_kWh/1000),0,IND_min_gas_kWh/1000)*0.902</f>
        <v>0</v>
      </c>
      <c r="E12" s="33">
        <f>C34*'E Balans VL '!I22/100/3.6*1000000</f>
        <v>3.4212296405735314</v>
      </c>
      <c r="F12" s="33">
        <f>C34*'E Balans VL '!L22/100/3.6*1000000+C34*'E Balans VL '!N22/100/3.6*1000000</f>
        <v>14.656885376186786</v>
      </c>
      <c r="G12" s="34"/>
      <c r="H12" s="33"/>
      <c r="I12" s="33"/>
      <c r="J12" s="40">
        <f>C34*'E Balans VL '!D22/100/3.6*1000000+C34*'E Balans VL '!E22/100/3.6*1000000</f>
        <v>0.78355017932276783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1237.21117700543</v>
      </c>
      <c r="C15" s="33"/>
      <c r="D15" s="37">
        <f>IF( ISERROR(IND_rest_gas_kWh/1000),0,IND_rest_gas_kWh/1000)*0.902</f>
        <v>7636.3353214502222</v>
      </c>
      <c r="E15" s="33">
        <f>C37*'E Balans VL '!I15/100/3.6*1000000</f>
        <v>11.165538274706936</v>
      </c>
      <c r="F15" s="33">
        <f>C37*'E Balans VL '!L15/100/3.6*1000000+C37*'E Balans VL '!N15/100/3.6*1000000</f>
        <v>247.3284489039662</v>
      </c>
      <c r="G15" s="34"/>
      <c r="H15" s="33"/>
      <c r="I15" s="33"/>
      <c r="J15" s="40">
        <f>C37*'E Balans VL '!D15/100/3.6*1000000+C37*'E Balans VL '!E15/100/3.6*1000000</f>
        <v>8.330578628881554</v>
      </c>
      <c r="K15" s="33"/>
      <c r="L15" s="33"/>
      <c r="M15" s="33"/>
      <c r="N15" s="33">
        <f>C37*'E Balans VL '!Y15/100/3.6*1000000</f>
        <v>22.264675328793015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2911.2691283623708</v>
      </c>
      <c r="C18" s="21">
        <f>C5+C16</f>
        <v>0</v>
      </c>
      <c r="D18" s="21">
        <f>MAX((D5+D16),0)</f>
        <v>8373.714721686285</v>
      </c>
      <c r="E18" s="21">
        <f>MAX((E5+E16),0)</f>
        <v>36.503104682356465</v>
      </c>
      <c r="F18" s="21">
        <f>MAX((F5+F16),0)</f>
        <v>1155.9729042647837</v>
      </c>
      <c r="G18" s="21"/>
      <c r="H18" s="21"/>
      <c r="I18" s="21"/>
      <c r="J18" s="21">
        <f>MAX((J5+J16),0)</f>
        <v>12.239797134239307</v>
      </c>
      <c r="K18" s="21"/>
      <c r="L18" s="21">
        <f>MAX((L5+L16),0)</f>
        <v>0</v>
      </c>
      <c r="M18" s="21"/>
      <c r="N18" s="21">
        <f>MAX((N5+N16),0)</f>
        <v>106.32773407923563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0.18147591411125547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528.32522629343919</v>
      </c>
      <c r="C22" s="23">
        <f ca="1">C18*C20</f>
        <v>0</v>
      </c>
      <c r="D22" s="23">
        <f>D18*D20</f>
        <v>1691.4903737806296</v>
      </c>
      <c r="E22" s="23">
        <f>E18*E20</f>
        <v>8.2862047628949185</v>
      </c>
      <c r="F22" s="23">
        <f>F18*F20</f>
        <v>308.64476543869728</v>
      </c>
      <c r="G22" s="23"/>
      <c r="H22" s="23"/>
      <c r="I22" s="23"/>
      <c r="J22" s="23">
        <f>J18*J20</f>
        <v>4.3328881855207149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61.473893334427395</v>
      </c>
      <c r="C30" s="39">
        <f>IF(ISERROR(B30*3.6/1000000/'E Balans VL '!Z18*100),0,B30*3.6/1000000/'E Balans VL '!Z18*100)</f>
        <v>4.0923546183778128E-3</v>
      </c>
      <c r="D30" s="238" t="s">
        <v>719</v>
      </c>
    </row>
    <row r="31" spans="1:18">
      <c r="A31" s="6" t="s">
        <v>33</v>
      </c>
      <c r="B31" s="37">
        <f>IF( ISERROR(IND_ander_ele_kWh/1000),0,IND_ander_ele_kWh/1000)</f>
        <v>1046.61302394064</v>
      </c>
      <c r="C31" s="39">
        <f>IF(ISERROR(B31*3.6/1000000/'E Balans VL '!Z19*100),0,B31*3.6/1000000/'E Balans VL '!Z19*100)</f>
        <v>4.6392207679500301E-2</v>
      </c>
      <c r="D31" s="238" t="s">
        <v>719</v>
      </c>
    </row>
    <row r="32" spans="1:18">
      <c r="A32" s="172" t="s">
        <v>41</v>
      </c>
      <c r="B32" s="37">
        <f>IF( ISERROR(IND_voed_ele_kWh/1000),0,IND_voed_ele_kWh/1000)</f>
        <v>428.03630794822698</v>
      </c>
      <c r="C32" s="39">
        <f>IF(ISERROR(B32*3.6/1000000/'E Balans VL '!Z20*100),0,B32*3.6/1000000/'E Balans VL '!Z20*100)</f>
        <v>1.4297640562719909E-2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137.934726133646</v>
      </c>
      <c r="C34" s="39">
        <f>IF(ISERROR(B34*3.6/1000000/'E Balans VL '!Z22*100),0,B34*3.6/1000000/'E Balans VL '!Z22*100)</f>
        <v>2.6826789106152587E-2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1237.21117700543</v>
      </c>
      <c r="C37" s="39">
        <f>IF(ISERROR(B37*3.6/1000000/'E Balans VL '!Z15*100),0,B37*3.6/1000000/'E Balans VL '!Z15*100)</f>
        <v>9.202835567501063E-3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1047.4882620917786</v>
      </c>
      <c r="C5" s="17">
        <f>'Eigen informatie GS &amp; warmtenet'!B60</f>
        <v>0</v>
      </c>
      <c r="D5" s="30">
        <f>IF(ISERROR(SUM(LB_lb_gas_kWh,LB_rest_gas_kWh)/1000),0,SUM(LB_lb_gas_kWh,LB_rest_gas_kWh)/1000)*0.902</f>
        <v>1287.4934268532518</v>
      </c>
      <c r="E5" s="17">
        <f>B17*'E Balans VL '!I25/3.6*1000000/100</f>
        <v>10.969523852586139</v>
      </c>
      <c r="F5" s="17">
        <f>B17*('E Balans VL '!L25/3.6*1000000+'E Balans VL '!N25/3.6*1000000)/100</f>
        <v>4484.0456837946313</v>
      </c>
      <c r="G5" s="18"/>
      <c r="H5" s="17"/>
      <c r="I5" s="17"/>
      <c r="J5" s="17">
        <f>('E Balans VL '!D25+'E Balans VL '!E25)/3.6*1000000*landbouw!B17/100</f>
        <v>93.550090602258649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1047.4882620917786</v>
      </c>
      <c r="C8" s="21">
        <f>C5+C6</f>
        <v>0</v>
      </c>
      <c r="D8" s="21">
        <f>MAX((D5+D6),0)</f>
        <v>1287.4934268532518</v>
      </c>
      <c r="E8" s="21">
        <f>MAX((E5+E6),0)</f>
        <v>10.969523852586139</v>
      </c>
      <c r="F8" s="21">
        <f>MAX((F5+F6),0)</f>
        <v>4484.0456837946313</v>
      </c>
      <c r="G8" s="21"/>
      <c r="H8" s="21"/>
      <c r="I8" s="21"/>
      <c r="J8" s="21">
        <f>MAX((J5+J6),0)</f>
        <v>93.550090602258649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0.18147591411125547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190.09388988391586</v>
      </c>
      <c r="C12" s="23">
        <f ca="1">C8*C10</f>
        <v>0</v>
      </c>
      <c r="D12" s="23">
        <f>D8*D10</f>
        <v>260.07367222435687</v>
      </c>
      <c r="E12" s="23">
        <f>E8*E10</f>
        <v>2.4900819145370536</v>
      </c>
      <c r="F12" s="23">
        <f>F8*F10</f>
        <v>1197.2401975731666</v>
      </c>
      <c r="G12" s="23"/>
      <c r="H12" s="23"/>
      <c r="I12" s="23"/>
      <c r="J12" s="23">
        <f>J8*J10</f>
        <v>33.116732073199557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0.16122866379605555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269.03125322423961</v>
      </c>
      <c r="C26" s="248">
        <f>B26*'GWP N2O_CH4'!B5</f>
        <v>5649.656317709032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57.39292947204212</v>
      </c>
      <c r="C27" s="248">
        <f>B27*'GWP N2O_CH4'!B5</f>
        <v>1205.2515189128844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3.4396359854924912</v>
      </c>
      <c r="C28" s="248">
        <f>B28*'GWP N2O_CH4'!B4</f>
        <v>1066.2871555026722</v>
      </c>
      <c r="D28" s="50"/>
    </row>
    <row r="29" spans="1:4">
      <c r="A29" s="41" t="s">
        <v>277</v>
      </c>
      <c r="B29" s="248">
        <f>B34*'ha_N2O bodem landbouw'!B4</f>
        <v>17.040436120841932</v>
      </c>
      <c r="C29" s="248">
        <f>B29*'GWP N2O_CH4'!B4</f>
        <v>5282.5351974609985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2.81615587288937E-3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1.8230791256919365E-6</v>
      </c>
      <c r="C5" s="446" t="s">
        <v>211</v>
      </c>
      <c r="D5" s="431">
        <f>SUM(D6:D11)</f>
        <v>1.009052882128883E-5</v>
      </c>
      <c r="E5" s="431">
        <f>SUM(E6:E11)</f>
        <v>1.0042595528744545E-3</v>
      </c>
      <c r="F5" s="444" t="s">
        <v>211</v>
      </c>
      <c r="G5" s="431">
        <f>SUM(G6:G11)</f>
        <v>0.17857917329692724</v>
      </c>
      <c r="H5" s="431">
        <f>SUM(H6:H11)</f>
        <v>3.324569650417171E-2</v>
      </c>
      <c r="I5" s="446" t="s">
        <v>211</v>
      </c>
      <c r="J5" s="446" t="s">
        <v>211</v>
      </c>
      <c r="K5" s="446" t="s">
        <v>211</v>
      </c>
      <c r="L5" s="446" t="s">
        <v>211</v>
      </c>
      <c r="M5" s="431">
        <f>SUM(M6:M11)</f>
        <v>9.2495744968635191E-3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1.1711710427595091E-6</v>
      </c>
      <c r="C6" s="432"/>
      <c r="D6" s="432">
        <f>vkm_2011_GW_PW*SUMIFS(TableVerdeelsleutelVkm[CNG],TableVerdeelsleutelVkm[Voertuigtype],"Lichte voertuigen")*SUMIFS(TableECFTransport[EnergieConsumptieFactor (PJ per km)],TableECFTransport[Index],CONCATENATE($A6,"_CNG_CNG"))</f>
        <v>5.0487822285645425E-6</v>
      </c>
      <c r="E6" s="434">
        <f>vkm_2011_GW_PW*SUMIFS(TableVerdeelsleutelVkm[LPG],TableVerdeelsleutelVkm[Voertuigtype],"Lichte voertuigen")*SUMIFS(TableECFTransport[EnergieConsumptieFactor (PJ per km)],TableECFTransport[Index],CONCATENATE($A6,"_LPG_LPG"))</f>
        <v>5.2529481220457035E-4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6.4612703981919303E-2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1.7011185988077829E-2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3.5771501784100175E-3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3.3302368349787767E-2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1.1418920614668672E-5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1.4385999148929921E-3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6.5190808293242726E-7</v>
      </c>
      <c r="C8" s="432"/>
      <c r="D8" s="434">
        <f>vkm_2011_NGW_PW*SUMIFS(TableVerdeelsleutelVkm[CNG],TableVerdeelsleutelVkm[Voertuigtype],"Lichte voertuigen")*SUMIFS(TableECFTransport[EnergieConsumptieFactor (PJ per km)],TableECFTransport[Index],CONCATENATE($A8,"_CNG_CNG"))</f>
        <v>5.0417465927242877E-6</v>
      </c>
      <c r="E8" s="434">
        <f>vkm_2011_NGW_PW*SUMIFS(TableVerdeelsleutelVkm[LPG],TableVerdeelsleutelVkm[Voertuigtype],"Lichte voertuigen")*SUMIFS(TableECFTransport[EnergieConsumptieFactor (PJ per km)],TableECFTransport[Index],CONCATENATE($A8,"_LPG_LPG"))</f>
        <v>4.7896474066988417E-4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5.5878566681273938E-2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1.6215708635958753E-2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3.1631873787119546E-3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2.4785534283946236E-2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7.3829595204604623E-6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1.0706370248485552E-3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0.50641086824776016</v>
      </c>
      <c r="C14" s="21"/>
      <c r="D14" s="21">
        <f t="shared" ref="D14:M14" si="0">((D5)*10^9/3600)+D12</f>
        <v>2.8029246725802306</v>
      </c>
      <c r="E14" s="21">
        <f t="shared" si="0"/>
        <v>278.96098690957069</v>
      </c>
      <c r="F14" s="21"/>
      <c r="G14" s="21">
        <f t="shared" si="0"/>
        <v>49605.325915813126</v>
      </c>
      <c r="H14" s="21">
        <f t="shared" si="0"/>
        <v>9234.915695603253</v>
      </c>
      <c r="I14" s="21"/>
      <c r="J14" s="21"/>
      <c r="K14" s="21"/>
      <c r="L14" s="21"/>
      <c r="M14" s="21">
        <f t="shared" si="0"/>
        <v>2569.3262491287555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0.18147591411125547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9.1901375231136825E-2</v>
      </c>
      <c r="C18" s="23"/>
      <c r="D18" s="23">
        <f t="shared" ref="D18:M18" si="1">D14*D16</f>
        <v>0.56619078386120658</v>
      </c>
      <c r="E18" s="23">
        <f t="shared" si="1"/>
        <v>63.324144028472553</v>
      </c>
      <c r="F18" s="23"/>
      <c r="G18" s="23">
        <f t="shared" si="1"/>
        <v>13244.622019522105</v>
      </c>
      <c r="H18" s="23">
        <f t="shared" si="1"/>
        <v>2299.4940082052099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3.3504087883524016E-3</v>
      </c>
      <c r="H50" s="322">
        <f t="shared" si="2"/>
        <v>0</v>
      </c>
      <c r="I50" s="322">
        <f t="shared" si="2"/>
        <v>0</v>
      </c>
      <c r="J50" s="322">
        <f t="shared" si="2"/>
        <v>0</v>
      </c>
      <c r="K50" s="322">
        <f t="shared" si="2"/>
        <v>0</v>
      </c>
      <c r="L50" s="322">
        <f t="shared" si="2"/>
        <v>0</v>
      </c>
      <c r="M50" s="322">
        <f t="shared" si="2"/>
        <v>1.4281337087499271E-4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3.3504087883524016E-3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1.4281337087499271E-4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930.66910787566712</v>
      </c>
      <c r="H54" s="21">
        <f t="shared" si="3"/>
        <v>0</v>
      </c>
      <c r="I54" s="21">
        <f t="shared" si="3"/>
        <v>0</v>
      </c>
      <c r="J54" s="21">
        <f t="shared" si="3"/>
        <v>0</v>
      </c>
      <c r="K54" s="21">
        <f t="shared" si="3"/>
        <v>0</v>
      </c>
      <c r="L54" s="21">
        <f t="shared" si="3"/>
        <v>0</v>
      </c>
      <c r="M54" s="21">
        <f t="shared" si="3"/>
        <v>39.670380798609088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0.18147591411125547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248.48865180280313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13469.973982648071</v>
      </c>
      <c r="D10" s="687">
        <f ca="1">tertiair!C16</f>
        <v>4.8214285714285712</v>
      </c>
      <c r="E10" s="687">
        <f ca="1">tertiair!D16</f>
        <v>8365.2457641371093</v>
      </c>
      <c r="F10" s="687">
        <f>tertiair!E16</f>
        <v>308.19889223885491</v>
      </c>
      <c r="G10" s="687">
        <f ca="1">tertiair!F16</f>
        <v>2284.9506944474374</v>
      </c>
      <c r="H10" s="687">
        <f>tertiair!G16</f>
        <v>0</v>
      </c>
      <c r="I10" s="687">
        <f>tertiair!H16</f>
        <v>0</v>
      </c>
      <c r="J10" s="687">
        <f>tertiair!I16</f>
        <v>0</v>
      </c>
      <c r="K10" s="687">
        <f>tertiair!J16</f>
        <v>0</v>
      </c>
      <c r="L10" s="687">
        <f>tertiair!K16</f>
        <v>0</v>
      </c>
      <c r="M10" s="687">
        <f ca="1">tertiair!L16</f>
        <v>0</v>
      </c>
      <c r="N10" s="687">
        <f>tertiair!M16</f>
        <v>0</v>
      </c>
      <c r="O10" s="687">
        <f ca="1">tertiair!N16</f>
        <v>392.27809428297877</v>
      </c>
      <c r="P10" s="687">
        <f>tertiair!O16</f>
        <v>3.1266666666666669</v>
      </c>
      <c r="Q10" s="688">
        <f>tertiair!P16</f>
        <v>19.066666666666666</v>
      </c>
      <c r="R10" s="690">
        <f ca="1">SUM(C10:Q10)</f>
        <v>24847.662189659211</v>
      </c>
      <c r="S10" s="67"/>
    </row>
    <row r="11" spans="1:19" s="456" customFormat="1">
      <c r="A11" s="802" t="s">
        <v>225</v>
      </c>
      <c r="B11" s="807"/>
      <c r="C11" s="687">
        <f>huishoudens!B8</f>
        <v>31701.27280928407</v>
      </c>
      <c r="D11" s="687">
        <f>huishoudens!C8</f>
        <v>0</v>
      </c>
      <c r="E11" s="687">
        <f>huishoudens!D8</f>
        <v>38426.485495864319</v>
      </c>
      <c r="F11" s="687">
        <f>huishoudens!E8</f>
        <v>6832.5660441226401</v>
      </c>
      <c r="G11" s="687">
        <f>huishoudens!F8</f>
        <v>33177.064027225162</v>
      </c>
      <c r="H11" s="687">
        <f>huishoudens!G8</f>
        <v>0</v>
      </c>
      <c r="I11" s="687">
        <f>huishoudens!H8</f>
        <v>0</v>
      </c>
      <c r="J11" s="687">
        <f>huishoudens!I8</f>
        <v>0</v>
      </c>
      <c r="K11" s="687">
        <f>huishoudens!J8</f>
        <v>3557.0699963346869</v>
      </c>
      <c r="L11" s="687">
        <f>huishoudens!K8</f>
        <v>0</v>
      </c>
      <c r="M11" s="687">
        <f>huishoudens!L8</f>
        <v>0</v>
      </c>
      <c r="N11" s="687">
        <f>huishoudens!M8</f>
        <v>0</v>
      </c>
      <c r="O11" s="687">
        <f>huishoudens!N8</f>
        <v>9608.3753605925031</v>
      </c>
      <c r="P11" s="687">
        <f>huishoudens!O8</f>
        <v>62.533333333333331</v>
      </c>
      <c r="Q11" s="688">
        <f>huishoudens!P8</f>
        <v>286</v>
      </c>
      <c r="R11" s="690">
        <f>SUM(C11:Q11)</f>
        <v>123651.36706675672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2911.2691283623708</v>
      </c>
      <c r="D13" s="687">
        <f>industrie!C18</f>
        <v>0</v>
      </c>
      <c r="E13" s="687">
        <f>industrie!D18</f>
        <v>8373.714721686285</v>
      </c>
      <c r="F13" s="687">
        <f>industrie!E18</f>
        <v>36.503104682356465</v>
      </c>
      <c r="G13" s="687">
        <f>industrie!F18</f>
        <v>1155.9729042647837</v>
      </c>
      <c r="H13" s="687">
        <f>industrie!G18</f>
        <v>0</v>
      </c>
      <c r="I13" s="687">
        <f>industrie!H18</f>
        <v>0</v>
      </c>
      <c r="J13" s="687">
        <f>industrie!I18</f>
        <v>0</v>
      </c>
      <c r="K13" s="687">
        <f>industrie!J18</f>
        <v>12.239797134239307</v>
      </c>
      <c r="L13" s="687">
        <f>industrie!K18</f>
        <v>0</v>
      </c>
      <c r="M13" s="687">
        <f>industrie!L18</f>
        <v>0</v>
      </c>
      <c r="N13" s="687">
        <f>industrie!M18</f>
        <v>0</v>
      </c>
      <c r="O13" s="687">
        <f>industrie!N18</f>
        <v>106.32773407923563</v>
      </c>
      <c r="P13" s="687">
        <f>industrie!O18</f>
        <v>0</v>
      </c>
      <c r="Q13" s="688">
        <f>industrie!P18</f>
        <v>0</v>
      </c>
      <c r="R13" s="690">
        <f>SUM(C13:Q13)</f>
        <v>12596.02739020927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48082.515920294514</v>
      </c>
      <c r="D16" s="720">
        <f t="shared" ref="D16:R16" ca="1" si="0">SUM(D9:D15)</f>
        <v>4.8214285714285712</v>
      </c>
      <c r="E16" s="720">
        <f t="shared" ca="1" si="0"/>
        <v>55165.445981687713</v>
      </c>
      <c r="F16" s="720">
        <f t="shared" si="0"/>
        <v>7177.2680410438506</v>
      </c>
      <c r="G16" s="720">
        <f t="shared" ca="1" si="0"/>
        <v>36617.987625937378</v>
      </c>
      <c r="H16" s="720">
        <f t="shared" si="0"/>
        <v>0</v>
      </c>
      <c r="I16" s="720">
        <f t="shared" si="0"/>
        <v>0</v>
      </c>
      <c r="J16" s="720">
        <f t="shared" si="0"/>
        <v>0</v>
      </c>
      <c r="K16" s="720">
        <f t="shared" si="0"/>
        <v>3569.3097934689263</v>
      </c>
      <c r="L16" s="720">
        <f t="shared" si="0"/>
        <v>0</v>
      </c>
      <c r="M16" s="720">
        <f t="shared" ca="1" si="0"/>
        <v>0</v>
      </c>
      <c r="N16" s="720">
        <f t="shared" si="0"/>
        <v>0</v>
      </c>
      <c r="O16" s="720">
        <f t="shared" ca="1" si="0"/>
        <v>10106.981188954718</v>
      </c>
      <c r="P16" s="720">
        <f t="shared" si="0"/>
        <v>65.66</v>
      </c>
      <c r="Q16" s="720">
        <f t="shared" si="0"/>
        <v>305.06666666666666</v>
      </c>
      <c r="R16" s="720">
        <f t="shared" ca="1" si="0"/>
        <v>161095.05664662519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930.66910787566712</v>
      </c>
      <c r="I19" s="687">
        <f>transport!H54</f>
        <v>0</v>
      </c>
      <c r="J19" s="687">
        <f>transport!I54</f>
        <v>0</v>
      </c>
      <c r="K19" s="687">
        <f>transport!J54</f>
        <v>0</v>
      </c>
      <c r="L19" s="687">
        <f>transport!K54</f>
        <v>0</v>
      </c>
      <c r="M19" s="687">
        <f>transport!L54</f>
        <v>0</v>
      </c>
      <c r="N19" s="687">
        <f>transport!M54</f>
        <v>39.670380798609088</v>
      </c>
      <c r="O19" s="687">
        <f>transport!N54</f>
        <v>0</v>
      </c>
      <c r="P19" s="687">
        <f>transport!O54</f>
        <v>0</v>
      </c>
      <c r="Q19" s="688">
        <f>transport!P54</f>
        <v>0</v>
      </c>
      <c r="R19" s="690">
        <f>SUM(C19:Q19)</f>
        <v>970.33948867427625</v>
      </c>
      <c r="S19" s="67"/>
    </row>
    <row r="20" spans="1:19" s="456" customFormat="1">
      <c r="A20" s="802" t="s">
        <v>307</v>
      </c>
      <c r="B20" s="807"/>
      <c r="C20" s="687">
        <f>transport!B14</f>
        <v>0.50641086824776016</v>
      </c>
      <c r="D20" s="687">
        <f>transport!C14</f>
        <v>0</v>
      </c>
      <c r="E20" s="687">
        <f>transport!D14</f>
        <v>2.8029246725802306</v>
      </c>
      <c r="F20" s="687">
        <f>transport!E14</f>
        <v>278.96098690957069</v>
      </c>
      <c r="G20" s="687">
        <f>transport!F14</f>
        <v>0</v>
      </c>
      <c r="H20" s="687">
        <f>transport!G14</f>
        <v>49605.325915813126</v>
      </c>
      <c r="I20" s="687">
        <f>transport!H14</f>
        <v>9234.915695603253</v>
      </c>
      <c r="J20" s="687">
        <f>transport!I14</f>
        <v>0</v>
      </c>
      <c r="K20" s="687">
        <f>transport!J14</f>
        <v>0</v>
      </c>
      <c r="L20" s="687">
        <f>transport!K14</f>
        <v>0</v>
      </c>
      <c r="M20" s="687">
        <f>transport!L14</f>
        <v>0</v>
      </c>
      <c r="N20" s="687">
        <f>transport!M14</f>
        <v>2569.3262491287555</v>
      </c>
      <c r="O20" s="687">
        <f>transport!N14</f>
        <v>0</v>
      </c>
      <c r="P20" s="687">
        <f>transport!O14</f>
        <v>0</v>
      </c>
      <c r="Q20" s="688">
        <f>transport!P14</f>
        <v>0</v>
      </c>
      <c r="R20" s="690">
        <f>SUM(C20:Q20)</f>
        <v>61691.838182995532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0.50641086824776016</v>
      </c>
      <c r="D22" s="805">
        <f t="shared" ref="D22:R22" si="1">SUM(D18:D21)</f>
        <v>0</v>
      </c>
      <c r="E22" s="805">
        <f t="shared" si="1"/>
        <v>2.8029246725802306</v>
      </c>
      <c r="F22" s="805">
        <f t="shared" si="1"/>
        <v>278.96098690957069</v>
      </c>
      <c r="G22" s="805">
        <f t="shared" si="1"/>
        <v>0</v>
      </c>
      <c r="H22" s="805">
        <f t="shared" si="1"/>
        <v>50535.995023688796</v>
      </c>
      <c r="I22" s="805">
        <f t="shared" si="1"/>
        <v>9234.915695603253</v>
      </c>
      <c r="J22" s="805">
        <f t="shared" si="1"/>
        <v>0</v>
      </c>
      <c r="K22" s="805">
        <f t="shared" si="1"/>
        <v>0</v>
      </c>
      <c r="L22" s="805">
        <f t="shared" si="1"/>
        <v>0</v>
      </c>
      <c r="M22" s="805">
        <f t="shared" si="1"/>
        <v>0</v>
      </c>
      <c r="N22" s="805">
        <f t="shared" si="1"/>
        <v>2608.9966299273647</v>
      </c>
      <c r="O22" s="805">
        <f t="shared" si="1"/>
        <v>0</v>
      </c>
      <c r="P22" s="805">
        <f t="shared" si="1"/>
        <v>0</v>
      </c>
      <c r="Q22" s="805">
        <f t="shared" si="1"/>
        <v>0</v>
      </c>
      <c r="R22" s="805">
        <f t="shared" si="1"/>
        <v>62662.177671669808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1047.4882620917786</v>
      </c>
      <c r="D24" s="687">
        <f>+landbouw!C8</f>
        <v>0</v>
      </c>
      <c r="E24" s="687">
        <f>+landbouw!D8</f>
        <v>1287.4934268532518</v>
      </c>
      <c r="F24" s="687">
        <f>+landbouw!E8</f>
        <v>10.969523852586139</v>
      </c>
      <c r="G24" s="687">
        <f>+landbouw!F8</f>
        <v>4484.0456837946313</v>
      </c>
      <c r="H24" s="687">
        <f>+landbouw!G8</f>
        <v>0</v>
      </c>
      <c r="I24" s="687">
        <f>+landbouw!H8</f>
        <v>0</v>
      </c>
      <c r="J24" s="687">
        <f>+landbouw!I8</f>
        <v>0</v>
      </c>
      <c r="K24" s="687">
        <f>+landbouw!J8</f>
        <v>93.550090602258649</v>
      </c>
      <c r="L24" s="687">
        <f>+landbouw!K8</f>
        <v>0</v>
      </c>
      <c r="M24" s="687">
        <f>+landbouw!L8</f>
        <v>0</v>
      </c>
      <c r="N24" s="687">
        <f>+landbouw!M8</f>
        <v>0</v>
      </c>
      <c r="O24" s="687">
        <f>+landbouw!N8</f>
        <v>0</v>
      </c>
      <c r="P24" s="687">
        <f>+landbouw!O8</f>
        <v>0</v>
      </c>
      <c r="Q24" s="688">
        <f>+landbouw!P8</f>
        <v>0</v>
      </c>
      <c r="R24" s="690">
        <f>SUM(C24:Q24)</f>
        <v>6923.5469871945061</v>
      </c>
      <c r="S24" s="67"/>
    </row>
    <row r="25" spans="1:19" s="456" customFormat="1" ht="15" thickBot="1">
      <c r="A25" s="824" t="s">
        <v>925</v>
      </c>
      <c r="B25" s="988"/>
      <c r="C25" s="989">
        <f>IF(Onbekend_ele_kWh="---",0,Onbekend_ele_kWh)/1000+IF(REST_rest_ele_kWh="---",0,REST_rest_ele_kWh)/1000</f>
        <v>1468.8539527950102</v>
      </c>
      <c r="D25" s="989"/>
      <c r="E25" s="989">
        <f>IF(onbekend_gas_kWh="---",0,onbekend_gas_kWh)/1000+IF(REST_rest_gas_kWh="---",0,REST_rest_gas_kWh)/1000</f>
        <v>1922.4246514090901</v>
      </c>
      <c r="F25" s="989"/>
      <c r="G25" s="989"/>
      <c r="H25" s="989"/>
      <c r="I25" s="989"/>
      <c r="J25" s="989"/>
      <c r="K25" s="989"/>
      <c r="L25" s="989"/>
      <c r="M25" s="989"/>
      <c r="N25" s="989"/>
      <c r="O25" s="989"/>
      <c r="P25" s="989"/>
      <c r="Q25" s="990"/>
      <c r="R25" s="690">
        <f>SUM(C25:Q25)</f>
        <v>3391.2786042041002</v>
      </c>
      <c r="S25" s="67"/>
    </row>
    <row r="26" spans="1:19" s="456" customFormat="1" ht="15.75" thickBot="1">
      <c r="A26" s="693" t="s">
        <v>926</v>
      </c>
      <c r="B26" s="810"/>
      <c r="C26" s="805">
        <f>SUM(C24:C25)</f>
        <v>2516.3422148867885</v>
      </c>
      <c r="D26" s="805">
        <f t="shared" ref="D26:R26" si="2">SUM(D24:D25)</f>
        <v>0</v>
      </c>
      <c r="E26" s="805">
        <f t="shared" si="2"/>
        <v>3209.9180782623416</v>
      </c>
      <c r="F26" s="805">
        <f t="shared" si="2"/>
        <v>10.969523852586139</v>
      </c>
      <c r="G26" s="805">
        <f t="shared" si="2"/>
        <v>4484.0456837946313</v>
      </c>
      <c r="H26" s="805">
        <f t="shared" si="2"/>
        <v>0</v>
      </c>
      <c r="I26" s="805">
        <f t="shared" si="2"/>
        <v>0</v>
      </c>
      <c r="J26" s="805">
        <f t="shared" si="2"/>
        <v>0</v>
      </c>
      <c r="K26" s="805">
        <f t="shared" si="2"/>
        <v>93.550090602258649</v>
      </c>
      <c r="L26" s="805">
        <f t="shared" si="2"/>
        <v>0</v>
      </c>
      <c r="M26" s="805">
        <f t="shared" si="2"/>
        <v>0</v>
      </c>
      <c r="N26" s="805">
        <f t="shared" si="2"/>
        <v>0</v>
      </c>
      <c r="O26" s="805">
        <f t="shared" si="2"/>
        <v>0</v>
      </c>
      <c r="P26" s="805">
        <f t="shared" si="2"/>
        <v>0</v>
      </c>
      <c r="Q26" s="805">
        <f t="shared" si="2"/>
        <v>0</v>
      </c>
      <c r="R26" s="805">
        <f t="shared" si="2"/>
        <v>10314.825591398607</v>
      </c>
      <c r="S26" s="67"/>
    </row>
    <row r="27" spans="1:19" s="456" customFormat="1" ht="17.25" thickTop="1" thickBot="1">
      <c r="A27" s="694" t="s">
        <v>116</v>
      </c>
      <c r="B27" s="797"/>
      <c r="C27" s="695">
        <f ca="1">C22+C16+C26</f>
        <v>50599.364546049554</v>
      </c>
      <c r="D27" s="695">
        <f t="shared" ref="D27:R27" ca="1" si="3">D22+D16+D26</f>
        <v>4.8214285714285712</v>
      </c>
      <c r="E27" s="695">
        <f t="shared" ca="1" si="3"/>
        <v>58378.166984622636</v>
      </c>
      <c r="F27" s="695">
        <f t="shared" si="3"/>
        <v>7467.1985518060073</v>
      </c>
      <c r="G27" s="695">
        <f t="shared" ca="1" si="3"/>
        <v>41102.033309732011</v>
      </c>
      <c r="H27" s="695">
        <f t="shared" si="3"/>
        <v>50535.995023688796</v>
      </c>
      <c r="I27" s="695">
        <f t="shared" si="3"/>
        <v>9234.915695603253</v>
      </c>
      <c r="J27" s="695">
        <f t="shared" si="3"/>
        <v>0</v>
      </c>
      <c r="K27" s="695">
        <f t="shared" si="3"/>
        <v>3662.8598840711848</v>
      </c>
      <c r="L27" s="695">
        <f t="shared" si="3"/>
        <v>0</v>
      </c>
      <c r="M27" s="695">
        <f t="shared" ca="1" si="3"/>
        <v>0</v>
      </c>
      <c r="N27" s="695">
        <f t="shared" si="3"/>
        <v>2608.9966299273647</v>
      </c>
      <c r="O27" s="695">
        <f t="shared" ca="1" si="3"/>
        <v>10106.981188954718</v>
      </c>
      <c r="P27" s="695">
        <f t="shared" si="3"/>
        <v>65.66</v>
      </c>
      <c r="Q27" s="695">
        <f t="shared" si="3"/>
        <v>305.06666666666666</v>
      </c>
      <c r="R27" s="695">
        <f t="shared" ca="1" si="3"/>
        <v>234072.05990969361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2444.4758415558872</v>
      </c>
      <c r="D40" s="687">
        <f ca="1">tertiair!C20</f>
        <v>1.1457983193277312</v>
      </c>
      <c r="E40" s="687">
        <f ca="1">tertiair!D20</f>
        <v>1689.7796443556963</v>
      </c>
      <c r="F40" s="687">
        <f>tertiair!E20</f>
        <v>69.961148538220073</v>
      </c>
      <c r="G40" s="687">
        <f ca="1">tertiair!F20</f>
        <v>610.08183541746587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4815.4442681865976</v>
      </c>
    </row>
    <row r="41" spans="1:18">
      <c r="A41" s="815" t="s">
        <v>225</v>
      </c>
      <c r="B41" s="822"/>
      <c r="C41" s="687">
        <f ca="1">huishoudens!B12</f>
        <v>5753.0174615551141</v>
      </c>
      <c r="D41" s="687">
        <f ca="1">huishoudens!C12</f>
        <v>0</v>
      </c>
      <c r="E41" s="687">
        <f>huishoudens!D12</f>
        <v>7762.1500701645928</v>
      </c>
      <c r="F41" s="687">
        <f>huishoudens!E12</f>
        <v>1550.9924920158394</v>
      </c>
      <c r="G41" s="687">
        <f>huishoudens!F12</f>
        <v>8858.2760952691187</v>
      </c>
      <c r="H41" s="687">
        <f>huishoudens!G12</f>
        <v>0</v>
      </c>
      <c r="I41" s="687">
        <f>huishoudens!H12</f>
        <v>0</v>
      </c>
      <c r="J41" s="687">
        <f>huishoudens!I12</f>
        <v>0</v>
      </c>
      <c r="K41" s="687">
        <f>huishoudens!J12</f>
        <v>1259.202778702479</v>
      </c>
      <c r="L41" s="687">
        <f>huishoudens!K12</f>
        <v>0</v>
      </c>
      <c r="M41" s="687">
        <f>huishoudens!L12</f>
        <v>0</v>
      </c>
      <c r="N41" s="687">
        <f>huishoudens!M12</f>
        <v>0</v>
      </c>
      <c r="O41" s="687">
        <f>huishoudens!N12</f>
        <v>0</v>
      </c>
      <c r="P41" s="687">
        <f>huishoudens!O12</f>
        <v>0</v>
      </c>
      <c r="Q41" s="762">
        <f>huishoudens!P12</f>
        <v>0</v>
      </c>
      <c r="R41" s="843">
        <f t="shared" ca="1" si="4"/>
        <v>25183.638897707144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528.32522629343919</v>
      </c>
      <c r="D43" s="687">
        <f ca="1">industrie!C22</f>
        <v>0</v>
      </c>
      <c r="E43" s="687">
        <f>industrie!D22</f>
        <v>1691.4903737806296</v>
      </c>
      <c r="F43" s="687">
        <f>industrie!E22</f>
        <v>8.2862047628949185</v>
      </c>
      <c r="G43" s="687">
        <f>industrie!F22</f>
        <v>308.64476543869728</v>
      </c>
      <c r="H43" s="687">
        <f>industrie!G22</f>
        <v>0</v>
      </c>
      <c r="I43" s="687">
        <f>industrie!H22</f>
        <v>0</v>
      </c>
      <c r="J43" s="687">
        <f>industrie!I22</f>
        <v>0</v>
      </c>
      <c r="K43" s="687">
        <f>industrie!J22</f>
        <v>4.3328881855207149</v>
      </c>
      <c r="L43" s="687">
        <f>industrie!K22</f>
        <v>0</v>
      </c>
      <c r="M43" s="687">
        <f>industrie!L22</f>
        <v>0</v>
      </c>
      <c r="N43" s="687">
        <f>industrie!M22</f>
        <v>0</v>
      </c>
      <c r="O43" s="687">
        <f>industrie!N22</f>
        <v>0</v>
      </c>
      <c r="P43" s="687">
        <f>industrie!O22</f>
        <v>0</v>
      </c>
      <c r="Q43" s="762">
        <f>industrie!P22</f>
        <v>0</v>
      </c>
      <c r="R43" s="842">
        <f t="shared" ca="1" si="4"/>
        <v>2541.0794584611817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8725.8185294044397</v>
      </c>
      <c r="D46" s="720">
        <f t="shared" ref="D46:Q46" ca="1" si="5">SUM(D39:D45)</f>
        <v>1.1457983193277312</v>
      </c>
      <c r="E46" s="720">
        <f t="shared" ca="1" si="5"/>
        <v>11143.420088300918</v>
      </c>
      <c r="F46" s="720">
        <f t="shared" si="5"/>
        <v>1629.2398453169542</v>
      </c>
      <c r="G46" s="720">
        <f t="shared" ca="1" si="5"/>
        <v>9777.0026961252825</v>
      </c>
      <c r="H46" s="720">
        <f t="shared" si="5"/>
        <v>0</v>
      </c>
      <c r="I46" s="720">
        <f t="shared" si="5"/>
        <v>0</v>
      </c>
      <c r="J46" s="720">
        <f t="shared" si="5"/>
        <v>0</v>
      </c>
      <c r="K46" s="720">
        <f t="shared" si="5"/>
        <v>1263.5356668879997</v>
      </c>
      <c r="L46" s="720">
        <f t="shared" si="5"/>
        <v>0</v>
      </c>
      <c r="M46" s="720">
        <f t="shared" ca="1" si="5"/>
        <v>0</v>
      </c>
      <c r="N46" s="720">
        <f t="shared" si="5"/>
        <v>0</v>
      </c>
      <c r="O46" s="720">
        <f t="shared" ca="1" si="5"/>
        <v>0</v>
      </c>
      <c r="P46" s="720">
        <f t="shared" si="5"/>
        <v>0</v>
      </c>
      <c r="Q46" s="720">
        <f t="shared" si="5"/>
        <v>0</v>
      </c>
      <c r="R46" s="720">
        <f ca="1">SUM(R39:R45)</f>
        <v>32540.162624354925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248.48865180280313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248.48865180280313</v>
      </c>
    </row>
    <row r="50" spans="1:18">
      <c r="A50" s="818" t="s">
        <v>307</v>
      </c>
      <c r="B50" s="828"/>
      <c r="C50" s="995">
        <f ca="1">transport!B18</f>
        <v>9.1901375231136825E-2</v>
      </c>
      <c r="D50" s="995">
        <f>transport!C18</f>
        <v>0</v>
      </c>
      <c r="E50" s="995">
        <f>transport!D18</f>
        <v>0.56619078386120658</v>
      </c>
      <c r="F50" s="995">
        <f>transport!E18</f>
        <v>63.324144028472553</v>
      </c>
      <c r="G50" s="995">
        <f>transport!F18</f>
        <v>0</v>
      </c>
      <c r="H50" s="995">
        <f>transport!G18</f>
        <v>13244.622019522105</v>
      </c>
      <c r="I50" s="995">
        <f>transport!H18</f>
        <v>2299.4940082052099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15608.098263914879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9.1901375231136825E-2</v>
      </c>
      <c r="D52" s="720">
        <f t="shared" ref="D52:Q52" ca="1" si="6">SUM(D48:D51)</f>
        <v>0</v>
      </c>
      <c r="E52" s="720">
        <f t="shared" si="6"/>
        <v>0.56619078386120658</v>
      </c>
      <c r="F52" s="720">
        <f t="shared" si="6"/>
        <v>63.324144028472553</v>
      </c>
      <c r="G52" s="720">
        <f t="shared" si="6"/>
        <v>0</v>
      </c>
      <c r="H52" s="720">
        <f t="shared" si="6"/>
        <v>13493.110671324908</v>
      </c>
      <c r="I52" s="720">
        <f t="shared" si="6"/>
        <v>2299.4940082052099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15856.586915717682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190.09388988391586</v>
      </c>
      <c r="D54" s="995">
        <f ca="1">+landbouw!C12</f>
        <v>0</v>
      </c>
      <c r="E54" s="995">
        <f>+landbouw!D12</f>
        <v>260.07367222435687</v>
      </c>
      <c r="F54" s="995">
        <f>+landbouw!E12</f>
        <v>2.4900819145370536</v>
      </c>
      <c r="G54" s="995">
        <f>+landbouw!F12</f>
        <v>1197.2401975731666</v>
      </c>
      <c r="H54" s="995">
        <f>+landbouw!G12</f>
        <v>0</v>
      </c>
      <c r="I54" s="995">
        <f>+landbouw!H12</f>
        <v>0</v>
      </c>
      <c r="J54" s="995">
        <f>+landbouw!I12</f>
        <v>0</v>
      </c>
      <c r="K54" s="995">
        <f>+landbouw!J12</f>
        <v>33.116732073199557</v>
      </c>
      <c r="L54" s="995">
        <f>+landbouw!K12</f>
        <v>0</v>
      </c>
      <c r="M54" s="995">
        <f>+landbouw!L12</f>
        <v>0</v>
      </c>
      <c r="N54" s="995">
        <f>+landbouw!M12</f>
        <v>0</v>
      </c>
      <c r="O54" s="995">
        <f>+landbouw!N12</f>
        <v>0</v>
      </c>
      <c r="P54" s="995">
        <f>+landbouw!O12</f>
        <v>0</v>
      </c>
      <c r="Q54" s="996">
        <f>+landbouw!P12</f>
        <v>0</v>
      </c>
      <c r="R54" s="719">
        <f ca="1">SUM(C54:Q54)</f>
        <v>1683.0145736691759</v>
      </c>
    </row>
    <row r="55" spans="1:18" ht="15" thickBot="1">
      <c r="A55" s="818" t="s">
        <v>925</v>
      </c>
      <c r="B55" s="828"/>
      <c r="C55" s="995">
        <f ca="1">C25*'EF ele_warmte'!B12</f>
        <v>266.56161377940538</v>
      </c>
      <c r="D55" s="995"/>
      <c r="E55" s="995">
        <f>E25*EF_CO2_aardgas</f>
        <v>388.32977958463624</v>
      </c>
      <c r="F55" s="995"/>
      <c r="G55" s="995"/>
      <c r="H55" s="995"/>
      <c r="I55" s="995"/>
      <c r="J55" s="995"/>
      <c r="K55" s="995"/>
      <c r="L55" s="995"/>
      <c r="M55" s="995"/>
      <c r="N55" s="995"/>
      <c r="O55" s="995"/>
      <c r="P55" s="995"/>
      <c r="Q55" s="996"/>
      <c r="R55" s="719">
        <f ca="1">SUM(C55:Q55)</f>
        <v>654.89139336404162</v>
      </c>
    </row>
    <row r="56" spans="1:18" ht="15.75" thickBot="1">
      <c r="A56" s="816" t="s">
        <v>926</v>
      </c>
      <c r="B56" s="829"/>
      <c r="C56" s="720">
        <f ca="1">SUM(C54:C55)</f>
        <v>456.65550366332127</v>
      </c>
      <c r="D56" s="720">
        <f t="shared" ref="D56:Q56" ca="1" si="7">SUM(D54:D55)</f>
        <v>0</v>
      </c>
      <c r="E56" s="720">
        <f t="shared" si="7"/>
        <v>648.40345180899317</v>
      </c>
      <c r="F56" s="720">
        <f t="shared" si="7"/>
        <v>2.4900819145370536</v>
      </c>
      <c r="G56" s="720">
        <f t="shared" si="7"/>
        <v>1197.2401975731666</v>
      </c>
      <c r="H56" s="720">
        <f t="shared" si="7"/>
        <v>0</v>
      </c>
      <c r="I56" s="720">
        <f t="shared" si="7"/>
        <v>0</v>
      </c>
      <c r="J56" s="720">
        <f t="shared" si="7"/>
        <v>0</v>
      </c>
      <c r="K56" s="720">
        <f t="shared" si="7"/>
        <v>33.116732073199557</v>
      </c>
      <c r="L56" s="720">
        <f t="shared" si="7"/>
        <v>0</v>
      </c>
      <c r="M56" s="720">
        <f t="shared" si="7"/>
        <v>0</v>
      </c>
      <c r="N56" s="720">
        <f t="shared" si="7"/>
        <v>0</v>
      </c>
      <c r="O56" s="720">
        <f t="shared" si="7"/>
        <v>0</v>
      </c>
      <c r="P56" s="720">
        <f t="shared" si="7"/>
        <v>0</v>
      </c>
      <c r="Q56" s="721">
        <f t="shared" si="7"/>
        <v>0</v>
      </c>
      <c r="R56" s="722">
        <f ca="1">SUM(R54:R55)</f>
        <v>2337.9059670332176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9182.5659344429932</v>
      </c>
      <c r="D61" s="728">
        <f t="shared" ref="D61:Q61" ca="1" si="8">D46+D52+D56</f>
        <v>1.1457983193277312</v>
      </c>
      <c r="E61" s="728">
        <f t="shared" ca="1" si="8"/>
        <v>11792.389730893774</v>
      </c>
      <c r="F61" s="728">
        <f t="shared" si="8"/>
        <v>1695.0540712599638</v>
      </c>
      <c r="G61" s="728">
        <f t="shared" ca="1" si="8"/>
        <v>10974.242893698449</v>
      </c>
      <c r="H61" s="728">
        <f t="shared" si="8"/>
        <v>13493.110671324908</v>
      </c>
      <c r="I61" s="728">
        <f t="shared" si="8"/>
        <v>2299.4940082052099</v>
      </c>
      <c r="J61" s="728">
        <f t="shared" si="8"/>
        <v>0</v>
      </c>
      <c r="K61" s="728">
        <f t="shared" si="8"/>
        <v>1296.6523989611992</v>
      </c>
      <c r="L61" s="728">
        <f t="shared" si="8"/>
        <v>0</v>
      </c>
      <c r="M61" s="728">
        <f t="shared" ca="1" si="8"/>
        <v>0</v>
      </c>
      <c r="N61" s="728">
        <f t="shared" si="8"/>
        <v>0</v>
      </c>
      <c r="O61" s="728">
        <f t="shared" ca="1" si="8"/>
        <v>0</v>
      </c>
      <c r="P61" s="728">
        <f t="shared" si="8"/>
        <v>0</v>
      </c>
      <c r="Q61" s="728">
        <f t="shared" si="8"/>
        <v>0</v>
      </c>
      <c r="R61" s="728">
        <f ca="1">R46+R52+R56</f>
        <v>50734.655507105825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0.18147591411125547</v>
      </c>
      <c r="D63" s="772">
        <f t="shared" ca="1" si="9"/>
        <v>0.23764705882352946</v>
      </c>
      <c r="E63" s="997">
        <f t="shared" ca="1" si="9"/>
        <v>0.20200000000000001</v>
      </c>
      <c r="F63" s="772">
        <f t="shared" si="9"/>
        <v>0.22700000000000004</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7598.5958320085565</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1440.8258379348267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3.3749999999999996</v>
      </c>
      <c r="D76" s="1007">
        <f>'lokale energieproductie'!C8</f>
        <v>3.9705882352941173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0.80205882352941171</v>
      </c>
      <c r="R76" s="845">
        <v>0</v>
      </c>
    </row>
    <row r="77" spans="1:18" ht="30.75" thickBot="1">
      <c r="A77" s="741" t="s">
        <v>353</v>
      </c>
      <c r="B77" s="738">
        <f>'lokale energieproductie'!B9*IFERROR(SUM(I77:O77)/SUM(D77:O77),0)</f>
        <v>13.499999999999998</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33.749999999999993</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9052.9216699433837</v>
      </c>
      <c r="C78" s="743">
        <f>SUM(C72:C77)</f>
        <v>3.3749999999999996</v>
      </c>
      <c r="D78" s="744">
        <f t="shared" ref="D78:H78" si="10">SUM(D76:D77)</f>
        <v>3.9705882352941173</v>
      </c>
      <c r="E78" s="744">
        <f t="shared" si="10"/>
        <v>0</v>
      </c>
      <c r="F78" s="744">
        <f t="shared" si="10"/>
        <v>0</v>
      </c>
      <c r="G78" s="744">
        <f t="shared" si="10"/>
        <v>0</v>
      </c>
      <c r="H78" s="744">
        <f t="shared" si="10"/>
        <v>0</v>
      </c>
      <c r="I78" s="744">
        <f>SUM(I76:I77)</f>
        <v>0</v>
      </c>
      <c r="J78" s="744">
        <f>SUM(J76:J77)</f>
        <v>33.749999999999993</v>
      </c>
      <c r="K78" s="744">
        <f t="shared" ref="K78:L78" si="11">SUM(K76:K77)</f>
        <v>0</v>
      </c>
      <c r="L78" s="744">
        <f t="shared" si="11"/>
        <v>0</v>
      </c>
      <c r="M78" s="744">
        <f>SUM(M76:M77)</f>
        <v>0</v>
      </c>
      <c r="N78" s="744">
        <f>SUM(N76:N77)</f>
        <v>0</v>
      </c>
      <c r="O78" s="853">
        <f>SUM(O76:O77)</f>
        <v>0</v>
      </c>
      <c r="P78" s="745">
        <v>0</v>
      </c>
      <c r="Q78" s="745">
        <f>SUM(Q76:Q77)</f>
        <v>0.80205882352941171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4.8214285714285712</v>
      </c>
      <c r="D87" s="765">
        <f>'lokale energieproductie'!C17</f>
        <v>5.6722689075630255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1.1457983193277312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4.8214285714285712</v>
      </c>
      <c r="D90" s="743">
        <f t="shared" ref="D90:H90" si="12">SUM(D87:D89)</f>
        <v>5.6722689075630255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1.1457983193277312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7598.5958320085565</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1440.8258379348267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3.3749999999999996</v>
      </c>
      <c r="C8" s="557">
        <f>B101</f>
        <v>3.9705882352941173</v>
      </c>
      <c r="D8" s="985"/>
      <c r="E8" s="985">
        <f>E101</f>
        <v>0</v>
      </c>
      <c r="F8" s="986"/>
      <c r="G8" s="558"/>
      <c r="H8" s="985">
        <f>I101</f>
        <v>0</v>
      </c>
      <c r="I8" s="985">
        <f>G101+F101</f>
        <v>0</v>
      </c>
      <c r="J8" s="985">
        <f>H101+D101+C101</f>
        <v>0</v>
      </c>
      <c r="K8" s="985"/>
      <c r="L8" s="985"/>
      <c r="M8" s="985"/>
      <c r="N8" s="559"/>
      <c r="O8" s="560">
        <f>C8*$C$12+D8*$D$12+E8*$E$12+F8*$F$12+G8*$G$12+H8*$H$12+I8*$I$12+J8*$J$12</f>
        <v>0.80205882352941171</v>
      </c>
      <c r="P8" s="1225"/>
      <c r="Q8" s="1226"/>
      <c r="S8" s="1018"/>
      <c r="T8" s="1213"/>
      <c r="U8" s="1213"/>
    </row>
    <row r="9" spans="1:21" s="545" customFormat="1" ht="17.45" customHeight="1" thickBot="1">
      <c r="A9" s="561" t="s">
        <v>248</v>
      </c>
      <c r="B9" s="1022">
        <f>N89+'Eigen informatie GS &amp; warmtenet'!B12</f>
        <v>13.499999999999998</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33.749999999999993</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9056.2966699433837</v>
      </c>
      <c r="C10" s="569">
        <f t="shared" ref="C10:L10" si="0">SUM(C8:C9)</f>
        <v>3.9705882352941173</v>
      </c>
      <c r="D10" s="569">
        <f t="shared" si="0"/>
        <v>0</v>
      </c>
      <c r="E10" s="569">
        <f t="shared" si="0"/>
        <v>0</v>
      </c>
      <c r="F10" s="569">
        <f t="shared" si="0"/>
        <v>0</v>
      </c>
      <c r="G10" s="569">
        <f t="shared" si="0"/>
        <v>0</v>
      </c>
      <c r="H10" s="569">
        <f t="shared" si="0"/>
        <v>0</v>
      </c>
      <c r="I10" s="569">
        <f t="shared" si="0"/>
        <v>0</v>
      </c>
      <c r="J10" s="569">
        <f t="shared" si="0"/>
        <v>33.749999999999993</v>
      </c>
      <c r="K10" s="569">
        <f t="shared" si="0"/>
        <v>0</v>
      </c>
      <c r="L10" s="569">
        <f t="shared" si="0"/>
        <v>0</v>
      </c>
      <c r="M10" s="980"/>
      <c r="N10" s="980"/>
      <c r="O10" s="570">
        <f>SUM(O4:O9)</f>
        <v>0.80205882352941171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4.8214285714285712</v>
      </c>
      <c r="C17" s="581">
        <f>B102</f>
        <v>5.6722689075630255</v>
      </c>
      <c r="D17" s="582"/>
      <c r="E17" s="582">
        <f>E102</f>
        <v>0</v>
      </c>
      <c r="F17" s="583"/>
      <c r="G17" s="584"/>
      <c r="H17" s="581">
        <f>I102</f>
        <v>0</v>
      </c>
      <c r="I17" s="582">
        <f>G102+F102</f>
        <v>0</v>
      </c>
      <c r="J17" s="582">
        <f>H102+D102+C102</f>
        <v>0</v>
      </c>
      <c r="K17" s="582"/>
      <c r="L17" s="582"/>
      <c r="M17" s="582"/>
      <c r="N17" s="981"/>
      <c r="O17" s="585">
        <f>C17*$C$22+E17*$E$22+H17*$H$22+I17*$I$22+J17*$J$22+D17*$D$22+F17*$F$22+G17*$G$22+K17*$K$22+L17*$L$22</f>
        <v>1.1457983193277312</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4.8214285714285712</v>
      </c>
      <c r="C20" s="568">
        <f>SUM(C17:C19)</f>
        <v>5.6722689075630255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1.1457983193277312</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42003</v>
      </c>
      <c r="C28" s="788">
        <v>9290</v>
      </c>
      <c r="D28" s="641" t="s">
        <v>963</v>
      </c>
      <c r="E28" s="640" t="s">
        <v>964</v>
      </c>
      <c r="F28" s="640" t="s">
        <v>965</v>
      </c>
      <c r="G28" s="640" t="s">
        <v>966</v>
      </c>
      <c r="H28" s="640" t="s">
        <v>967</v>
      </c>
      <c r="I28" s="640" t="s">
        <v>964</v>
      </c>
      <c r="J28" s="787">
        <v>40787</v>
      </c>
      <c r="K28" s="787">
        <v>40848</v>
      </c>
      <c r="L28" s="640" t="s">
        <v>968</v>
      </c>
      <c r="M28" s="640">
        <v>9</v>
      </c>
      <c r="N28" s="640">
        <v>3.3749999999999996</v>
      </c>
      <c r="O28" s="640">
        <v>4.8214285714285712</v>
      </c>
      <c r="P28" s="640">
        <v>9.6428571428571423</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9</v>
      </c>
      <c r="N58" s="598">
        <f>SUM(N28:N57)</f>
        <v>3.3749999999999996</v>
      </c>
      <c r="O58" s="598">
        <f t="shared" ref="O58:W58" si="2">SUM(O28:O57)</f>
        <v>4.8214285714285712</v>
      </c>
      <c r="P58" s="598">
        <f t="shared" si="2"/>
        <v>9.6428571428571423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9</v>
      </c>
      <c r="N60" s="598">
        <f ca="1">SUMIF($Z$28:AD57,"tertiair",N28:N57)</f>
        <v>3.3749999999999996</v>
      </c>
      <c r="O60" s="598">
        <f ca="1">SUMIF($Z$28:AE57,"tertiair",O28:O57)</f>
        <v>4.8214285714285712</v>
      </c>
      <c r="P60" s="598">
        <f ca="1">SUMIF($Z$28:AF57,"tertiair",P28:P57)</f>
        <v>9.6428571428571423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42003</v>
      </c>
      <c r="C64" s="788">
        <v>9290</v>
      </c>
      <c r="D64" s="643" t="s">
        <v>963</v>
      </c>
      <c r="E64" s="643" t="s">
        <v>964</v>
      </c>
      <c r="F64" s="643" t="s">
        <v>969</v>
      </c>
      <c r="G64" s="643" t="s">
        <v>970</v>
      </c>
      <c r="H64" s="643" t="s">
        <v>971</v>
      </c>
      <c r="I64" s="643" t="s">
        <v>964</v>
      </c>
      <c r="J64" s="787">
        <v>40787</v>
      </c>
      <c r="K64" s="787">
        <v>40781</v>
      </c>
      <c r="L64" s="643" t="s">
        <v>972</v>
      </c>
      <c r="M64" s="643">
        <v>9</v>
      </c>
      <c r="N64" s="643">
        <v>13.499999999999998</v>
      </c>
      <c r="O64" s="643">
        <v>0</v>
      </c>
      <c r="P64" s="643">
        <v>0</v>
      </c>
      <c r="Q64" s="643">
        <v>0</v>
      </c>
      <c r="R64" s="643">
        <v>0</v>
      </c>
      <c r="S64" s="643">
        <v>0</v>
      </c>
      <c r="T64" s="643">
        <v>0</v>
      </c>
      <c r="U64" s="643">
        <v>0</v>
      </c>
      <c r="V64" s="643">
        <v>33.749999999999993</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9</v>
      </c>
      <c r="N89" s="598">
        <f t="shared" ref="N89:W89" si="5">SUM(N64:N88)</f>
        <v>13.499999999999998</v>
      </c>
      <c r="O89" s="598">
        <f t="shared" si="5"/>
        <v>0</v>
      </c>
      <c r="P89" s="598">
        <f t="shared" si="5"/>
        <v>0</v>
      </c>
      <c r="Q89" s="598">
        <f t="shared" si="5"/>
        <v>0</v>
      </c>
      <c r="R89" s="598">
        <f t="shared" si="5"/>
        <v>0</v>
      </c>
      <c r="S89" s="598">
        <f t="shared" si="5"/>
        <v>0</v>
      </c>
      <c r="T89" s="598">
        <f t="shared" si="5"/>
        <v>0</v>
      </c>
      <c r="U89" s="598">
        <f t="shared" si="5"/>
        <v>0</v>
      </c>
      <c r="V89" s="598">
        <f t="shared" si="5"/>
        <v>33.749999999999993</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9</v>
      </c>
      <c r="N91" s="598">
        <f t="shared" si="7"/>
        <v>13.499999999999998</v>
      </c>
      <c r="O91" s="598">
        <f t="shared" si="7"/>
        <v>0</v>
      </c>
      <c r="P91" s="598">
        <f t="shared" si="7"/>
        <v>0</v>
      </c>
      <c r="Q91" s="598">
        <f t="shared" si="7"/>
        <v>0</v>
      </c>
      <c r="R91" s="598">
        <f t="shared" si="7"/>
        <v>0</v>
      </c>
      <c r="S91" s="598">
        <f t="shared" si="7"/>
        <v>0</v>
      </c>
      <c r="T91" s="598">
        <f t="shared" si="7"/>
        <v>0</v>
      </c>
      <c r="U91" s="598">
        <f t="shared" si="7"/>
        <v>0</v>
      </c>
      <c r="V91" s="598">
        <f t="shared" si="7"/>
        <v>33.749999999999993</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3.9705882352941173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5.6722689075630255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31701.27280928407</v>
      </c>
      <c r="C4" s="460">
        <f>huishoudens!C8</f>
        <v>0</v>
      </c>
      <c r="D4" s="460">
        <f>huishoudens!D8</f>
        <v>38426.485495864319</v>
      </c>
      <c r="E4" s="460">
        <f>huishoudens!E8</f>
        <v>6832.5660441226401</v>
      </c>
      <c r="F4" s="460">
        <f>huishoudens!F8</f>
        <v>33177.064027225162</v>
      </c>
      <c r="G4" s="460">
        <f>huishoudens!G8</f>
        <v>0</v>
      </c>
      <c r="H4" s="460">
        <f>huishoudens!H8</f>
        <v>0</v>
      </c>
      <c r="I4" s="460">
        <f>huishoudens!I8</f>
        <v>0</v>
      </c>
      <c r="J4" s="460">
        <f>huishoudens!J8</f>
        <v>3557.0699963346869</v>
      </c>
      <c r="K4" s="460">
        <f>huishoudens!K8</f>
        <v>0</v>
      </c>
      <c r="L4" s="460">
        <f>huishoudens!L8</f>
        <v>0</v>
      </c>
      <c r="M4" s="460">
        <f>huishoudens!M8</f>
        <v>0</v>
      </c>
      <c r="N4" s="460">
        <f>huishoudens!N8</f>
        <v>9608.3753605925031</v>
      </c>
      <c r="O4" s="460">
        <f>huishoudens!O8</f>
        <v>62.533333333333331</v>
      </c>
      <c r="P4" s="461">
        <f>huishoudens!P8</f>
        <v>286</v>
      </c>
      <c r="Q4" s="462">
        <f>SUM(B4:P4)</f>
        <v>123651.36706675672</v>
      </c>
    </row>
    <row r="5" spans="1:17">
      <c r="A5" s="459" t="s">
        <v>156</v>
      </c>
      <c r="B5" s="460">
        <f ca="1">tertiair!B16</f>
        <v>12347.083982648071</v>
      </c>
      <c r="C5" s="460">
        <f ca="1">tertiair!C16</f>
        <v>4.8214285714285712</v>
      </c>
      <c r="D5" s="460">
        <f ca="1">tertiair!D16</f>
        <v>8365.2457641371093</v>
      </c>
      <c r="E5" s="460">
        <f>tertiair!E16</f>
        <v>308.19889223885491</v>
      </c>
      <c r="F5" s="460">
        <f ca="1">tertiair!F16</f>
        <v>2284.9506944474374</v>
      </c>
      <c r="G5" s="460">
        <f>tertiair!G16</f>
        <v>0</v>
      </c>
      <c r="H5" s="460">
        <f>tertiair!H16</f>
        <v>0</v>
      </c>
      <c r="I5" s="460">
        <f>tertiair!I16</f>
        <v>0</v>
      </c>
      <c r="J5" s="460">
        <f>tertiair!J16</f>
        <v>0</v>
      </c>
      <c r="K5" s="460">
        <f>tertiair!K16</f>
        <v>0</v>
      </c>
      <c r="L5" s="460">
        <f ca="1">tertiair!L16</f>
        <v>0</v>
      </c>
      <c r="M5" s="460">
        <f>tertiair!M16</f>
        <v>0</v>
      </c>
      <c r="N5" s="460">
        <f ca="1">tertiair!N16</f>
        <v>392.27809428297877</v>
      </c>
      <c r="O5" s="460">
        <f>tertiair!O16</f>
        <v>3.1266666666666669</v>
      </c>
      <c r="P5" s="461">
        <f>tertiair!P16</f>
        <v>19.066666666666666</v>
      </c>
      <c r="Q5" s="459">
        <f t="shared" ref="Q5:Q14" ca="1" si="0">SUM(B5:P5)</f>
        <v>23724.772189659212</v>
      </c>
    </row>
    <row r="6" spans="1:17">
      <c r="A6" s="459" t="s">
        <v>194</v>
      </c>
      <c r="B6" s="460">
        <f>'openbare verlichting'!B8</f>
        <v>1122.8900000000001</v>
      </c>
      <c r="C6" s="460"/>
      <c r="D6" s="460"/>
      <c r="E6" s="460"/>
      <c r="F6" s="460"/>
      <c r="G6" s="460"/>
      <c r="H6" s="460"/>
      <c r="I6" s="460"/>
      <c r="J6" s="460"/>
      <c r="K6" s="460"/>
      <c r="L6" s="460"/>
      <c r="M6" s="460"/>
      <c r="N6" s="460"/>
      <c r="O6" s="460"/>
      <c r="P6" s="461"/>
      <c r="Q6" s="459">
        <f t="shared" si="0"/>
        <v>1122.8900000000001</v>
      </c>
    </row>
    <row r="7" spans="1:17">
      <c r="A7" s="459" t="s">
        <v>112</v>
      </c>
      <c r="B7" s="460">
        <f>landbouw!B8</f>
        <v>1047.4882620917786</v>
      </c>
      <c r="C7" s="460">
        <f>landbouw!C8</f>
        <v>0</v>
      </c>
      <c r="D7" s="460">
        <f>landbouw!D8</f>
        <v>1287.4934268532518</v>
      </c>
      <c r="E7" s="460">
        <f>landbouw!E8</f>
        <v>10.969523852586139</v>
      </c>
      <c r="F7" s="460">
        <f>landbouw!F8</f>
        <v>4484.0456837946313</v>
      </c>
      <c r="G7" s="460">
        <f>landbouw!G8</f>
        <v>0</v>
      </c>
      <c r="H7" s="460">
        <f>landbouw!H8</f>
        <v>0</v>
      </c>
      <c r="I7" s="460">
        <f>landbouw!I8</f>
        <v>0</v>
      </c>
      <c r="J7" s="460">
        <f>landbouw!J8</f>
        <v>93.550090602258649</v>
      </c>
      <c r="K7" s="460">
        <f>landbouw!K8</f>
        <v>0</v>
      </c>
      <c r="L7" s="460">
        <f>landbouw!L8</f>
        <v>0</v>
      </c>
      <c r="M7" s="460">
        <f>landbouw!M8</f>
        <v>0</v>
      </c>
      <c r="N7" s="460">
        <f>landbouw!N8</f>
        <v>0</v>
      </c>
      <c r="O7" s="460">
        <f>landbouw!O8</f>
        <v>0</v>
      </c>
      <c r="P7" s="461">
        <f>landbouw!P8</f>
        <v>0</v>
      </c>
      <c r="Q7" s="459">
        <f t="shared" si="0"/>
        <v>6923.5469871945061</v>
      </c>
    </row>
    <row r="8" spans="1:17">
      <c r="A8" s="459" t="s">
        <v>655</v>
      </c>
      <c r="B8" s="460">
        <f>industrie!B18</f>
        <v>2911.2691283623708</v>
      </c>
      <c r="C8" s="460">
        <f>industrie!C18</f>
        <v>0</v>
      </c>
      <c r="D8" s="460">
        <f>industrie!D18</f>
        <v>8373.714721686285</v>
      </c>
      <c r="E8" s="460">
        <f>industrie!E18</f>
        <v>36.503104682356465</v>
      </c>
      <c r="F8" s="460">
        <f>industrie!F18</f>
        <v>1155.9729042647837</v>
      </c>
      <c r="G8" s="460">
        <f>industrie!G18</f>
        <v>0</v>
      </c>
      <c r="H8" s="460">
        <f>industrie!H18</f>
        <v>0</v>
      </c>
      <c r="I8" s="460">
        <f>industrie!I18</f>
        <v>0</v>
      </c>
      <c r="J8" s="460">
        <f>industrie!J18</f>
        <v>12.239797134239307</v>
      </c>
      <c r="K8" s="460">
        <f>industrie!K18</f>
        <v>0</v>
      </c>
      <c r="L8" s="460">
        <f>industrie!L18</f>
        <v>0</v>
      </c>
      <c r="M8" s="460">
        <f>industrie!M18</f>
        <v>0</v>
      </c>
      <c r="N8" s="460">
        <f>industrie!N18</f>
        <v>106.32773407923563</v>
      </c>
      <c r="O8" s="460">
        <f>industrie!O18</f>
        <v>0</v>
      </c>
      <c r="P8" s="461">
        <f>industrie!P18</f>
        <v>0</v>
      </c>
      <c r="Q8" s="459">
        <f t="shared" si="0"/>
        <v>12596.02739020927</v>
      </c>
    </row>
    <row r="9" spans="1:17" s="465" customFormat="1">
      <c r="A9" s="463" t="s">
        <v>573</v>
      </c>
      <c r="B9" s="464">
        <f>transport!B14</f>
        <v>0.50641086824776016</v>
      </c>
      <c r="C9" s="464">
        <f>transport!C14</f>
        <v>0</v>
      </c>
      <c r="D9" s="464">
        <f>transport!D14</f>
        <v>2.8029246725802306</v>
      </c>
      <c r="E9" s="464">
        <f>transport!E14</f>
        <v>278.96098690957069</v>
      </c>
      <c r="F9" s="464">
        <f>transport!F14</f>
        <v>0</v>
      </c>
      <c r="G9" s="464">
        <f>transport!G14</f>
        <v>49605.325915813126</v>
      </c>
      <c r="H9" s="464">
        <f>transport!H14</f>
        <v>9234.915695603253</v>
      </c>
      <c r="I9" s="464">
        <f>transport!I14</f>
        <v>0</v>
      </c>
      <c r="J9" s="464">
        <f>transport!J14</f>
        <v>0</v>
      </c>
      <c r="K9" s="464">
        <f>transport!K14</f>
        <v>0</v>
      </c>
      <c r="L9" s="464">
        <f>transport!L14</f>
        <v>0</v>
      </c>
      <c r="M9" s="464">
        <f>transport!M14</f>
        <v>2569.3262491287555</v>
      </c>
      <c r="N9" s="464">
        <f>transport!N14</f>
        <v>0</v>
      </c>
      <c r="O9" s="464">
        <f>transport!O14</f>
        <v>0</v>
      </c>
      <c r="P9" s="464">
        <f>transport!P14</f>
        <v>0</v>
      </c>
      <c r="Q9" s="463">
        <f>SUM(B9:P9)</f>
        <v>61691.838182995532</v>
      </c>
    </row>
    <row r="10" spans="1:17">
      <c r="A10" s="459" t="s">
        <v>563</v>
      </c>
      <c r="B10" s="460">
        <f>transport!B54</f>
        <v>0</v>
      </c>
      <c r="C10" s="460">
        <f>transport!C54</f>
        <v>0</v>
      </c>
      <c r="D10" s="460">
        <f>transport!D54</f>
        <v>0</v>
      </c>
      <c r="E10" s="460">
        <f>transport!E54</f>
        <v>0</v>
      </c>
      <c r="F10" s="460">
        <f>transport!F54</f>
        <v>0</v>
      </c>
      <c r="G10" s="460">
        <f>transport!G54</f>
        <v>930.66910787566712</v>
      </c>
      <c r="H10" s="460">
        <f>transport!H54</f>
        <v>0</v>
      </c>
      <c r="I10" s="460">
        <f>transport!I54</f>
        <v>0</v>
      </c>
      <c r="J10" s="460">
        <f>transport!J54</f>
        <v>0</v>
      </c>
      <c r="K10" s="460">
        <f>transport!K54</f>
        <v>0</v>
      </c>
      <c r="L10" s="460">
        <f>transport!L54</f>
        <v>0</v>
      </c>
      <c r="M10" s="460">
        <f>transport!M54</f>
        <v>39.670380798609088</v>
      </c>
      <c r="N10" s="460">
        <f>transport!N54</f>
        <v>0</v>
      </c>
      <c r="O10" s="460">
        <f>transport!O54</f>
        <v>0</v>
      </c>
      <c r="P10" s="461">
        <f>transport!P54</f>
        <v>0</v>
      </c>
      <c r="Q10" s="459">
        <f t="shared" si="0"/>
        <v>970.33948867427625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1468.8539527950102</v>
      </c>
      <c r="C14" s="467"/>
      <c r="D14" s="467">
        <f>'SEAP template'!E25</f>
        <v>1922.4246514090901</v>
      </c>
      <c r="E14" s="467"/>
      <c r="F14" s="467"/>
      <c r="G14" s="467"/>
      <c r="H14" s="467"/>
      <c r="I14" s="467"/>
      <c r="J14" s="467"/>
      <c r="K14" s="467"/>
      <c r="L14" s="467"/>
      <c r="M14" s="467"/>
      <c r="N14" s="467"/>
      <c r="O14" s="467"/>
      <c r="P14" s="468"/>
      <c r="Q14" s="459">
        <f t="shared" si="0"/>
        <v>3391.2786042041002</v>
      </c>
    </row>
    <row r="15" spans="1:17" s="472" customFormat="1">
      <c r="A15" s="469" t="s">
        <v>567</v>
      </c>
      <c r="B15" s="470">
        <f ca="1">SUM(B4:B14)</f>
        <v>50599.364546049554</v>
      </c>
      <c r="C15" s="470">
        <f t="shared" ref="C15:Q15" ca="1" si="1">SUM(C4:C14)</f>
        <v>4.8214285714285712</v>
      </c>
      <c r="D15" s="470">
        <f t="shared" ca="1" si="1"/>
        <v>58378.166984622636</v>
      </c>
      <c r="E15" s="470">
        <f t="shared" si="1"/>
        <v>7467.1985518060083</v>
      </c>
      <c r="F15" s="470">
        <f t="shared" ca="1" si="1"/>
        <v>41102.033309732011</v>
      </c>
      <c r="G15" s="470">
        <f t="shared" si="1"/>
        <v>50535.995023688796</v>
      </c>
      <c r="H15" s="470">
        <f t="shared" si="1"/>
        <v>9234.915695603253</v>
      </c>
      <c r="I15" s="470">
        <f t="shared" si="1"/>
        <v>0</v>
      </c>
      <c r="J15" s="470">
        <f t="shared" si="1"/>
        <v>3662.8598840711848</v>
      </c>
      <c r="K15" s="470">
        <f t="shared" si="1"/>
        <v>0</v>
      </c>
      <c r="L15" s="470">
        <f t="shared" ca="1" si="1"/>
        <v>0</v>
      </c>
      <c r="M15" s="470">
        <f t="shared" si="1"/>
        <v>2608.9966299273647</v>
      </c>
      <c r="N15" s="470">
        <f t="shared" ca="1" si="1"/>
        <v>10106.981188954718</v>
      </c>
      <c r="O15" s="470">
        <f t="shared" si="1"/>
        <v>65.66</v>
      </c>
      <c r="P15" s="470">
        <f t="shared" si="1"/>
        <v>305.06666666666666</v>
      </c>
      <c r="Q15" s="470">
        <f t="shared" ca="1" si="1"/>
        <v>234072.05990969363</v>
      </c>
    </row>
    <row r="17" spans="1:17">
      <c r="A17" s="473" t="s">
        <v>568</v>
      </c>
      <c r="B17" s="777">
        <f ca="1">huishoudens!B10</f>
        <v>0.18147591411125547</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5753.0174615551141</v>
      </c>
      <c r="C22" s="460">
        <f t="shared" ref="C22:C32" ca="1" si="3">C4*$C$17</f>
        <v>0</v>
      </c>
      <c r="D22" s="460">
        <f t="shared" ref="D22:D32" si="4">D4*$D$17</f>
        <v>7762.1500701645928</v>
      </c>
      <c r="E22" s="460">
        <f t="shared" ref="E22:E32" si="5">E4*$E$17</f>
        <v>1550.9924920158394</v>
      </c>
      <c r="F22" s="460">
        <f t="shared" ref="F22:F32" si="6">F4*$F$17</f>
        <v>8858.2760952691187</v>
      </c>
      <c r="G22" s="460">
        <f t="shared" ref="G22:G32" si="7">G4*$G$17</f>
        <v>0</v>
      </c>
      <c r="H22" s="460">
        <f t="shared" ref="H22:H32" si="8">H4*$H$17</f>
        <v>0</v>
      </c>
      <c r="I22" s="460">
        <f t="shared" ref="I22:I32" si="9">I4*$I$17</f>
        <v>0</v>
      </c>
      <c r="J22" s="460">
        <f t="shared" ref="J22:J32" si="10">J4*$J$17</f>
        <v>1259.202778702479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25183.638897707144</v>
      </c>
    </row>
    <row r="23" spans="1:17">
      <c r="A23" s="459" t="s">
        <v>156</v>
      </c>
      <c r="B23" s="460">
        <f t="shared" ca="1" si="2"/>
        <v>2240.6983523594995</v>
      </c>
      <c r="C23" s="460">
        <f t="shared" ca="1" si="3"/>
        <v>1.1457983193277312</v>
      </c>
      <c r="D23" s="460">
        <f t="shared" ca="1" si="4"/>
        <v>1689.7796443556963</v>
      </c>
      <c r="E23" s="460">
        <f t="shared" si="5"/>
        <v>69.961148538220073</v>
      </c>
      <c r="F23" s="460">
        <f t="shared" ca="1" si="6"/>
        <v>610.08183541746587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4611.6667789902094</v>
      </c>
    </row>
    <row r="24" spans="1:17">
      <c r="A24" s="459" t="s">
        <v>194</v>
      </c>
      <c r="B24" s="460">
        <f t="shared" ca="1" si="2"/>
        <v>203.77748919638768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203.77748919638768</v>
      </c>
    </row>
    <row r="25" spans="1:17">
      <c r="A25" s="459" t="s">
        <v>112</v>
      </c>
      <c r="B25" s="460">
        <f t="shared" ca="1" si="2"/>
        <v>190.09388988391586</v>
      </c>
      <c r="C25" s="460">
        <f t="shared" ca="1" si="3"/>
        <v>0</v>
      </c>
      <c r="D25" s="460">
        <f t="shared" si="4"/>
        <v>260.07367222435687</v>
      </c>
      <c r="E25" s="460">
        <f t="shared" si="5"/>
        <v>2.4900819145370536</v>
      </c>
      <c r="F25" s="460">
        <f t="shared" si="6"/>
        <v>1197.2401975731666</v>
      </c>
      <c r="G25" s="460">
        <f t="shared" si="7"/>
        <v>0</v>
      </c>
      <c r="H25" s="460">
        <f t="shared" si="8"/>
        <v>0</v>
      </c>
      <c r="I25" s="460">
        <f t="shared" si="9"/>
        <v>0</v>
      </c>
      <c r="J25" s="460">
        <f t="shared" si="10"/>
        <v>33.116732073199557</v>
      </c>
      <c r="K25" s="460">
        <f t="shared" si="11"/>
        <v>0</v>
      </c>
      <c r="L25" s="460">
        <f t="shared" si="12"/>
        <v>0</v>
      </c>
      <c r="M25" s="460">
        <f t="shared" si="13"/>
        <v>0</v>
      </c>
      <c r="N25" s="460">
        <f t="shared" si="14"/>
        <v>0</v>
      </c>
      <c r="O25" s="460">
        <f t="shared" si="15"/>
        <v>0</v>
      </c>
      <c r="P25" s="461">
        <f t="shared" si="16"/>
        <v>0</v>
      </c>
      <c r="Q25" s="459">
        <f t="shared" ca="1" si="17"/>
        <v>1683.0145736691759</v>
      </c>
    </row>
    <row r="26" spans="1:17">
      <c r="A26" s="459" t="s">
        <v>655</v>
      </c>
      <c r="B26" s="460">
        <f t="shared" ca="1" si="2"/>
        <v>528.32522629343919</v>
      </c>
      <c r="C26" s="460">
        <f t="shared" ca="1" si="3"/>
        <v>0</v>
      </c>
      <c r="D26" s="460">
        <f t="shared" si="4"/>
        <v>1691.4903737806296</v>
      </c>
      <c r="E26" s="460">
        <f t="shared" si="5"/>
        <v>8.2862047628949185</v>
      </c>
      <c r="F26" s="460">
        <f t="shared" si="6"/>
        <v>308.64476543869728</v>
      </c>
      <c r="G26" s="460">
        <f t="shared" si="7"/>
        <v>0</v>
      </c>
      <c r="H26" s="460">
        <f t="shared" si="8"/>
        <v>0</v>
      </c>
      <c r="I26" s="460">
        <f t="shared" si="9"/>
        <v>0</v>
      </c>
      <c r="J26" s="460">
        <f t="shared" si="10"/>
        <v>4.3328881855207149</v>
      </c>
      <c r="K26" s="460">
        <f t="shared" si="11"/>
        <v>0</v>
      </c>
      <c r="L26" s="460">
        <f t="shared" si="12"/>
        <v>0</v>
      </c>
      <c r="M26" s="460">
        <f t="shared" si="13"/>
        <v>0</v>
      </c>
      <c r="N26" s="460">
        <f t="shared" si="14"/>
        <v>0</v>
      </c>
      <c r="O26" s="460">
        <f t="shared" si="15"/>
        <v>0</v>
      </c>
      <c r="P26" s="461">
        <f t="shared" si="16"/>
        <v>0</v>
      </c>
      <c r="Q26" s="459">
        <f t="shared" ca="1" si="17"/>
        <v>2541.0794584611817</v>
      </c>
    </row>
    <row r="27" spans="1:17" s="465" customFormat="1">
      <c r="A27" s="463" t="s">
        <v>573</v>
      </c>
      <c r="B27" s="771">
        <f t="shared" ca="1" si="2"/>
        <v>9.1901375231136825E-2</v>
      </c>
      <c r="C27" s="464">
        <f t="shared" ca="1" si="3"/>
        <v>0</v>
      </c>
      <c r="D27" s="464">
        <f t="shared" si="4"/>
        <v>0.56619078386120658</v>
      </c>
      <c r="E27" s="464">
        <f t="shared" si="5"/>
        <v>63.324144028472553</v>
      </c>
      <c r="F27" s="464">
        <f t="shared" si="6"/>
        <v>0</v>
      </c>
      <c r="G27" s="464">
        <f t="shared" si="7"/>
        <v>13244.622019522105</v>
      </c>
      <c r="H27" s="464">
        <f t="shared" si="8"/>
        <v>2299.4940082052099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15608.098263914879</v>
      </c>
    </row>
    <row r="28" spans="1:17">
      <c r="A28" s="459" t="s">
        <v>563</v>
      </c>
      <c r="B28" s="460">
        <f t="shared" ca="1" si="2"/>
        <v>0</v>
      </c>
      <c r="C28" s="460">
        <f t="shared" ca="1" si="3"/>
        <v>0</v>
      </c>
      <c r="D28" s="460">
        <f t="shared" si="4"/>
        <v>0</v>
      </c>
      <c r="E28" s="460">
        <f t="shared" si="5"/>
        <v>0</v>
      </c>
      <c r="F28" s="460">
        <f t="shared" si="6"/>
        <v>0</v>
      </c>
      <c r="G28" s="460">
        <f t="shared" si="7"/>
        <v>248.48865180280313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248.48865180280313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266.56161377940538</v>
      </c>
      <c r="C32" s="460">
        <f t="shared" ca="1" si="3"/>
        <v>0</v>
      </c>
      <c r="D32" s="460">
        <f t="shared" si="4"/>
        <v>388.32977958463624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654.89139336404162</v>
      </c>
    </row>
    <row r="33" spans="1:17" s="472" customFormat="1">
      <c r="A33" s="469" t="s">
        <v>567</v>
      </c>
      <c r="B33" s="470">
        <f ca="1">SUM(B22:B32)</f>
        <v>9182.5659344429932</v>
      </c>
      <c r="C33" s="470">
        <f t="shared" ref="C33:Q33" ca="1" si="19">SUM(C22:C32)</f>
        <v>1.1457983193277312</v>
      </c>
      <c r="D33" s="470">
        <f t="shared" ca="1" si="19"/>
        <v>11792.389730893772</v>
      </c>
      <c r="E33" s="470">
        <f t="shared" si="19"/>
        <v>1695.0540712599638</v>
      </c>
      <c r="F33" s="470">
        <f t="shared" ca="1" si="19"/>
        <v>10974.242893698449</v>
      </c>
      <c r="G33" s="470">
        <f t="shared" si="19"/>
        <v>13493.110671324908</v>
      </c>
      <c r="H33" s="470">
        <f t="shared" si="19"/>
        <v>2299.4940082052099</v>
      </c>
      <c r="I33" s="470">
        <f t="shared" si="19"/>
        <v>0</v>
      </c>
      <c r="J33" s="470">
        <f t="shared" si="19"/>
        <v>1296.6523989611992</v>
      </c>
      <c r="K33" s="470">
        <f t="shared" si="19"/>
        <v>0</v>
      </c>
      <c r="L33" s="470">
        <f t="shared" ca="1" si="19"/>
        <v>0</v>
      </c>
      <c r="M33" s="470">
        <f t="shared" si="19"/>
        <v>0</v>
      </c>
      <c r="N33" s="470">
        <f t="shared" ca="1" si="19"/>
        <v>0</v>
      </c>
      <c r="O33" s="470">
        <f t="shared" si="19"/>
        <v>0</v>
      </c>
      <c r="P33" s="470">
        <f t="shared" si="19"/>
        <v>0</v>
      </c>
      <c r="Q33" s="470">
        <f t="shared" ca="1" si="19"/>
        <v>50734.655507105825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7598.5958320085565</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1440.8258379348267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3.3749999999999996</v>
      </c>
      <c r="D8" s="1028">
        <f>'SEAP template'!D76</f>
        <v>3.9705882352941173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0.80205882352941171</v>
      </c>
    </row>
    <row r="9" spans="1:16">
      <c r="A9" s="1031" t="s">
        <v>939</v>
      </c>
      <c r="B9" s="1028">
        <f>'SEAP template'!B77</f>
        <v>13.499999999999998</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33.749999999999993</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9052.9216699433837</v>
      </c>
      <c r="C10" s="1032">
        <f>SUM(C4:C9)</f>
        <v>3.3749999999999996</v>
      </c>
      <c r="D10" s="1032">
        <f t="shared" ref="D10:H10" si="0">SUM(D8:D9)</f>
        <v>3.9705882352941173</v>
      </c>
      <c r="E10" s="1032">
        <f t="shared" si="0"/>
        <v>0</v>
      </c>
      <c r="F10" s="1032">
        <f t="shared" si="0"/>
        <v>0</v>
      </c>
      <c r="G10" s="1032">
        <f t="shared" si="0"/>
        <v>0</v>
      </c>
      <c r="H10" s="1032">
        <f t="shared" si="0"/>
        <v>0</v>
      </c>
      <c r="I10" s="1032">
        <f>SUM(I8:I9)</f>
        <v>0</v>
      </c>
      <c r="J10" s="1032">
        <f>SUM(J8:J9)</f>
        <v>33.749999999999993</v>
      </c>
      <c r="K10" s="1032">
        <f t="shared" ref="K10:L10" si="1">SUM(K8:K9)</f>
        <v>0</v>
      </c>
      <c r="L10" s="1032">
        <f t="shared" si="1"/>
        <v>0</v>
      </c>
      <c r="M10" s="1032">
        <f>SUM(M8:M9)</f>
        <v>0</v>
      </c>
      <c r="N10" s="1032">
        <f>SUM(N8:N9)</f>
        <v>0</v>
      </c>
      <c r="O10" s="1032">
        <f>SUM(O8:O9)</f>
        <v>0</v>
      </c>
      <c r="P10" s="1032">
        <f>SUM(P8:P9)</f>
        <v>0.80205882352941171</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0.18147591411125547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4.8214285714285712</v>
      </c>
      <c r="D17" s="1029">
        <f>'SEAP template'!D87</f>
        <v>5.6722689075630255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1.1457983193277312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4.8214285714285712</v>
      </c>
      <c r="D20" s="1032">
        <f t="shared" ref="D20:H20" si="2">SUM(D17:D19)</f>
        <v>5.6722689075630255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1.1457983193277312</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0.18147591411125547</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2019-06-29T16:06:13Z</dcterms:modified>
</cp:coreProperties>
</file>