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8"/>
  <c r="B6"/>
  <c r="B5"/>
  <c r="B4"/>
  <c r="O19" l="1"/>
  <c r="B17"/>
  <c r="B20" s="1"/>
  <c r="G20"/>
  <c r="O9"/>
  <c r="C98"/>
  <c r="D101" s="1"/>
  <c r="F20"/>
  <c r="O18"/>
  <c r="B10"/>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E55" s="1"/>
  <c r="Q26"/>
  <c r="N26"/>
  <c r="J26"/>
  <c r="I26"/>
  <c r="R12"/>
  <c r="D5" i="17"/>
  <c r="Q14" i="48" l="1"/>
  <c r="C77" i="14"/>
  <c r="C9" i="55" s="1"/>
  <c r="F9"/>
  <c r="F90" i="14"/>
  <c r="F18" i="55"/>
  <c r="F20" s="1"/>
  <c r="N90" i="14"/>
  <c r="N18" i="55"/>
  <c r="N20" s="1"/>
  <c r="L78" i="14"/>
  <c r="L8" i="55"/>
  <c r="P32" i="48"/>
  <c r="G101" i="18"/>
  <c r="D22" i="14"/>
  <c r="P31" i="48"/>
  <c r="K20" i="55"/>
  <c r="F101" i="18"/>
  <c r="I8" s="1"/>
  <c r="R9" i="14"/>
  <c r="E10" i="55"/>
  <c r="H20"/>
  <c r="B101" i="18"/>
  <c r="C8" s="1"/>
  <c r="D76" i="14" s="1"/>
  <c r="O28" i="48"/>
  <c r="O22" i="14"/>
  <c r="L90"/>
  <c r="H10" i="55"/>
  <c r="G20"/>
  <c r="O20"/>
  <c r="H101" i="18"/>
  <c r="N78" i="14"/>
  <c r="N9" i="55"/>
  <c r="M90" i="14"/>
  <c r="M17" i="55"/>
  <c r="M20" s="1"/>
  <c r="E90" i="14"/>
  <c r="E18" i="55"/>
  <c r="E20" s="1"/>
  <c r="G78" i="14"/>
  <c r="G9" i="55"/>
  <c r="G10" s="1"/>
  <c r="O78" i="14"/>
  <c r="O9" i="55"/>
  <c r="L22" i="14"/>
  <c r="D14" i="48"/>
  <c r="C101" i="18"/>
  <c r="L10" i="55"/>
  <c r="O10"/>
  <c r="P24" i="48"/>
  <c r="M22" i="14"/>
  <c r="N10" i="55"/>
  <c r="O29" i="48"/>
  <c r="O25"/>
  <c r="I101" i="18"/>
  <c r="H8" s="1"/>
  <c r="G22" i="14"/>
  <c r="P22"/>
  <c r="E101" i="18"/>
  <c r="E8" s="1"/>
  <c r="H90" i="14"/>
  <c r="Q52"/>
  <c r="K10" i="55"/>
  <c r="O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E10" i="18" l="1"/>
  <c r="F76" i="14"/>
  <c r="D8" i="55"/>
  <c r="D10" s="1"/>
  <c r="H10" i="18"/>
  <c r="M76" i="14"/>
  <c r="P9" i="55"/>
  <c r="I10" i="18"/>
  <c r="I76" i="14"/>
  <c r="I8" i="55" s="1"/>
  <c r="I10" s="1"/>
  <c r="J20" i="18"/>
  <c r="J87" i="14"/>
  <c r="I20" i="18"/>
  <c r="I87" i="14"/>
  <c r="I17" i="55" s="1"/>
  <c r="I20" s="1"/>
  <c r="O8" i="18"/>
  <c r="O10" s="1"/>
  <c r="J10"/>
  <c r="J76" i="14"/>
  <c r="Q87"/>
  <c r="D90"/>
  <c r="Q90" l="1"/>
  <c r="B17" i="6" s="1"/>
  <c r="P17" i="55"/>
  <c r="P20" s="1"/>
  <c r="M8"/>
  <c r="M10" s="1"/>
  <c r="M78" i="14"/>
  <c r="F8" i="55"/>
  <c r="F10" s="1"/>
  <c r="F78" i="14"/>
  <c r="J90"/>
  <c r="J17" i="55"/>
  <c r="J20" s="1"/>
  <c r="J78" i="14"/>
  <c r="J8" i="55"/>
  <c r="J10" s="1"/>
  <c r="Q76" i="14"/>
  <c r="I78"/>
  <c r="C76"/>
  <c r="B76"/>
  <c r="I90"/>
  <c r="B87"/>
  <c r="C87"/>
  <c r="H14" i="15"/>
  <c r="H16" s="1"/>
  <c r="G14"/>
  <c r="G16" s="1"/>
  <c r="B78" i="14" l="1"/>
  <c r="B4" i="6" s="1"/>
  <c r="B8" i="55"/>
  <c r="B10" s="1"/>
  <c r="B90" i="14"/>
  <c r="B17" i="55"/>
  <c r="B20" s="1"/>
  <c r="C90" i="14"/>
  <c r="C17" i="55"/>
  <c r="C20" s="1"/>
  <c r="I10" i="14"/>
  <c r="I16" s="1"/>
  <c r="H5" i="48"/>
  <c r="C78" i="14"/>
  <c r="C8" i="55"/>
  <c r="C10" s="1"/>
  <c r="H10" i="14"/>
  <c r="H16" s="1"/>
  <c r="G5" i="48"/>
  <c r="P8" i="55"/>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E11"/>
  <c r="D4" i="48"/>
  <c r="H30"/>
  <c r="H32"/>
  <c r="H25"/>
  <c r="H24"/>
  <c r="H29"/>
  <c r="H26"/>
  <c r="H28"/>
  <c r="H22"/>
  <c r="H23"/>
  <c r="C4"/>
  <c r="D11" i="14"/>
  <c r="G30" i="48"/>
  <c r="G32"/>
  <c r="G26"/>
  <c r="G25"/>
  <c r="G24"/>
  <c r="G22"/>
  <c r="G29"/>
  <c r="G23"/>
  <c r="M5"/>
  <c r="N10" i="14"/>
  <c r="N16" s="1"/>
  <c r="B4" i="48"/>
  <c r="C11" i="14"/>
  <c r="F32" i="48"/>
  <c r="F29"/>
  <c r="F24"/>
  <c r="F31"/>
  <c r="F30"/>
  <c r="F28"/>
  <c r="F27"/>
  <c r="N32"/>
  <c r="N31"/>
  <c r="N30"/>
  <c r="N28"/>
  <c r="N27"/>
  <c r="N29"/>
  <c r="N24"/>
  <c r="B7"/>
  <c r="C24" i="14"/>
  <c r="C26" s="1"/>
  <c r="E30" i="48"/>
  <c r="E28"/>
  <c r="E24"/>
  <c r="E32"/>
  <c r="E31"/>
  <c r="E29"/>
  <c r="M30"/>
  <c r="M32"/>
  <c r="M24"/>
  <c r="M25"/>
  <c r="M29"/>
  <c r="M22"/>
  <c r="M26"/>
  <c r="K5"/>
  <c r="L10" i="14"/>
  <c r="L16" s="1"/>
  <c r="L27" s="1"/>
  <c r="D22" i="48"/>
  <c r="D30"/>
  <c r="D28"/>
  <c r="D24"/>
  <c r="D29"/>
  <c r="D31"/>
  <c r="D32"/>
  <c r="L30"/>
  <c r="L24"/>
  <c r="L27"/>
  <c r="L22"/>
  <c r="L28"/>
  <c r="L32"/>
  <c r="L29"/>
  <c r="L31"/>
  <c r="P5"/>
  <c r="P23" s="1"/>
  <c r="Q10" i="14"/>
  <c r="K30" i="48"/>
  <c r="K32"/>
  <c r="K31"/>
  <c r="K28"/>
  <c r="K29"/>
  <c r="K22"/>
  <c r="K26"/>
  <c r="K24"/>
  <c r="K25"/>
  <c r="K27"/>
  <c r="B10"/>
  <c r="C19" i="14"/>
  <c r="J10"/>
  <c r="J16" s="1"/>
  <c r="J27" s="1"/>
  <c r="I5" i="48"/>
  <c r="J32"/>
  <c r="J29"/>
  <c r="J27"/>
  <c r="J31"/>
  <c r="J24"/>
  <c r="J30"/>
  <c r="J28"/>
  <c r="P4"/>
  <c r="Q11" i="14"/>
  <c r="P11"/>
  <c r="O4" i="48"/>
  <c r="I25"/>
  <c r="I30"/>
  <c r="I24"/>
  <c r="I32"/>
  <c r="I29"/>
  <c r="I26"/>
  <c r="I28"/>
  <c r="I27"/>
  <c r="I22"/>
  <c r="I31"/>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0" i="14"/>
  <c r="O5" i="48"/>
  <c r="O23" s="1"/>
  <c r="M13"/>
  <c r="M31" s="1"/>
  <c r="N18" i="14"/>
  <c r="M23" i="48"/>
  <c r="P22"/>
  <c r="I23"/>
  <c r="I15"/>
  <c r="K15"/>
  <c r="K23"/>
  <c r="K33" s="1"/>
  <c r="F4"/>
  <c r="F22" s="1"/>
  <c r="G11" i="14"/>
  <c r="J63"/>
  <c r="N46"/>
  <c r="D16" i="15"/>
  <c r="E10" i="14" s="1"/>
  <c r="L46"/>
  <c r="L61" s="1"/>
  <c r="L63" s="1"/>
  <c r="G12" i="22"/>
  <c r="H18" i="14"/>
  <c r="R18" s="1"/>
  <c r="G13" i="48"/>
  <c r="P22" i="16"/>
  <c r="Q43" i="14" s="1"/>
  <c r="Q13"/>
  <c r="P8" i="48"/>
  <c r="P26" s="1"/>
  <c r="O22"/>
  <c r="Q16" i="14"/>
  <c r="Q27" s="1"/>
  <c r="G31" i="20"/>
  <c r="H48" i="14" s="1"/>
  <c r="I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J4"/>
  <c r="J22" s="1"/>
  <c r="K11" i="14"/>
  <c r="G31" i="48"/>
  <c r="Q13"/>
  <c r="H27"/>
  <c r="H33" s="1"/>
  <c r="H15"/>
  <c r="G14" i="22"/>
  <c r="P15" i="48"/>
  <c r="N4"/>
  <c r="N22" s="1"/>
  <c r="O11" i="14"/>
  <c r="G10" i="48"/>
  <c r="H19" i="14"/>
  <c r="R19" s="1"/>
  <c r="C20"/>
  <c r="B9" i="48"/>
  <c r="F20" i="14"/>
  <c r="F22" s="1"/>
  <c r="E9" i="48"/>
  <c r="E27" s="1"/>
  <c r="E20" i="14"/>
  <c r="E22" s="1"/>
  <c r="D9" i="48"/>
  <c r="D27" s="1"/>
  <c r="P13" i="14"/>
  <c r="P16" s="1"/>
  <c r="P27" s="1"/>
  <c r="O8" i="48"/>
  <c r="P33"/>
  <c r="P46" i="14"/>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9" i="48"/>
  <c r="H20" i="14"/>
  <c r="H22" s="1"/>
  <c r="H27" s="1"/>
  <c r="H63" s="1"/>
  <c r="P63"/>
  <c r="G18" i="22"/>
  <c r="H50" i="14" s="1"/>
  <c r="H52" s="1"/>
  <c r="H61" s="1"/>
  <c r="G28" i="48"/>
  <c r="Q10"/>
  <c r="M18" i="22"/>
  <c r="N50" i="14" s="1"/>
  <c r="N20"/>
  <c r="N22" s="1"/>
  <c r="N27" s="1"/>
  <c r="N63" s="1"/>
  <c r="M9" i="48"/>
  <c r="O26"/>
  <c r="O33" s="1"/>
  <c r="O15"/>
  <c r="E22"/>
  <c r="Q4"/>
  <c r="C22" i="14"/>
  <c r="B15" i="48"/>
  <c r="R11" i="14"/>
  <c r="D15" i="48"/>
  <c r="J5"/>
  <c r="K10" i="14"/>
  <c r="E20" i="15"/>
  <c r="F40" i="14" s="1"/>
  <c r="E5" i="48"/>
  <c r="F10" i="14"/>
  <c r="L15" i="48"/>
  <c r="Q7"/>
  <c r="R24" i="14"/>
  <c r="R26" s="1"/>
  <c r="J18" i="16"/>
  <c r="N18"/>
  <c r="E18"/>
  <c r="F18"/>
  <c r="F22" s="1"/>
  <c r="G43" i="14" s="1"/>
  <c r="R20" l="1"/>
  <c r="R22" s="1"/>
  <c r="G27" i="48"/>
  <c r="G33" s="1"/>
  <c r="G15"/>
  <c r="M27"/>
  <c r="M33" s="1"/>
  <c r="M15"/>
  <c r="Q9"/>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<sst xmlns="http://schemas.openxmlformats.org/spreadsheetml/2006/main" count="2493" uniqueCount="963">
  <si>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</si>
  <si>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</si>
  <si>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</si>
  <si>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</si>
  <si>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</si>
  <si>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</si>
  <si>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</si>
  <si>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</si>
  <si>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</si>
  <si>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</si>
  <si>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</si>
  <si>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</si>
  <si>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</si>
  <si>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</si>
  <si>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</si>
  <si>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</si>
  <si>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</si>
  <si>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</si>
  <si>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</si>
  <si>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</si>
  <si>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</si>
  <si>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</si>
  <si>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</si>
  <si>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</si>
  <si>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</si>
  <si>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</si>
  <si>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</si>
  <si>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</si>
  <si>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</si>
  <si>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</si>
  <si>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</si>
  <si>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</si>
  <si>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</si>
  <si>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</si>
  <si>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</si>
  <si>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</si>
  <si>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</si>
  <si>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</si>
  <si>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</si>
  <si>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</si>
  <si>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</si>
  <si>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</si>
  <si>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</si>
  <si>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</si>
  <si>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</si>
  <si>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</si>
  <si>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</si>
  <si>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</si>
  <si>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</si>
  <si>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</si>
  <si>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</si>
  <si>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</si>
  <si>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</si>
  <si>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</si>
  <si>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</si>
  <si>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</si>
  <si>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</si>
  <si>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</si>
  <si>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</si>
  <si>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</si>
  <si>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</si>
  <si>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</si>
  <si>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</si>
  <si>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</si>
  <si>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</si>
  <si>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</si>
  <si>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</si>
  <si>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</si>
  <si>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</si>
  <si>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</si>
  <si>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</si>
  <si>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</si>
  <si>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</si>
  <si>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</si>
  <si>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</si>
  <si>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</si>
  <si>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</si>
  <si>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</si>
  <si>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</si>
  <si>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</si>
  <si>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</si>
  <si>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</si>
  <si>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</si>
  <si>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</si>
  <si>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</si>
  <si>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</si>
  <si>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</si>
  <si>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</si>
  <si>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</si>
  <si>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</si>
  <si>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</si>
  <si>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</si>
  <si>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</si>
  <si>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</si>
  <si>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</si>
  <si>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</si>
  <si>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</si>
  <si>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</si>
  <si>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</si>
  <si>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</si>
  <si>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</si>
  <si>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</si>
  <si>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</si>
  <si>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</si>
  <si>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</si>
  <si>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</si>
  <si>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</si>
  <si>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</si>
  <si>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</si>
  <si>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</si>
  <si>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</si>
  <si>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</si>
  <si>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</si>
  <si>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</si>
  <si>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</si>
  <si>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</si>
  <si>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</si>
  <si>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</si>
  <si>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</si>
  <si>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</si>
  <si>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</si>
  <si>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</si>
  <si>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</si>
  <si>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</si>
  <si>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</si>
  <si>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</si>
  <si>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</si>
  <si>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</si>
  <si>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</si>
  <si>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</si>
  <si>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</si>
  <si>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</si>
  <si>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</si>
  <si>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</si>
  <si>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</si>
  <si>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</si>
  <si>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</si>
  <si>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</si>
  <si>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</si>
  <si>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</si>
  <si>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</si>
  <si>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</si>
  <si>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</si>
  <si>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</si>
  <si>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</si>
  <si>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</si>
  <si>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</si>
  <si>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</si>
  <si>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</si>
  <si>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</si>
  <si>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</si>
  <si>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</si>
  <si>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</si>
  <si>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</si>
  <si>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</si>
  <si>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</si>
  <si>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</si>
  <si>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</si>
  <si>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</si>
  <si>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</si>
  <si>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</si>
  <si>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</si>
  <si>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</si>
  <si>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</si>
  <si>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</si>
  <si>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</si>
  <si>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</si>
  <si>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</si>
  <si>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</si>
  <si>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</si>
  <si>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</si>
  <si>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</si>
  <si>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</si>
  <si>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</si>
  <si>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</si>
  <si>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</si>
  <si>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</si>
  <si>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</si>
  <si>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</si>
  <si>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</si>
  <si>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</si>
  <si>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</si>
  <si>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</si>
  <si>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</si>
  <si>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</si>
  <si>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</si>
  <si>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</si>
  <si>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</si>
  <si>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</si>
  <si>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</si>
  <si>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</si>
  <si>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</si>
  <si>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</si>
  <si>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</si>
  <si>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</si>
  <si>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</si>
  <si>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</si>
  <si>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</si>
  <si>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</si>
  <si>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</si>
  <si>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</si>
  <si>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</si>
  <si>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</si>
  <si>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</si>
  <si>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</si>
  <si>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</si>
  <si>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</si>
  <si>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</si>
  <si>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</si>
  <si>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</si>
  <si>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</si>
  <si>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</si>
  <si>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</si>
  <si>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</si>
  <si>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</si>
  <si>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</si>
  <si>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</si>
  <si>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</si>
  <si>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</si>
  <si>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</si>
  <si>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</si>
  <si>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</si>
  <si>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</si>
  <si>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</si>
  <si>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</si>
  <si>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</si>
  <si>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</si>
  <si>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</si>
  <si>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</si>
  <si>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</si>
  <si>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</si>
  <si>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</si>
  <si>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</si>
  <si>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</si>
  <si>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</si>
  <si>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</si>
  <si>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</si>
  <si>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</si>
  <si>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</si>
  <si>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</si>
  <si>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</si>
  <si>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</si>
  <si>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</si>
  <si>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</si>
  <si>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</si>
  <si>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</si>
  <si>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</si>
  <si>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</si>
  <si>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</si>
  <si>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</si>
  <si>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</si>
  <si>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</si>
  <si>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</si>
  <si>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</si>
  <si>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</si>
  <si>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</si>
  <si>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</si>
  <si>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</si>
  <si>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</si>
  <si>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</si>
  <si>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</si>
  <si>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</si>
  <si>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</si>
  <si>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</si>
  <si>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</si>
  <si>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</si>
  <si>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</si>
  <si>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</si>
  <si>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</si>
  <si>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</si>
  <si>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</si>
  <si>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</si>
  <si>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</si>
  <si>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</si>
  <si>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</si>
  <si>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</si>
  <si>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</si>
  <si>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</si>
  <si>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</si>
  <si>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</si>
  <si>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</si>
  <si>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</si>
  <si>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</si>
  <si>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</si>
  <si>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</si>
  <si>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</si>
  <si>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</si>
  <si>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</si>
  <si>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</si>
  <si>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</si>
  <si>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</si>
  <si>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</si>
  <si>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</si>
  <si>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</si>
  <si>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</si>
  <si>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</si>
  <si>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</si>
  <si>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</si>
  <si>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</si>
  <si>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</si>
  <si>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</si>
  <si>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</si>
  <si>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</si>
  <si>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</si>
  <si>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</si>
  <si>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</si>
  <si>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</si>
  <si>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</si>
  <si>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</si>
  <si>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</si>
  <si>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</si>
  <si>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</si>
  <si>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</si>
  <si>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</si>
  <si>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</si>
  <si>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</si>
  <si>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</si>
  <si>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</si>
  <si>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</si>
  <si>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</si>
  <si>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</si>
  <si>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</si>
  <si>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</si>
  <si>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</si>
  <si>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</si>
  <si>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</si>
  <si>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</si>
  <si>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</si>
  <si>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</si>
  <si>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</si>
  <si>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</si>
  <si>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</si>
  <si>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</si>
  <si>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</si>
  <si>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</si>
  <si>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</si>
  <si>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</si>
  <si>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</si>
  <si>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</si>
  <si>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</si>
  <si>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</si>
  <si>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</si>
  <si>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</si>
  <si>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</si>
  <si>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</si>
  <si>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</si>
  <si>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</si>
  <si>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</si>
  <si>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</si>
  <si>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</si>
  <si>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</si>
  <si>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</si>
  <si>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</si>
  <si>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</si>
  <si>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</si>
  <si>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</si>
  <si>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</si>
  <si>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</si>
  <si>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</si>
  <si>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</si>
  <si>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</si>
  <si>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</si>
  <si>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</si>
  <si>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</si>
  <si>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</si>
  <si>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</si>
  <si>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</si>
  <si>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</si>
  <si>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</si>
  <si>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</si>
  <si>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</si>
  <si>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</si>
  <si>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</si>
  <si>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</si>
  <si>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</si>
  <si>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</si>
  <si>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</si>
  <si>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</si>
  <si>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</si>
  <si>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</si>
  <si>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</si>
  <si>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</si>
  <si>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</si>
  <si>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</si>
  <si>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</si>
  <si>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</si>
  <si>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</si>
  <si>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</si>
  <si>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</si>
  <si>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</si>
  <si>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</si>
  <si>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</si>
  <si>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</si>
  <si>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</si>
  <si>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</si>
  <si>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</si>
  <si>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</si>
  <si>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</si>
  <si>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</si>
  <si>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</si>
  <si>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</si>
  <si>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</si>
  <si>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</si>
  <si>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</si>
  <si>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</si>
  <si>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</si>
  <si>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</si>
  <si>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</si>
  <si>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</si>
  <si>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</si>
  <si>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</si>
  <si>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</si>
  <si>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</si>
  <si>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</si>
  <si>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</si>
  <si>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</si>
  <si>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</si>
  <si>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</si>
  <si>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</si>
  <si>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</si>
  <si>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</si>
  <si>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</si>
  <si>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</si>
  <si>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</si>
  <si>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</si>
  <si>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</si>
  <si>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</si>
  <si>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</si>
  <si>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</si>
  <si>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</si>
  <si>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</si>
  <si>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</si>
  <si>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</si>
  <si>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</si>
  <si>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</si>
  <si>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</si>
  <si>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</si>
  <si>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</si>
  <si>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</si>
  <si>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</si>
  <si>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</si>
  <si>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</si>
  <si>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</si>
  <si>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</si>
  <si>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</si>
  <si>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</si>
  <si>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</si>
  <si>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</si>
  <si>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</si>
  <si>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</si>
  <si>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</si>
  <si>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</si>
  <si>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</si>
  <si>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</si>
  <si>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</si>
  <si>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</si>
  <si>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</si>
  <si>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</si>
  <si>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</si>
  <si>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</si>
  <si>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</si>
  <si>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</si>
  <si>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</si>
  <si>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</si>
  <si>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</si>
  <si>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</si>
  <si>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</si>
  <si>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</si>
  <si>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</si>
  <si>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</si>
  <si>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</si>
  <si>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</si>
  <si>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</si>
  <si>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</si>
  <si>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</si>
  <si>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</si>
  <si>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</si>
  <si>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</si>
  <si>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</si>
  <si>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</si>
  <si>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</si>
  <si>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</si>
  <si>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</si>
  <si>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</si>
  <si>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</si>
  <si>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</si>
  <si>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</si>
  <si>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</si>
  <si>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</si>
  <si>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</si>
  <si>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</si>
  <si>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</si>
  <si>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</si>
  <si>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</si>
  <si>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</si>
  <si>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</si>
  <si>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</si>
  <si>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</si>
  <si>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</si>
  <si>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</si>
  <si>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</si>
  <si>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</si>
  <si>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</si>
  <si>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</si>
  <si>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</si>
  <si>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</si>
  <si>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</si>
  <si>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</si>
  <si>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</si>
  <si>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</si>
  <si>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</si>
  <si>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</si>
  <si>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</si>
  <si>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</si>
  <si>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</si>
  <si>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</si>
  <si>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</si>
  <si>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</si>
  <si>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</si>
  <si>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</si>
  <si>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</si>
  <si>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</si>
  <si>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</si>
  <si>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</si>
  <si>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</si>
  <si>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</si>
  <si>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</si>
  <si>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</si>
  <si>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</si>
  <si>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</si>
  <si>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</si>
  <si>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</si>
  <si>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</si>
  <si>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</si>
  <si>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</si>
  <si>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</si>
  <si>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</si>
  <si>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</si>
  <si>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</si>
  <si>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</si>
  <si>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</si>
  <si>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</si>
  <si>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</si>
  <si>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</si>
  <si>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</si>
  <si>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</si>
  <si>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</si>
  <si>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</si>
  <si>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</si>
  <si>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</si>
  <si>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</si>
  <si>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</si>
  <si>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</si>
  <si>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</si>
  <si>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</si>
  <si>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</si>
  <si>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</si>
  <si>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</si>
  <si>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</si>
  <si>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</si>
  <si>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</si>
  <si>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</si>
  <si>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</si>
  <si>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</si>
  <si>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</si>
  <si>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</si>
  <si>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</si>
  <si>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</si>
  <si>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</si>
  <si>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</si>
  <si>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</si>
  <si>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</si>
  <si>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</si>
  <si>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</si>
  <si>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</si>
  <si>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</si>
  <si>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</si>
  <si>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</si>
  <si>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</si>
  <si>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</si>
  <si>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</si>
  <si>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</si>
  <si>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</si>
  <si>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</si>
  <si>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</si>
  <si>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</si>
  <si>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</si>
  <si>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</si>
  <si>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</si>
  <si>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</si>
  <si>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</si>
  <si>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</si>
  <si>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</si>
  <si>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</si>
  <si>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</si>
  <si>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</si>
  <si>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</si>
  <si>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</si>
  <si>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</si>
  <si>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</si>
  <si>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</si>
  <si>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</si>
  <si>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</si>
  <si>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</si>
  <si>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</si>
  <si>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</si>
  <si>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</si>
  <si>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</si>
  <si>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</si>
  <si>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</si>
  <si>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</si>
  <si>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</si>
  <si>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</si>
  <si>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</si>
  <si>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</si>
  <si>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</si>
  <si>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</si>
  <si>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</si>
  <si>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</si>
  <si>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</si>
  <si>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</si>
  <si>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</si>
  <si>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</si>
  <si>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</si>
  <si>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</si>
  <si>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</si>
  <si>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</si>
  <si>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</si>
  <si>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</si>
  <si>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</si>
  <si>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</si>
  <si>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</si>
  <si>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</si>
  <si>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</si>
  <si>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</si>
  <si>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</si>
  <si>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</si>
  <si>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</si>
  <si>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</si>
  <si>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</si>
  <si>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</si>
  <si>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</si>
  <si>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</si>
  <si>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</si>
  <si>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</si>
  <si>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</si>
  <si>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</si>
  <si>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</si>
  <si>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</si>
  <si>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</si>
  <si>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</si>
  <si>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</si>
  <si>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</si>
  <si>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</si>
  <si>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</si>
  <si>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</si>
  <si>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</si>
  <si>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</si>
  <si>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</si>
  <si>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</si>
  <si>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</si>
  <si>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</si>
  <si>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</si>
  <si>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</si>
  <si>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</si>
  <si>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</si>
  <si>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</si>
  <si>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</si>
  <si>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</si>
  <si>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</si>
  <si>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</si>
  <si>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</si>
  <si>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</si>
  <si>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</si>
  <si>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</si>
  <si>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</si>
  <si>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</si>
  <si>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</si>
  <si>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</si>
  <si>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</si>
  <si>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</si>
  <si>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</si>
  <si>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</si>
  <si>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</si>
  <si>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</si>
  <si>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</si>
  <si>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</si>
  <si>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</si>
  <si>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</si>
  <si>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</si>
  <si>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</si>
  <si>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</si>
  <si>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</si>
  <si>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</si>
  <si>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</si>
  <si>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</si>
  <si>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</si>
  <si>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</si>
  <si>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</si>
  <si>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</si>
  <si>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</si>
  <si>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</si>
  <si>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</si>
  <si>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</si>
  <si>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</si>
  <si>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</si>
  <si>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</si>
  <si>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</si>
  <si>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</si>
  <si>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</si>
  <si>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</si>
  <si>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</si>
  <si>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</si>
  <si>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</si>
  <si>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</si>
  <si>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</si>
  <si>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</si>
  <si>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</si>
  <si>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</si>
  <si>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</si>
  <si>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</si>
  <si>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</si>
  <si>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</si>
  <si>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</si>
  <si>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</si>
  <si>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</si>
  <si>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</si>
  <si>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</si>
  <si>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</si>
  <si>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</si>
  <si>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</si>
  <si>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</si>
  <si>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</si>
  <si>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</si>
  <si>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</si>
  <si>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</si>
  <si>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</si>
  <si>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</si>
  <si>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</si>
  <si>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</si>
  <si>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</si>
  <si>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</si>
  <si>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</si>
  <si>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</si>
  <si>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</si>
  <si>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</si>
  <si>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</si>
  <si>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</si>
  <si>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</si>
  <si>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</si>
  <si>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</si>
  <si>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</si>
  <si>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</si>
  <si>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</si>
  <si>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</si>
  <si>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</si>
  <si>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</si>
  <si>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</si>
  <si>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</si>
  <si>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</si>
  <si>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</si>
  <si>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</si>
  <si>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</si>
  <si>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</si>
  <si>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</si>
  <si>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</si>
  <si>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</si>
  <si>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</si>
  <si>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</si>
  <si>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</si>
  <si>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</si>
  <si>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</si>
  <si>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</si>
  <si>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</si>
  <si>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</si>
  <si>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</si>
  <si>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</si>
  <si>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</si>
  <si>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</si>
  <si>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</si>
  <si>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</si>
  <si>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</si>
  <si>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</si>
  <si>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</si>
  <si>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</si>
  <si>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</si>
  <si>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</si>
  <si>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</si>
  <si>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</si>
  <si>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</si>
  <si>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</si>
  <si>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</si>
  <si>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</si>
  <si>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</si>
  <si>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</si>
  <si>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</si>
  <si>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</si>
  <si>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</si>
  <si>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</si>
  <si>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</si>
  <si>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</si>
  <si>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</si>
  <si>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</si>
  <si>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</si>
  <si>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</si>
  <si>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</si>
  <si>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</si>
  <si>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</si>
  <si>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</si>
  <si>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</si>
  <si>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</si>
  <si>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</si>
  <si>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</si>
  <si>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</si>
  <si>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</si>
  <si>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</si>
  <si>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</si>
  <si>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</si>
  <si>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</si>
  <si>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</si>
  <si>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</si>
  <si>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</si>
  <si>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</si>
  <si>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</si>
  <si>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</si>
  <si>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</si>
  <si>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</si>
  <si>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</si>
  <si>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</si>
  <si>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</si>
  <si>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</si>
  <si>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</si>
  <si>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</si>
  <si>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</si>
  <si>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</si>
  <si>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</si>
  <si>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</si>
  <si>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</si>
  <si>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</si>
  <si>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</si>
  <si>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</si>
  <si>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</si>
  <si>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</si>
  <si>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</si>
  <si>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</si>
  <si>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</si>
  <si>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</si>
  <si>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</si>
  <si>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</si>
  <si>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</si>
  <si>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</si>
  <si>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</si>
  <si>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</si>
  <si>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</si>
  <si>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</si>
  <si>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</si>
  <si>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</si>
  <si>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</si>
  <si>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</si>
  <si>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</si>
  <si>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</si>
  <si>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</si>
  <si>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</si>
  <si>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</si>
  <si>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</si>
  <si>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</si>
  <si>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</si>
  <si>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</si>
  <si>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</si>
  <si>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</si>
  <si>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</si>
  <si>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</si>
  <si>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</si>
  <si>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</si>
  <si>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</si>
  <si>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</si>
  <si>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</si>
  <si>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</si>
  <si>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</si>
  <si>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</si>
  <si>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</si>
  <si>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</si>
  <si>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</si>
  <si>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</si>
  <si>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</si>
  <si>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</si>
  <si>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</si>
  <si>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</si>
  <si>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</si>
  <si>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</si>
  <si>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</si>
  <si>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</si>
  <si>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</si>
  <si>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</si>
  <si>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</si>
  <si>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</si>
  <si>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</si>
  <si>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</si>
  <si>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</si>
  <si>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</si>
  <si>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</si>
  <si>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</si>
  <si>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</si>
  <si>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</si>
  <si>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</si>
  <si>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</si>
  <si>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</si>
  <si>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</si>
  <si>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</si>
  <si>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</si>
  <si>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</si>
  <si>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</si>
  <si>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</si>
  <si>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</si>
  <si>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</si>
  <si>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</si>
  <si>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</si>
  <si>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</si>
  <si>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</si>
  <si>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</si>
  <si>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</si>
  <si>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</si>
  <si>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</si>
  <si>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</si>
  <si>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</si>
  <si>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</si>
  <si>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</si>
  <si>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</si>
  <si>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</si>
  <si>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</si>
  <si>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</si>
  <si>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</si>
  <si>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</si>
  <si>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</si>
  <si>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</si>
  <si>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</si>
  <si>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</si>
  <si>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</si>
  <si>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</si>
  <si>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</si>
  <si>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</si>
  <si>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</si>
  <si>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</si>
  <si>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</si>
  <si>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</si>
  <si>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</si>
  <si>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</si>
  <si>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</si>
  <si>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</si>
  <si>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</si>
  <si>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</si>
  <si>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</si>
  <si>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</si>
  <si>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</si>
  <si>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38014</t>
  </si>
  <si>
    <t>KOKSIJDE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</si>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</sst>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38014</v>
      </c>
      <c r="B6" s="396"/>
      <c r="C6" s="397"/>
    </row>
    <row r="7" spans="1:7" s="394" customFormat="1" ht="15.75" customHeight="1">
      <c r="A7" s="398" t="str">
        <f>txtMunicipality</f>
        <v>KOKSIJDE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0.21840819649391477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0.21840819649391477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38014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10811</v>
      </c>
      <c r="C9" s="336">
        <v>11661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2289</v>
      </c>
    </row>
    <row r="15" spans="1:6">
      <c r="A15" s="1277" t="s">
        <v>184</v>
      </c>
      <c r="B15" s="333">
        <v>8</v>
      </c>
    </row>
    <row r="16" spans="1:6">
      <c r="A16" s="1277" t="s">
        <v>6</v>
      </c>
      <c r="B16" s="333">
        <v>211</v>
      </c>
    </row>
    <row r="17" spans="1:6">
      <c r="A17" s="1277" t="s">
        <v>7</v>
      </c>
      <c r="B17" s="333">
        <v>165</v>
      </c>
    </row>
    <row r="18" spans="1:6">
      <c r="A18" s="1277" t="s">
        <v>8</v>
      </c>
      <c r="B18" s="333">
        <v>239</v>
      </c>
    </row>
    <row r="19" spans="1:6">
      <c r="A19" s="1277" t="s">
        <v>9</v>
      </c>
      <c r="B19" s="333">
        <v>258</v>
      </c>
    </row>
    <row r="20" spans="1:6">
      <c r="A20" s="1277" t="s">
        <v>10</v>
      </c>
      <c r="B20" s="333">
        <v>500</v>
      </c>
    </row>
    <row r="21" spans="1:6">
      <c r="A21" s="1277" t="s">
        <v>11</v>
      </c>
      <c r="B21" s="333">
        <v>4569</v>
      </c>
    </row>
    <row r="22" spans="1:6">
      <c r="A22" s="1277" t="s">
        <v>12</v>
      </c>
      <c r="B22" s="333">
        <v>7139</v>
      </c>
    </row>
    <row r="23" spans="1:6">
      <c r="A23" s="1277" t="s">
        <v>13</v>
      </c>
      <c r="B23" s="333">
        <v>178</v>
      </c>
    </row>
    <row r="24" spans="1:6">
      <c r="A24" s="1277" t="s">
        <v>14</v>
      </c>
      <c r="B24" s="333">
        <v>75</v>
      </c>
    </row>
    <row r="25" spans="1:6">
      <c r="A25" s="1277" t="s">
        <v>15</v>
      </c>
      <c r="B25" s="333">
        <v>1155</v>
      </c>
    </row>
    <row r="26" spans="1:6">
      <c r="A26" s="1277" t="s">
        <v>16</v>
      </c>
      <c r="B26" s="333">
        <v>67</v>
      </c>
    </row>
    <row r="27" spans="1:6">
      <c r="A27" s="1277" t="s">
        <v>17</v>
      </c>
      <c r="B27" s="333">
        <v>0</v>
      </c>
    </row>
    <row r="28" spans="1:6">
      <c r="A28" s="1277" t="s">
        <v>18</v>
      </c>
      <c r="B28" s="333">
        <v>144049</v>
      </c>
    </row>
    <row r="29" spans="1:6">
      <c r="A29" s="1277" t="s">
        <v>957</v>
      </c>
      <c r="B29" s="333">
        <v>223</v>
      </c>
    </row>
    <row r="30" spans="1:6">
      <c r="A30" s="1273" t="s">
        <v>958</v>
      </c>
      <c r="B30" s="1273">
        <v>38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7</v>
      </c>
      <c r="D36" s="333">
        <v>1345762.9362864001</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6386.1255231957002</v>
      </c>
    </row>
    <row r="39" spans="1:6">
      <c r="A39" s="1277" t="s">
        <v>30</v>
      </c>
      <c r="B39" s="1277" t="s">
        <v>31</v>
      </c>
      <c r="C39" s="333">
        <v>12760</v>
      </c>
      <c r="D39" s="333">
        <v>140001123.22308901</v>
      </c>
      <c r="E39" s="333">
        <v>24298</v>
      </c>
      <c r="F39" s="333">
        <v>61304445.251727499</v>
      </c>
    </row>
    <row r="40" spans="1:6">
      <c r="A40" s="1277" t="s">
        <v>30</v>
      </c>
      <c r="B40" s="1277" t="s">
        <v>29</v>
      </c>
      <c r="C40" s="333">
        <v>0</v>
      </c>
      <c r="D40" s="333">
        <v>0</v>
      </c>
      <c r="E40" s="333">
        <v>0</v>
      </c>
      <c r="F40" s="333">
        <v>0</v>
      </c>
    </row>
    <row r="41" spans="1:6">
      <c r="A41" s="1277" t="s">
        <v>32</v>
      </c>
      <c r="B41" s="1277" t="s">
        <v>33</v>
      </c>
      <c r="C41" s="333">
        <v>120</v>
      </c>
      <c r="D41" s="333">
        <v>2613911.59958304</v>
      </c>
      <c r="E41" s="333">
        <v>288</v>
      </c>
      <c r="F41" s="333">
        <v>1601956.40579912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13135.777325118501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5</v>
      </c>
      <c r="D47" s="333">
        <v>108135.183337259</v>
      </c>
      <c r="E47" s="333">
        <v>6</v>
      </c>
      <c r="F47" s="333">
        <v>26294.0849065332</v>
      </c>
    </row>
    <row r="48" spans="1:6">
      <c r="A48" s="1277" t="s">
        <v>32</v>
      </c>
      <c r="B48" s="1277" t="s">
        <v>29</v>
      </c>
      <c r="C48" s="333">
        <v>20</v>
      </c>
      <c r="D48" s="333">
        <v>480588.51454550697</v>
      </c>
      <c r="E48" s="333">
        <v>42</v>
      </c>
      <c r="F48" s="333">
        <v>214127.70073064999</v>
      </c>
    </row>
    <row r="49" spans="1:6">
      <c r="A49" s="1277" t="s">
        <v>32</v>
      </c>
      <c r="B49" s="1277" t="s">
        <v>40</v>
      </c>
      <c r="C49" s="333">
        <v>0</v>
      </c>
      <c r="D49" s="333">
        <v>0</v>
      </c>
      <c r="E49" s="333">
        <v>3</v>
      </c>
      <c r="F49" s="333">
        <v>7302.7796954080004</v>
      </c>
    </row>
    <row r="50" spans="1:6">
      <c r="A50" s="1277" t="s">
        <v>32</v>
      </c>
      <c r="B50" s="1277" t="s">
        <v>41</v>
      </c>
      <c r="C50" s="333">
        <v>21</v>
      </c>
      <c r="D50" s="333">
        <v>1143009.7338040101</v>
      </c>
      <c r="E50" s="333">
        <v>28</v>
      </c>
      <c r="F50" s="333">
        <v>934522.94098761701</v>
      </c>
    </row>
    <row r="51" spans="1:6">
      <c r="A51" s="1277" t="s">
        <v>42</v>
      </c>
      <c r="B51" s="1277" t="s">
        <v>43</v>
      </c>
      <c r="C51" s="333">
        <v>7</v>
      </c>
      <c r="D51" s="333">
        <v>41657.916965998702</v>
      </c>
      <c r="E51" s="333">
        <v>62</v>
      </c>
      <c r="F51" s="333">
        <v>952752.55184911506</v>
      </c>
    </row>
    <row r="52" spans="1:6">
      <c r="A52" s="1277" t="s">
        <v>42</v>
      </c>
      <c r="B52" s="1277" t="s">
        <v>29</v>
      </c>
      <c r="C52" s="333">
        <v>7</v>
      </c>
      <c r="D52" s="333">
        <v>164955.10480121401</v>
      </c>
      <c r="E52" s="333">
        <v>9</v>
      </c>
      <c r="F52" s="333">
        <v>146069.80810959401</v>
      </c>
    </row>
    <row r="53" spans="1:6">
      <c r="A53" s="1277" t="s">
        <v>44</v>
      </c>
      <c r="B53" s="1277" t="s">
        <v>45</v>
      </c>
      <c r="C53" s="333">
        <v>440</v>
      </c>
      <c r="D53" s="333">
        <v>7001353.3497990696</v>
      </c>
      <c r="E53" s="333">
        <v>1208</v>
      </c>
      <c r="F53" s="333">
        <v>4553269.7323101601</v>
      </c>
    </row>
    <row r="54" spans="1:6">
      <c r="A54" s="1277" t="s">
        <v>46</v>
      </c>
      <c r="B54" s="1277" t="s">
        <v>47</v>
      </c>
      <c r="C54" s="333">
        <v>0</v>
      </c>
      <c r="D54" s="333">
        <v>0</v>
      </c>
      <c r="E54" s="333">
        <v>1</v>
      </c>
      <c r="F54" s="333">
        <v>3402754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55</v>
      </c>
      <c r="D57" s="333">
        <v>1719650.7880380501</v>
      </c>
      <c r="E57" s="333">
        <v>136</v>
      </c>
      <c r="F57" s="333">
        <v>6654095.6375227403</v>
      </c>
    </row>
    <row r="58" spans="1:6">
      <c r="A58" s="1277" t="s">
        <v>49</v>
      </c>
      <c r="B58" s="1277" t="s">
        <v>51</v>
      </c>
      <c r="C58" s="333">
        <v>52</v>
      </c>
      <c r="D58" s="333">
        <v>1400394.8593810501</v>
      </c>
      <c r="E58" s="333">
        <v>96</v>
      </c>
      <c r="F58" s="333">
        <v>801082.222795079</v>
      </c>
    </row>
    <row r="59" spans="1:6">
      <c r="A59" s="1277" t="s">
        <v>49</v>
      </c>
      <c r="B59" s="1277" t="s">
        <v>52</v>
      </c>
      <c r="C59" s="333">
        <v>253</v>
      </c>
      <c r="D59" s="333">
        <v>5807918.6808881303</v>
      </c>
      <c r="E59" s="333">
        <v>529</v>
      </c>
      <c r="F59" s="333">
        <v>11423572.4531221</v>
      </c>
    </row>
    <row r="60" spans="1:6">
      <c r="A60" s="1277" t="s">
        <v>49</v>
      </c>
      <c r="B60" s="1277" t="s">
        <v>53</v>
      </c>
      <c r="C60" s="333">
        <v>596</v>
      </c>
      <c r="D60" s="333">
        <v>23971761.544875499</v>
      </c>
      <c r="E60" s="333">
        <v>582</v>
      </c>
      <c r="F60" s="333">
        <v>13257281.086839501</v>
      </c>
    </row>
    <row r="61" spans="1:6">
      <c r="A61" s="1277" t="s">
        <v>49</v>
      </c>
      <c r="B61" s="1277" t="s">
        <v>54</v>
      </c>
      <c r="C61" s="333">
        <v>767</v>
      </c>
      <c r="D61" s="333">
        <v>26341654.8774818</v>
      </c>
      <c r="E61" s="333">
        <v>2953</v>
      </c>
      <c r="F61" s="333">
        <v>15259258.1552245</v>
      </c>
    </row>
    <row r="62" spans="1:6">
      <c r="A62" s="1277" t="s">
        <v>49</v>
      </c>
      <c r="B62" s="1277" t="s">
        <v>55</v>
      </c>
      <c r="C62" s="333">
        <v>10</v>
      </c>
      <c r="D62" s="333">
        <v>2314116.7343535698</v>
      </c>
      <c r="E62" s="333">
        <v>20</v>
      </c>
      <c r="F62" s="333">
        <v>1289140.6709487</v>
      </c>
    </row>
    <row r="63" spans="1:6">
      <c r="A63" s="1277" t="s">
        <v>49</v>
      </c>
      <c r="B63" s="1277" t="s">
        <v>29</v>
      </c>
      <c r="C63" s="333">
        <v>106</v>
      </c>
      <c r="D63" s="333">
        <v>7775720.7792297099</v>
      </c>
      <c r="E63" s="333">
        <v>96</v>
      </c>
      <c r="F63" s="333">
        <v>4301112.8753973097</v>
      </c>
    </row>
    <row r="64" spans="1:6">
      <c r="A64" s="1277" t="s">
        <v>56</v>
      </c>
      <c r="B64" s="1277" t="s">
        <v>57</v>
      </c>
      <c r="C64" s="333">
        <v>0</v>
      </c>
      <c r="D64" s="333">
        <v>0</v>
      </c>
      <c r="E64" s="333">
        <v>0</v>
      </c>
      <c r="F64" s="333">
        <v>0</v>
      </c>
    </row>
    <row r="65" spans="1:6">
      <c r="A65" s="1277" t="s">
        <v>56</v>
      </c>
      <c r="B65" s="1277" t="s">
        <v>29</v>
      </c>
      <c r="C65" s="333">
        <v>2</v>
      </c>
      <c r="D65" s="333">
        <v>88348.977428284299</v>
      </c>
      <c r="E65" s="333">
        <v>3</v>
      </c>
      <c r="F65" s="333">
        <v>46510.572026515001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87823.5284512949</v>
      </c>
      <c r="E68" s="333">
        <v>23</v>
      </c>
      <c r="F68" s="333">
        <v>671662.80498317804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79862698</v>
      </c>
      <c r="E73" s="333">
        <v>91517359.836604685</v>
      </c>
      <c r="F73" s="333">
        <v>79709147</v>
      </c>
    </row>
    <row r="74" spans="1:6">
      <c r="A74" s="1277" t="s">
        <v>64</v>
      </c>
      <c r="B74" s="1277" t="s">
        <v>774</v>
      </c>
      <c r="C74" s="1288" t="s">
        <v>775</v>
      </c>
      <c r="D74" s="333">
        <v>9096674.4745650142</v>
      </c>
      <c r="E74" s="333">
        <v>10488950.538261123</v>
      </c>
      <c r="F74" s="333">
        <v>9077229.5420864876</v>
      </c>
    </row>
    <row r="75" spans="1:6">
      <c r="A75" s="1277" t="s">
        <v>65</v>
      </c>
      <c r="B75" s="1277" t="s">
        <v>772</v>
      </c>
      <c r="C75" s="1288" t="s">
        <v>776</v>
      </c>
      <c r="D75" s="333">
        <v>6152830</v>
      </c>
      <c r="E75" s="333">
        <v>6737600.970772231</v>
      </c>
      <c r="F75" s="333">
        <v>6112140</v>
      </c>
    </row>
    <row r="76" spans="1:6">
      <c r="A76" s="1277" t="s">
        <v>65</v>
      </c>
      <c r="B76" s="1277" t="s">
        <v>774</v>
      </c>
      <c r="C76" s="1288" t="s">
        <v>777</v>
      </c>
      <c r="D76" s="333">
        <v>77011.474565013807</v>
      </c>
      <c r="E76" s="333">
        <v>124725.40553353674</v>
      </c>
      <c r="F76" s="333">
        <v>96061.542086487752</v>
      </c>
    </row>
    <row r="77" spans="1:6">
      <c r="A77" s="1277" t="s">
        <v>66</v>
      </c>
      <c r="B77" s="1277" t="s">
        <v>772</v>
      </c>
      <c r="C77" s="1288" t="s">
        <v>778</v>
      </c>
      <c r="D77" s="333">
        <v>12829168</v>
      </c>
      <c r="E77" s="333">
        <v>13985286.513891501</v>
      </c>
      <c r="F77" s="333">
        <v>14076856</v>
      </c>
    </row>
    <row r="78" spans="1:6">
      <c r="A78" s="1273" t="s">
        <v>66</v>
      </c>
      <c r="B78" s="1273" t="s">
        <v>774</v>
      </c>
      <c r="C78" s="1273" t="s">
        <v>779</v>
      </c>
      <c r="D78" s="1273">
        <v>4094208</v>
      </c>
      <c r="E78" s="1273">
        <v>5373030.847144709</v>
      </c>
      <c r="F78" s="336">
        <v>4890060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390407.05086997239</v>
      </c>
      <c r="C83" s="333">
        <v>351738.10482869518</v>
      </c>
      <c r="D83" s="333">
        <v>348760.9158270245</v>
      </c>
    </row>
    <row r="84" spans="1:6">
      <c r="A84" s="1273" t="s">
        <v>337</v>
      </c>
      <c r="B84" s="336">
        <v>376525.42213339859</v>
      </c>
      <c r="C84" s="336">
        <v>385129.99932499946</v>
      </c>
      <c r="D84" s="336">
        <v>381614.08445447381</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1304.6419552583195</v>
      </c>
    </row>
    <row r="92" spans="1:6">
      <c r="A92" s="1273" t="s">
        <v>69</v>
      </c>
      <c r="B92" s="336">
        <v>205.58033822305532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5266</v>
      </c>
    </row>
    <row r="98" spans="1:6">
      <c r="A98" s="1277" t="s">
        <v>72</v>
      </c>
      <c r="B98" s="333">
        <v>0</v>
      </c>
    </row>
    <row r="99" spans="1:6">
      <c r="A99" s="1277" t="s">
        <v>73</v>
      </c>
      <c r="B99" s="333">
        <v>87</v>
      </c>
    </row>
    <row r="100" spans="1:6">
      <c r="A100" s="1277" t="s">
        <v>74</v>
      </c>
      <c r="B100" s="333">
        <v>1499</v>
      </c>
    </row>
    <row r="101" spans="1:6">
      <c r="A101" s="1277" t="s">
        <v>75</v>
      </c>
      <c r="B101" s="333">
        <v>72</v>
      </c>
    </row>
    <row r="102" spans="1:6">
      <c r="A102" s="1277" t="s">
        <v>76</v>
      </c>
      <c r="B102" s="333">
        <v>190</v>
      </c>
    </row>
    <row r="103" spans="1:6">
      <c r="A103" s="1277" t="s">
        <v>77</v>
      </c>
      <c r="B103" s="333">
        <v>69</v>
      </c>
    </row>
    <row r="104" spans="1:6">
      <c r="A104" s="1277" t="s">
        <v>78</v>
      </c>
      <c r="B104" s="333">
        <v>1638</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7</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3</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128774.85738242113</v>
      </c>
      <c r="C3" s="43" t="s">
        <v>170</v>
      </c>
      <c r="D3" s="43"/>
      <c r="E3" s="156"/>
      <c r="F3" s="43"/>
      <c r="G3" s="43"/>
      <c r="H3" s="43"/>
      <c r="I3" s="43"/>
      <c r="J3" s="43"/>
      <c r="K3" s="96"/>
    </row>
    <row r="4" spans="1:11">
      <c r="A4" s="364" t="s">
        <v>171</v>
      </c>
      <c r="B4" s="49">
        <f>IF(ISERROR('SEAP template'!B78),0,'SEAP template'!B78)</f>
        <v>1510.2222934813749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0.21840819649391477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3402.7539999999999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3402.7539999999999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0.21840819649391477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743.18936425245442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61304.445251727499</v>
      </c>
      <c r="C5" s="17">
        <f>IF(ISERROR('Eigen informatie GS &amp; warmtenet'!B57),0,'Eigen informatie GS &amp; warmtenet'!B57)</f>
        <v>0</v>
      </c>
      <c r="D5" s="30">
        <f>(SUM(HH_hh_gas_kWh,HH_rest_gas_kWh)/1000)*0.902</f>
        <v>126281.01314722629</v>
      </c>
      <c r="E5" s="17">
        <f>B46*B57</f>
        <v>0</v>
      </c>
      <c r="F5" s="17">
        <f>B51*B62</f>
        <v>0</v>
      </c>
      <c r="G5" s="18"/>
      <c r="H5" s="17"/>
      <c r="I5" s="17"/>
      <c r="J5" s="17">
        <f>B50*B61+C50*C61</f>
        <v>0</v>
      </c>
      <c r="K5" s="17"/>
      <c r="L5" s="17"/>
      <c r="M5" s="17"/>
      <c r="N5" s="17">
        <f>B48*B59+C48*C59</f>
        <v>0</v>
      </c>
      <c r="O5" s="17">
        <f>B69*B70*B71</f>
        <v>81.293333333333337</v>
      </c>
      <c r="P5" s="17">
        <f>B77*B78*B79/1000-B77*B78*B79/1000/B80</f>
        <v>171.6</v>
      </c>
    </row>
    <row r="6" spans="1:16">
      <c r="A6" s="16" t="s">
        <v>632</v>
      </c>
      <c r="B6" s="779">
        <f>kWh_PV_kleiner_dan_10kW</f>
        <v>1304.6419552583195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62609.087206985816</v>
      </c>
      <c r="C8" s="21">
        <f>C5</f>
        <v>0</v>
      </c>
      <c r="D8" s="21">
        <f>D5</f>
        <v>126281.01314722629</v>
      </c>
      <c r="E8" s="21">
        <f>E5</f>
        <v>0</v>
      </c>
      <c r="F8" s="21">
        <f>F5</f>
        <v>0</v>
      </c>
      <c r="G8" s="21"/>
      <c r="H8" s="21"/>
      <c r="I8" s="21"/>
      <c r="J8" s="21">
        <f>J5</f>
        <v>0</v>
      </c>
      <c r="K8" s="21"/>
      <c r="L8" s="21">
        <f>L5</f>
        <v>0</v>
      </c>
      <c r="M8" s="21">
        <f>M5</f>
        <v>0</v>
      </c>
      <c r="N8" s="21">
        <f>N5</f>
        <v>0</v>
      </c>
      <c r="O8" s="21">
        <f>O5</f>
        <v>81.293333333333337</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0.21840819649391477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13674.337821008003</v>
      </c>
      <c r="C12" s="23">
        <f ca="1">C10*C8</f>
        <v>0</v>
      </c>
      <c r="D12" s="23">
        <f>D8*D10</f>
        <v>25508.764655739713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5266</v>
      </c>
      <c r="C18" s="167" t="s">
        <v>111</v>
      </c>
      <c r="D18" s="229"/>
      <c r="E18" s="15"/>
    </row>
    <row r="19" spans="1:7">
      <c r="A19" s="172" t="s">
        <v>72</v>
      </c>
      <c r="B19" s="37">
        <f>aantalw2001_ander</f>
        <v>0</v>
      </c>
      <c r="C19" s="167" t="s">
        <v>111</v>
      </c>
      <c r="D19" s="230"/>
      <c r="E19" s="15"/>
    </row>
    <row r="20" spans="1:7">
      <c r="A20" s="172" t="s">
        <v>73</v>
      </c>
      <c r="B20" s="37">
        <f>aantalw2001_propaan</f>
        <v>87</v>
      </c>
      <c r="C20" s="168">
        <f>IF(ISERROR(B20/SUM($B$20,$B$21,$B$22)*100),0,B20/SUM($B$20,$B$21,$B$22)*100)</f>
        <v>5.2472858866103742</v>
      </c>
      <c r="D20" s="230"/>
      <c r="E20" s="15"/>
    </row>
    <row r="21" spans="1:7">
      <c r="A21" s="172" t="s">
        <v>74</v>
      </c>
      <c r="B21" s="37">
        <f>aantalw2001_elektriciteit</f>
        <v>1499</v>
      </c>
      <c r="C21" s="168">
        <f>IF(ISERROR(B21/SUM($B$20,$B$21,$B$22)*100),0,B21/SUM($B$20,$B$21,$B$22)*100)</f>
        <v>90.410132689987933</v>
      </c>
      <c r="D21" s="230"/>
      <c r="E21" s="15"/>
    </row>
    <row r="22" spans="1:7">
      <c r="A22" s="172" t="s">
        <v>75</v>
      </c>
      <c r="B22" s="37">
        <f>aantalw2001_hout</f>
        <v>72</v>
      </c>
      <c r="C22" s="168">
        <f>IF(ISERROR(B22/SUM($B$20,$B$21,$B$22)*100),0,B22/SUM($B$20,$B$21,$B$22)*100)</f>
        <v>4.3425814234016888</v>
      </c>
      <c r="D22" s="230"/>
      <c r="E22" s="15"/>
    </row>
    <row r="23" spans="1:7">
      <c r="A23" s="172" t="s">
        <v>76</v>
      </c>
      <c r="B23" s="37">
        <f>aantalw2001_niet_gespec</f>
        <v>190</v>
      </c>
      <c r="C23" s="167" t="s">
        <v>111</v>
      </c>
      <c r="D23" s="229"/>
      <c r="E23" s="15"/>
    </row>
    <row r="24" spans="1:7">
      <c r="A24" s="172" t="s">
        <v>77</v>
      </c>
      <c r="B24" s="37">
        <f>aantalw2001_steenkool</f>
        <v>69</v>
      </c>
      <c r="C24" s="167" t="s">
        <v>111</v>
      </c>
      <c r="D24" s="230"/>
      <c r="E24" s="15"/>
    </row>
    <row r="25" spans="1:7">
      <c r="A25" s="172" t="s">
        <v>78</v>
      </c>
      <c r="B25" s="37">
        <f>aantalw2001_stookolie</f>
        <v>1638</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10811</v>
      </c>
      <c r="C28" s="36"/>
      <c r="D28" s="229"/>
    </row>
    <row r="29" spans="1:7" s="15" customFormat="1">
      <c r="A29" s="231" t="s">
        <v>713</v>
      </c>
      <c r="B29" s="37">
        <f>SUM(HH_hh_gas_aantal,HH_rest_gas_aantal)</f>
        <v>12760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12760</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12760</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52985.543101849929</v>
      </c>
      <c r="C5" s="17">
        <f>IF(ISERROR('Eigen informatie GS &amp; warmtenet'!B58),0,'Eigen informatie GS &amp; warmtenet'!B58)</f>
        <v>0</v>
      </c>
      <c r="D5" s="30">
        <f>SUM(D6:D12)</f>
        <v>62536.758874351515</v>
      </c>
      <c r="E5" s="17">
        <f>SUM(E6:E12)</f>
        <v>1474.7926191455049</v>
      </c>
      <c r="F5" s="17">
        <f>SUM(F6:F12)</f>
        <v>10127.426979164884</v>
      </c>
      <c r="G5" s="18"/>
      <c r="H5" s="17"/>
      <c r="I5" s="17"/>
      <c r="J5" s="17">
        <f>SUM(J6:J12)</f>
        <v>0</v>
      </c>
      <c r="K5" s="17"/>
      <c r="L5" s="17"/>
      <c r="M5" s="17"/>
      <c r="N5" s="17">
        <f>SUM(N6:N12)</f>
        <v>1789.6315122593958</v>
      </c>
      <c r="O5" s="17">
        <f>B38*B39*B40</f>
        <v>4.6900000000000004</v>
      </c>
      <c r="P5" s="17">
        <f>B46*B47*B48/1000-B46*B47*B48/1000/B49</f>
        <v>38.133333333333333</v>
      </c>
      <c r="R5" s="32"/>
    </row>
    <row r="6" spans="1:18">
      <c r="A6" s="32" t="s">
        <v>54</v>
      </c>
      <c r="B6" s="37">
        <f>B26</f>
        <v>15259.258155224501</v>
      </c>
      <c r="C6" s="33"/>
      <c r="D6" s="37">
        <f>IF(ISERROR(TER_kantoor_gas_kWh/1000),0,TER_kantoor_gas_kWh/1000)*0.902</f>
        <v>23760.172699488583</v>
      </c>
      <c r="E6" s="33">
        <f>$C$26*'E Balans VL '!I12/100/3.6*1000000</f>
        <v>534.13406148828199</v>
      </c>
      <c r="F6" s="33">
        <f>$C$26*('E Balans VL '!L12+'E Balans VL '!N12)/100/3.6*1000000</f>
        <v>2313.6311493943131</v>
      </c>
      <c r="G6" s="34"/>
      <c r="H6" s="33"/>
      <c r="I6" s="33"/>
      <c r="J6" s="33">
        <f>$C$26*('E Balans VL '!D12+'E Balans VL '!E12)/100/3.6*1000000</f>
        <v>0</v>
      </c>
      <c r="K6" s="33"/>
      <c r="L6" s="33"/>
      <c r="M6" s="33"/>
      <c r="N6" s="33">
        <f>$C$26*'E Balans VL '!Y12/100/3.6*1000000</f>
        <v>117.94928952352466</v>
      </c>
      <c r="O6" s="33"/>
      <c r="P6" s="33"/>
      <c r="R6" s="32"/>
    </row>
    <row r="7" spans="1:18">
      <c r="A7" s="32" t="s">
        <v>53</v>
      </c>
      <c r="B7" s="37">
        <f t="shared" ref="B7:B12" si="0">B27</f>
        <v>13257.281086839501</v>
      </c>
      <c r="C7" s="33"/>
      <c r="D7" s="37">
        <f>IF(ISERROR(TER_horeca_gas_kWh/1000),0,TER_horeca_gas_kWh/1000)*0.902</f>
        <v>21622.528913477701</v>
      </c>
      <c r="E7" s="33">
        <f>$C$27*'E Balans VL '!I9/100/3.6*1000000</f>
        <v>747.88693220501455</v>
      </c>
      <c r="F7" s="33">
        <f>$C$27*('E Balans VL '!L9+'E Balans VL '!N9)/100/3.6*1000000</f>
        <v>2309.4917320629602</v>
      </c>
      <c r="G7" s="34"/>
      <c r="H7" s="33"/>
      <c r="I7" s="33"/>
      <c r="J7" s="33">
        <f>$C$27*('E Balans VL '!D9+'E Balans VL '!E9)/100/3.6*1000000</f>
        <v>0</v>
      </c>
      <c r="K7" s="33"/>
      <c r="L7" s="33"/>
      <c r="M7" s="33"/>
      <c r="N7" s="33">
        <f>$C$27*'E Balans VL '!Y9/100/3.6*1000000</f>
        <v>0</v>
      </c>
      <c r="O7" s="33"/>
      <c r="P7" s="33"/>
      <c r="R7" s="32"/>
    </row>
    <row r="8" spans="1:18">
      <c r="A8" s="6" t="s">
        <v>52</v>
      </c>
      <c r="B8" s="37">
        <f t="shared" si="0"/>
        <v>11423.5724531221</v>
      </c>
      <c r="C8" s="33"/>
      <c r="D8" s="37">
        <f>IF(ISERROR(TER_handel_gas_kWh/1000),0,TER_handel_gas_kWh/1000)*0.902</f>
        <v>5238.7426501610935</v>
      </c>
      <c r="E8" s="33">
        <f>$C$28*'E Balans VL '!I13/100/3.6*1000000</f>
        <v>58.647460356200497</v>
      </c>
      <c r="F8" s="33">
        <f>$C$28*('E Balans VL '!L13+'E Balans VL '!N13)/100/3.6*1000000</f>
        <v>1761.3383599572471</v>
      </c>
      <c r="G8" s="34"/>
      <c r="H8" s="33"/>
      <c r="I8" s="33"/>
      <c r="J8" s="33">
        <f>$C$28*('E Balans VL '!D13+'E Balans VL '!E13)/100/3.6*1000000</f>
        <v>0</v>
      </c>
      <c r="K8" s="33"/>
      <c r="L8" s="33"/>
      <c r="M8" s="33"/>
      <c r="N8" s="33">
        <f>$C$28*'E Balans VL '!Y13/100/3.6*1000000</f>
        <v>5.34294427979661</v>
      </c>
      <c r="O8" s="33"/>
      <c r="P8" s="33"/>
      <c r="R8" s="32"/>
    </row>
    <row r="9" spans="1:18">
      <c r="A9" s="32" t="s">
        <v>51</v>
      </c>
      <c r="B9" s="37">
        <f t="shared" si="0"/>
        <v>801.08222279507902</v>
      </c>
      <c r="C9" s="33"/>
      <c r="D9" s="37">
        <f>IF(ISERROR(TER_gezond_gas_kWh/1000),0,TER_gezond_gas_kWh/1000)*0.902</f>
        <v>1263.1561631617071</v>
      </c>
      <c r="E9" s="33">
        <f>$C$29*'E Balans VL '!I10/100/3.6*1000000</f>
        <v>0.33204287624543916</v>
      </c>
      <c r="F9" s="33">
        <f>$C$29*('E Balans VL '!L10+'E Balans VL '!N10)/100/3.6*1000000</f>
        <v>197.29506242279945</v>
      </c>
      <c r="G9" s="34"/>
      <c r="H9" s="33"/>
      <c r="I9" s="33"/>
      <c r="J9" s="33">
        <f>$C$29*('E Balans VL '!D10+'E Balans VL '!E10)/100/3.6*1000000</f>
        <v>0</v>
      </c>
      <c r="K9" s="33"/>
      <c r="L9" s="33"/>
      <c r="M9" s="33"/>
      <c r="N9" s="33">
        <f>$C$29*'E Balans VL '!Y10/100/3.6*1000000</f>
        <v>6.9233331836805814</v>
      </c>
      <c r="O9" s="33"/>
      <c r="P9" s="33"/>
      <c r="R9" s="32"/>
    </row>
    <row r="10" spans="1:18">
      <c r="A10" s="32" t="s">
        <v>50</v>
      </c>
      <c r="B10" s="37">
        <f t="shared" si="0"/>
        <v>6654.0956375227406</v>
      </c>
      <c r="C10" s="33"/>
      <c r="D10" s="37">
        <f>IF(ISERROR(TER_ander_gas_kWh/1000),0,TER_ander_gas_kWh/1000)*0.902</f>
        <v>1551.1250108103211</v>
      </c>
      <c r="E10" s="33">
        <f>$C$30*'E Balans VL '!I14/100/3.6*1000000</f>
        <v>40.563531180827106</v>
      </c>
      <c r="F10" s="33">
        <f>$C$30*('E Balans VL '!L14+'E Balans VL '!N14)/100/3.6*1000000</f>
        <v>1764.0919042778314</v>
      </c>
      <c r="G10" s="34"/>
      <c r="H10" s="33"/>
      <c r="I10" s="33"/>
      <c r="J10" s="33">
        <f>$C$30*('E Balans VL '!D14+'E Balans VL '!E14)/100/3.6*1000000</f>
        <v>0</v>
      </c>
      <c r="K10" s="33"/>
      <c r="L10" s="33"/>
      <c r="M10" s="33"/>
      <c r="N10" s="33">
        <f>$C$30*'E Balans VL '!Y14/100/3.6*1000000</f>
        <v>1533.6252600254047</v>
      </c>
      <c r="O10" s="33"/>
      <c r="P10" s="33"/>
      <c r="R10" s="32"/>
    </row>
    <row r="11" spans="1:18">
      <c r="A11" s="32" t="s">
        <v>55</v>
      </c>
      <c r="B11" s="37">
        <f t="shared" si="0"/>
        <v>1289.1406709487001</v>
      </c>
      <c r="C11" s="33"/>
      <c r="D11" s="37">
        <f>IF(ISERROR(TER_onderwijs_gas_kWh/1000),0,TER_onderwijs_gas_kWh/1000)*0.902</f>
        <v>2087.33329438692</v>
      </c>
      <c r="E11" s="33">
        <f>$C$31*'E Balans VL '!I11/100/3.6*1000000</f>
        <v>0.98239231752679002</v>
      </c>
      <c r="F11" s="33">
        <f>$C$31*('E Balans VL '!L11+'E Balans VL '!N11)/100/3.6*1000000</f>
        <v>932.89283734675064</v>
      </c>
      <c r="G11" s="34"/>
      <c r="H11" s="33"/>
      <c r="I11" s="33"/>
      <c r="J11" s="33">
        <f>$C$31*('E Balans VL '!D11+'E Balans VL '!E11)/100/3.6*1000000</f>
        <v>0</v>
      </c>
      <c r="K11" s="33"/>
      <c r="L11" s="33"/>
      <c r="M11" s="33"/>
      <c r="N11" s="33">
        <f>$C$31*'E Balans VL '!Y11/100/3.6*1000000</f>
        <v>3.7994056562920058</v>
      </c>
      <c r="O11" s="33"/>
      <c r="P11" s="33"/>
      <c r="R11" s="32"/>
    </row>
    <row r="12" spans="1:18">
      <c r="A12" s="32" t="s">
        <v>260</v>
      </c>
      <c r="B12" s="37">
        <f t="shared" si="0"/>
        <v>4301.1128753973098</v>
      </c>
      <c r="C12" s="33"/>
      <c r="D12" s="37">
        <f>IF(ISERROR(TER_rest_gas_kWh/1000),0,TER_rest_gas_kWh/1000)*0.902</f>
        <v>7013.7001428651984</v>
      </c>
      <c r="E12" s="33">
        <f>$C$32*'E Balans VL '!I8/100/3.6*1000000</f>
        <v>92.246198721408419</v>
      </c>
      <c r="F12" s="33">
        <f>$C$32*('E Balans VL '!L8+'E Balans VL '!N8)/100/3.6*1000000</f>
        <v>848.68593370298117</v>
      </c>
      <c r="G12" s="34"/>
      <c r="H12" s="33"/>
      <c r="I12" s="33"/>
      <c r="J12" s="33">
        <f>$C$32*('E Balans VL '!D8+'E Balans VL '!E8)/100/3.6*1000000</f>
        <v>0</v>
      </c>
      <c r="K12" s="33"/>
      <c r="L12" s="33"/>
      <c r="M12" s="33"/>
      <c r="N12" s="33">
        <f>$C$32*'E Balans VL '!Y8/100/3.6*1000000</f>
        <v>121.99127959069715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52985.543101849929</v>
      </c>
      <c r="C16" s="21">
        <f ca="1">C5+C13+C14</f>
        <v>0</v>
      </c>
      <c r="D16" s="21">
        <f t="shared" ref="D16:N16" ca="1" si="1">MAX((D5+D13+D14),0)</f>
        <v>62536.758874351515</v>
      </c>
      <c r="E16" s="21">
        <f t="shared" si="1"/>
        <v>1474.7926191455049</v>
      </c>
      <c r="F16" s="21">
        <f t="shared" ca="1" si="1"/>
        <v>10127.426979164884</v>
      </c>
      <c r="G16" s="21">
        <f t="shared" si="1"/>
        <v>0</v>
      </c>
      <c r="H16" s="21">
        <f t="shared" si="1"/>
        <v>0</v>
      </c>
      <c r="I16" s="21">
        <f t="shared" si="1"/>
        <v>0</v>
      </c>
      <c r="J16" s="21">
        <f t="shared" si="1"/>
        <v>0</v>
      </c>
      <c r="K16" s="21">
        <f t="shared" si="1"/>
        <v>0</v>
      </c>
      <c r="L16" s="21">
        <f t="shared" ca="1" si="1"/>
        <v>0</v>
      </c>
      <c r="M16" s="21">
        <f t="shared" si="1"/>
        <v>0</v>
      </c>
      <c r="N16" s="21">
        <f t="shared" ca="1" si="1"/>
        <v>1789.6315122593958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0.21840819649391477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11572.476909125629</v>
      </c>
      <c r="C20" s="23">
        <f t="shared" ref="C20:P20" ca="1" si="2">C16*C18</f>
        <v>0</v>
      </c>
      <c r="D20" s="23">
        <f t="shared" ca="1" si="2"/>
        <v>12632.425292619007</v>
      </c>
      <c r="E20" s="23">
        <f t="shared" si="2"/>
        <v>334.77792454602962</v>
      </c>
      <c r="F20" s="23">
        <f t="shared" ca="1" si="2"/>
        <v>2704.0230034370243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15259.258155224501</v>
      </c>
      <c r="C26" s="39">
        <f>IF(ISERROR(B26*3.6/1000000/'E Balans VL '!Z12*100),0,B26*3.6/1000000/'E Balans VL '!Z12*100)</f>
        <v>0.32110578230186088</v>
      </c>
      <c r="D26" s="238" t="s">
        <v>719</v>
      </c>
      <c r="F26" s="6"/>
    </row>
    <row r="27" spans="1:18">
      <c r="A27" s="232" t="s">
        <v>53</v>
      </c>
      <c r="B27" s="33">
        <f>IF(ISERROR(TER_horeca_ele_kWh/1000),0,TER_horeca_ele_kWh/1000)</f>
        <v>13257.281086839501</v>
      </c>
      <c r="C27" s="39">
        <f>IF(ISERROR(B27*3.6/1000000/'E Balans VL '!Z9*100),0,B27*3.6/1000000/'E Balans VL '!Z9*100)</f>
        <v>1.1224567370078291</v>
      </c>
      <c r="D27" s="238" t="s">
        <v>719</v>
      </c>
      <c r="F27" s="6"/>
    </row>
    <row r="28" spans="1:18">
      <c r="A28" s="172" t="s">
        <v>52</v>
      </c>
      <c r="B28" s="33">
        <f>IF(ISERROR(TER_handel_ele_kWh/1000),0,TER_handel_ele_kWh/1000)</f>
        <v>11423.5724531221</v>
      </c>
      <c r="C28" s="39">
        <f>IF(ISERROR(B28*3.6/1000000/'E Balans VL '!Z13*100),0,B28*3.6/1000000/'E Balans VL '!Z13*100)</f>
        <v>0.31626002372398793</v>
      </c>
      <c r="D28" s="238" t="s">
        <v>719</v>
      </c>
      <c r="F28" s="6"/>
    </row>
    <row r="29" spans="1:18">
      <c r="A29" s="232" t="s">
        <v>51</v>
      </c>
      <c r="B29" s="33">
        <f>IF(ISERROR(TER_gezond_ele_kWh/1000),0,TER_gezond_ele_kWh/1000)</f>
        <v>801.08222279507902</v>
      </c>
      <c r="C29" s="39">
        <f>IF(ISERROR(B29*3.6/1000000/'E Balans VL '!Z10*100),0,B29*3.6/1000000/'E Balans VL '!Z10*100)</f>
        <v>0.10413180793148356</v>
      </c>
      <c r="D29" s="238" t="s">
        <v>719</v>
      </c>
      <c r="F29" s="6"/>
    </row>
    <row r="30" spans="1:18">
      <c r="A30" s="232" t="s">
        <v>50</v>
      </c>
      <c r="B30" s="33">
        <f>IF(ISERROR(TER_ander_ele_kWh/1000),0,TER_ander_ele_kWh/1000)</f>
        <v>6654.0956375227406</v>
      </c>
      <c r="C30" s="39">
        <f>IF(ISERROR(B30*3.6/1000000/'E Balans VL '!Z14*100),0,B30*3.6/1000000/'E Balans VL '!Z14*100)</f>
        <v>0.51575343462659606</v>
      </c>
      <c r="D30" s="238" t="s">
        <v>719</v>
      </c>
      <c r="F30" s="6"/>
    </row>
    <row r="31" spans="1:18">
      <c r="A31" s="232" t="s">
        <v>55</v>
      </c>
      <c r="B31" s="33">
        <f>IF(ISERROR(TER_onderwijs_ele_kWh/1000),0,TER_onderwijs_ele_kWh/1000)</f>
        <v>1289.1406709487001</v>
      </c>
      <c r="C31" s="39">
        <f>IF(ISERROR(B31*3.6/1000000/'E Balans VL '!Z11*100),0,B31*3.6/1000000/'E Balans VL '!Z11*100)</f>
        <v>0.24663457684466122</v>
      </c>
      <c r="D31" s="238" t="s">
        <v>719</v>
      </c>
    </row>
    <row r="32" spans="1:18">
      <c r="A32" s="232" t="s">
        <v>260</v>
      </c>
      <c r="B32" s="33">
        <f>IF(ISERROR(TER_rest_ele_kWh/1000),0,TER_rest_ele_kWh/1000)</f>
        <v>4301.1128753973098</v>
      </c>
      <c r="C32" s="39">
        <f>IF(ISERROR(B32*3.6/1000000/'E Balans VL '!Z8*100),0,B32*3.6/1000000/'E Balans VL '!Z8*100)</f>
        <v>3.546597854916711E-2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2797.3396894444463</v>
      </c>
      <c r="C5" s="17">
        <f>IF(ISERROR('Eigen informatie GS &amp; warmtenet'!B59),0,'Eigen informatie GS &amp; warmtenet'!B59)</f>
        <v>0</v>
      </c>
      <c r="D5" s="30">
        <f>SUM(D6:D15)</f>
        <v>3919.7718182053741</v>
      </c>
      <c r="E5" s="17">
        <f>SUM(E6:E15)</f>
        <v>38.283429991576142</v>
      </c>
      <c r="F5" s="17">
        <f>SUM(F6:F15)</f>
        <v>1453.073393104683</v>
      </c>
      <c r="G5" s="18"/>
      <c r="H5" s="17"/>
      <c r="I5" s="17"/>
      <c r="J5" s="17">
        <f>SUM(J6:J15)</f>
        <v>5.7062771292642669</v>
      </c>
      <c r="K5" s="17"/>
      <c r="L5" s="17"/>
      <c r="M5" s="17"/>
      <c r="N5" s="17">
        <f>SUM(N6:N15)</f>
        <v>136.35645477188271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13.1357773251185</v>
      </c>
      <c r="C8" s="33"/>
      <c r="D8" s="37">
        <f>IF( ISERROR(IND_metaal_Gas_kWH/1000),0,IND_metaal_Gas_kWH/1000)*0.902</f>
        <v>0</v>
      </c>
      <c r="E8" s="33">
        <f>C30*'E Balans VL '!I18/100/3.6*1000000</f>
        <v>9.2302208985807557E-2</v>
      </c>
      <c r="F8" s="33">
        <f>C30*'E Balans VL '!L18/100/3.6*1000000+C30*'E Balans VL '!N18/100/3.6*1000000</f>
        <v>1.4422314984362432</v>
      </c>
      <c r="G8" s="34"/>
      <c r="H8" s="33"/>
      <c r="I8" s="33"/>
      <c r="J8" s="40">
        <f>C30*'E Balans VL '!D18/100/3.6*1000000+C30*'E Balans VL '!E18/100/3.6*1000000</f>
        <v>0.27101939896356547</v>
      </c>
      <c r="K8" s="33"/>
      <c r="L8" s="33"/>
      <c r="M8" s="33"/>
      <c r="N8" s="33">
        <f>C30*'E Balans VL '!Y18/100/3.6*1000000</f>
        <v>4.9233839452212359E-2</v>
      </c>
      <c r="O8" s="33"/>
      <c r="P8" s="33"/>
      <c r="R8" s="32"/>
    </row>
    <row r="9" spans="1:18">
      <c r="A9" s="6" t="s">
        <v>33</v>
      </c>
      <c r="B9" s="37">
        <f t="shared" si="0"/>
        <v>1601.9564057991199</v>
      </c>
      <c r="C9" s="33"/>
      <c r="D9" s="37">
        <f>IF( ISERROR(IND_andere_gas_kWh/1000),0,IND_andere_gas_kWh/1000)*0.902</f>
        <v>2357.7482628239018</v>
      </c>
      <c r="E9" s="33">
        <f>C31*'E Balans VL '!I19/100/3.6*1000000</f>
        <v>26.906820294651158</v>
      </c>
      <c r="F9" s="33">
        <f>C31*'E Balans VL '!L19/100/3.6*1000000+C31*'E Balans VL '!N19/100/3.6*1000000</f>
        <v>1252.318277429594</v>
      </c>
      <c r="G9" s="34"/>
      <c r="H9" s="33"/>
      <c r="I9" s="33"/>
      <c r="J9" s="40">
        <f>C31*'E Balans VL '!D19/100/3.6*1000000+C31*'E Balans VL '!E19/100/3.6*1000000</f>
        <v>0.14448232671727163</v>
      </c>
      <c r="K9" s="33"/>
      <c r="L9" s="33"/>
      <c r="M9" s="33"/>
      <c r="N9" s="33">
        <f>C31*'E Balans VL '!Y19/100/3.6*1000000</f>
        <v>118.73067079758876</v>
      </c>
      <c r="O9" s="33"/>
      <c r="P9" s="33"/>
      <c r="R9" s="32"/>
    </row>
    <row r="10" spans="1:18">
      <c r="A10" s="6" t="s">
        <v>41</v>
      </c>
      <c r="B10" s="37">
        <f t="shared" si="0"/>
        <v>934.52294098761706</v>
      </c>
      <c r="C10" s="33"/>
      <c r="D10" s="37">
        <f>IF( ISERROR(IND_voed_gas_kWh/1000),0,IND_voed_gas_kWh/1000)*0.902</f>
        <v>1030.9947798912171</v>
      </c>
      <c r="E10" s="33">
        <f>C32*'E Balans VL '!I20/100/3.6*1000000</f>
        <v>8.5261989725815592</v>
      </c>
      <c r="F10" s="33">
        <f>C32*'E Balans VL '!L20/100/3.6*1000000+C32*'E Balans VL '!N20/100/3.6*1000000</f>
        <v>150.76778054828782</v>
      </c>
      <c r="G10" s="34"/>
      <c r="H10" s="33"/>
      <c r="I10" s="33"/>
      <c r="J10" s="40">
        <f>C32*'E Balans VL '!D20/100/3.6*1000000+C32*'E Balans VL '!E20/100/3.6*1000000</f>
        <v>3.8489781738850519</v>
      </c>
      <c r="K10" s="33"/>
      <c r="L10" s="33"/>
      <c r="M10" s="33"/>
      <c r="N10" s="33">
        <f>C32*'E Balans VL '!Y20/100/3.6*1000000</f>
        <v>13.671333734628208</v>
      </c>
      <c r="O10" s="33"/>
      <c r="P10" s="33"/>
      <c r="R10" s="32"/>
    </row>
    <row r="11" spans="1:18">
      <c r="A11" s="6" t="s">
        <v>40</v>
      </c>
      <c r="B11" s="37">
        <f t="shared" si="0"/>
        <v>7.3027796954080006</v>
      </c>
      <c r="C11" s="33"/>
      <c r="D11" s="37">
        <f>IF( ISERROR(IND_textiel_gas_kWh/1000),0,IND_textiel_gas_kWh/1000)*0.902</f>
        <v>0</v>
      </c>
      <c r="E11" s="33">
        <f>C33*'E Balans VL '!I21/100/3.6*1000000</f>
        <v>1.6656285877508722E-2</v>
      </c>
      <c r="F11" s="33">
        <f>C33*'E Balans VL '!L21/100/3.6*1000000+C33*'E Balans VL '!N21/100/3.6*1000000</f>
        <v>0.15610368928699889</v>
      </c>
      <c r="G11" s="34"/>
      <c r="H11" s="33"/>
      <c r="I11" s="33"/>
      <c r="J11" s="40">
        <f>C33*'E Balans VL '!D21/100/3.6*1000000+C33*'E Balans VL '!E21/100/3.6*1000000</f>
        <v>0</v>
      </c>
      <c r="K11" s="33"/>
      <c r="L11" s="33"/>
      <c r="M11" s="33"/>
      <c r="N11" s="33">
        <f>C33*'E Balans VL '!Y21/100/3.6*1000000</f>
        <v>5.1804933944532346E-2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26.2940849065332</v>
      </c>
      <c r="C13" s="33"/>
      <c r="D13" s="37">
        <f>IF( ISERROR(IND_papier_gas_kWh/1000),0,IND_papier_gas_kWh/1000)*0.902</f>
        <v>97.537935370207634</v>
      </c>
      <c r="E13" s="33">
        <f>C35*'E Balans VL '!I23/100/3.6*1000000</f>
        <v>0.80900037112401868</v>
      </c>
      <c r="F13" s="33">
        <f>C35*'E Balans VL '!L23/100/3.6*1000000+C35*'E Balans VL '!N23/100/3.6*1000000</f>
        <v>5.5831531496322588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214.12770073064999</v>
      </c>
      <c r="C15" s="33"/>
      <c r="D15" s="37">
        <f>IF( ISERROR(IND_rest_gas_kWh/1000),0,IND_rest_gas_kWh/1000)*0.902</f>
        <v>433.49084012004732</v>
      </c>
      <c r="E15" s="33">
        <f>C37*'E Balans VL '!I15/100/3.6*1000000</f>
        <v>1.9324518583560872</v>
      </c>
      <c r="F15" s="33">
        <f>C37*'E Balans VL '!L15/100/3.6*1000000+C37*'E Balans VL '!N15/100/3.6*1000000</f>
        <v>42.805846789445788</v>
      </c>
      <c r="G15" s="34"/>
      <c r="H15" s="33"/>
      <c r="I15" s="33"/>
      <c r="J15" s="40">
        <f>C37*'E Balans VL '!D15/100/3.6*1000000+C37*'E Balans VL '!E15/100/3.6*1000000</f>
        <v>1.4417972296983776</v>
      </c>
      <c r="K15" s="33"/>
      <c r="L15" s="33"/>
      <c r="M15" s="33"/>
      <c r="N15" s="33">
        <f>C37*'E Balans VL '!Y15/100/3.6*1000000</f>
        <v>3.85341146626899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2797.3396894444463</v>
      </c>
      <c r="C18" s="21">
        <f>C5+C16</f>
        <v>0</v>
      </c>
      <c r="D18" s="21">
        <f>MAX((D5+D16),0)</f>
        <v>3919.7718182053741</v>
      </c>
      <c r="E18" s="21">
        <f>MAX((E5+E16),0)</f>
        <v>38.283429991576142</v>
      </c>
      <c r="F18" s="21">
        <f>MAX((F5+F16),0)</f>
        <v>1453.073393104683</v>
      </c>
      <c r="G18" s="21"/>
      <c r="H18" s="21"/>
      <c r="I18" s="21"/>
      <c r="J18" s="21">
        <f>MAX((J5+J16),0)</f>
        <v>5.7062771292642669</v>
      </c>
      <c r="K18" s="21"/>
      <c r="L18" s="21">
        <f>MAX((L5+L16),0)</f>
        <v>0</v>
      </c>
      <c r="M18" s="21"/>
      <c r="N18" s="21">
        <f>MAX((N5+N16),0)</f>
        <v>136.35645477188271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0.21840819649391477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610.96191655240921</v>
      </c>
      <c r="C22" s="23">
        <f ca="1">C18*C20</f>
        <v>0</v>
      </c>
      <c r="D22" s="23">
        <f>D18*D20</f>
        <v>791.79390727748557</v>
      </c>
      <c r="E22" s="23">
        <f>E18*E20</f>
        <v>8.6903386080877851</v>
      </c>
      <c r="F22" s="23">
        <f>F18*F20</f>
        <v>387.97059595895035</v>
      </c>
      <c r="G22" s="23"/>
      <c r="H22" s="23"/>
      <c r="I22" s="23"/>
      <c r="J22" s="23">
        <f>J18*J20</f>
        <v>2.0200221037595503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13.1357773251185</v>
      </c>
      <c r="C30" s="39">
        <f>IF(ISERROR(B30*3.6/1000000/'E Balans VL '!Z18*100),0,B30*3.6/1000000/'E Balans VL '!Z18*100)</f>
        <v>8.7445671791095065E-4</v>
      </c>
      <c r="D30" s="238" t="s">
        <v>719</v>
      </c>
    </row>
    <row r="31" spans="1:18">
      <c r="A31" s="6" t="s">
        <v>33</v>
      </c>
      <c r="B31" s="37">
        <f>IF( ISERROR(IND_ander_ele_kWh/1000),0,IND_ander_ele_kWh/1000)</f>
        <v>1601.9564057991199</v>
      </c>
      <c r="C31" s="39">
        <f>IF(ISERROR(B31*3.6/1000000/'E Balans VL '!Z19*100),0,B31*3.6/1000000/'E Balans VL '!Z19*100)</f>
        <v>7.1008379000979921E-2</v>
      </c>
      <c r="D31" s="238" t="s">
        <v>719</v>
      </c>
    </row>
    <row r="32" spans="1:18">
      <c r="A32" s="172" t="s">
        <v>41</v>
      </c>
      <c r="B32" s="37">
        <f>IF( ISERROR(IND_voed_ele_kWh/1000),0,IND_voed_ele_kWh/1000)</f>
        <v>934.52294098761706</v>
      </c>
      <c r="C32" s="39">
        <f>IF(ISERROR(B32*3.6/1000000/'E Balans VL '!Z20*100),0,B32*3.6/1000000/'E Balans VL '!Z20*100)</f>
        <v>3.1215747028340859E-2</v>
      </c>
      <c r="D32" s="238" t="s">
        <v>719</v>
      </c>
    </row>
    <row r="33" spans="1:5">
      <c r="A33" s="172" t="s">
        <v>40</v>
      </c>
      <c r="B33" s="37">
        <f>IF( ISERROR(IND_textiel_ele_kWh/1000),0,IND_textiel_ele_kWh/1000)</f>
        <v>7.3027796954080006</v>
      </c>
      <c r="C33" s="39">
        <f>IF(ISERROR(B33*3.6/1000000/'E Balans VL '!Z21*100),0,B33*3.6/1000000/'E Balans VL '!Z21*100)</f>
        <v>9.6142778740239442E-4</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26.2940849065332</v>
      </c>
      <c r="C35" s="39">
        <f>IF(ISERROR(B35*3.6/1000000/'E Balans VL '!Z22*100),0,B35*3.6/1000000/'E Balans VL '!Z22*100)</f>
        <v>5.113910690215764E-3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214.12770073064999</v>
      </c>
      <c r="C37" s="39">
        <f>IF(ISERROR(B37*3.6/1000000/'E Balans VL '!Z15*100),0,B37*3.6/1000000/'E Balans VL '!Z15*100)</f>
        <v>1.5927612495717054E-3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1098.8223599587091</v>
      </c>
      <c r="C5" s="17">
        <f>'Eigen informatie GS &amp; warmtenet'!B60</f>
        <v>0</v>
      </c>
      <c r="D5" s="30">
        <f>IF(ISERROR(SUM(LB_lb_gas_kWh,LB_rest_gas_kWh)/1000),0,SUM(LB_lb_gas_kWh,LB_rest_gas_kWh)/1000)*0.902</f>
        <v>186.36494563402587</v>
      </c>
      <c r="E5" s="17">
        <f>B17*'E Balans VL '!I25/3.6*1000000/100</f>
        <v>11.507105638827623</v>
      </c>
      <c r="F5" s="17">
        <f>B17*('E Balans VL '!L25/3.6*1000000+'E Balans VL '!N25/3.6*1000000)/100</f>
        <v>4703.7946282954845</v>
      </c>
      <c r="G5" s="18"/>
      <c r="H5" s="17"/>
      <c r="I5" s="17"/>
      <c r="J5" s="17">
        <f>('E Balans VL '!D25+'E Balans VL '!E25)/3.6*1000000*landbouw!B17/100</f>
        <v>98.134685657144132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1098.8223599587091</v>
      </c>
      <c r="C8" s="21">
        <f>C5+C6</f>
        <v>0</v>
      </c>
      <c r="D8" s="21">
        <f>MAX((D5+D6),0)</f>
        <v>186.36494563402587</v>
      </c>
      <c r="E8" s="21">
        <f>MAX((E5+E6),0)</f>
        <v>11.507105638827623</v>
      </c>
      <c r="F8" s="21">
        <f>MAX((F5+F6),0)</f>
        <v>4703.7946282954845</v>
      </c>
      <c r="G8" s="21"/>
      <c r="H8" s="21"/>
      <c r="I8" s="21"/>
      <c r="J8" s="21">
        <f>MAX((J5+J6),0)</f>
        <v>98.134685657144132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0.21840819649391477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239.99180990576886</v>
      </c>
      <c r="C12" s="23">
        <f ca="1">C8*C10</f>
        <v>0</v>
      </c>
      <c r="D12" s="23">
        <f>D8*D10</f>
        <v>37.64571901807323</v>
      </c>
      <c r="E12" s="23">
        <f>E8*E10</f>
        <v>2.6121129800138707</v>
      </c>
      <c r="F12" s="23">
        <f>F8*F10</f>
        <v>1255.9131657548944</v>
      </c>
      <c r="G12" s="23"/>
      <c r="H12" s="23"/>
      <c r="I12" s="23"/>
      <c r="J12" s="23">
        <f>J8*J10</f>
        <v>34.739678722629023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0.16912997238898753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113.56134611895313</v>
      </c>
      <c r="C26" s="248">
        <f>B26*'GWP N2O_CH4'!B5</f>
        <v>2384.7882684980154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70.757556420139053</v>
      </c>
      <c r="C27" s="248">
        <f>B27*'GWP N2O_CH4'!B5</f>
        <v>1485.9086848229201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1.7296018552368115</v>
      </c>
      <c r="C28" s="248">
        <f>B28*'GWP N2O_CH4'!B4</f>
        <v>536.17657512341157</v>
      </c>
      <c r="D28" s="50"/>
    </row>
    <row r="29" spans="1:4">
      <c r="A29" s="41" t="s">
        <v>277</v>
      </c>
      <c r="B29" s="248">
        <f>B34*'ha_N2O bodem landbouw'!B4</f>
        <v>20.594275755336422</v>
      </c>
      <c r="C29" s="248">
        <f>B29*'GWP N2O_CH4'!B4</f>
        <v>6384.2254841542908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3.4034745475415881E-3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2.8410438666425542E-6</v>
      </c>
      <c r="C5" s="446" t="s">
        <v>211</v>
      </c>
      <c r="D5" s="431">
        <f>SUM(D6:D11)</f>
        <v>1.2910092785261113E-5</v>
      </c>
      <c r="E5" s="431">
        <f>SUM(E6:E11)</f>
        <v>1.3740168460721742E-3</v>
      </c>
      <c r="F5" s="444" t="s">
        <v>211</v>
      </c>
      <c r="G5" s="431">
        <f>SUM(G6:G11)</f>
        <v>0.28905846419077441</v>
      </c>
      <c r="H5" s="431">
        <f>SUM(H6:H11)</f>
        <v>4.3638588208070504E-2</v>
      </c>
      <c r="I5" s="446" t="s">
        <v>211</v>
      </c>
      <c r="J5" s="446" t="s">
        <v>211</v>
      </c>
      <c r="K5" s="446" t="s">
        <v>211</v>
      </c>
      <c r="L5" s="446" t="s">
        <v>211</v>
      </c>
      <c r="M5" s="431">
        <f>SUM(M6:M11)</f>
        <v>1.4501150381218747E-2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2.2954537522825361E-6</v>
      </c>
      <c r="C6" s="432"/>
      <c r="D6" s="432">
        <f>vkm_2011_GW_PW*SUMIFS(TableVerdeelsleutelVkm[CNG],TableVerdeelsleutelVkm[Voertuigtype],"Lichte voertuigen")*SUMIFS(TableECFTransport[EnergieConsumptieFactor (PJ per km)],TableECFTransport[Index],CONCATENATE($A6,"_CNG_CNG"))</f>
        <v>9.8954343028404467E-6</v>
      </c>
      <c r="E6" s="434">
        <f>vkm_2011_GW_PW*SUMIFS(TableVerdeelsleutelVkm[LPG],TableVerdeelsleutelVkm[Voertuigtype],"Lichte voertuigen")*SUMIFS(TableECFTransport[EnergieConsumptieFactor (PJ per km)],TableECFTransport[Index],CONCATENATE($A6,"_LPG_LPG"))</f>
        <v>1.0295592221000042E-3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0.1266386107454954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3.3341321874816574E-2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7.0110876206111259E-3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8.506950037505856E-2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2.9169152815478704E-5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3.6748430235992073E-3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1.7684772821795422E-7</v>
      </c>
      <c r="C8" s="432"/>
      <c r="D8" s="434">
        <f>vkm_2011_NGW_PW*SUMIFS(TableVerdeelsleutelVkm[CNG],TableVerdeelsleutelVkm[Voertuigtype],"Lichte voertuigen")*SUMIFS(TableECFTransport[EnergieConsumptieFactor (PJ per km)],TableECFTransport[Index],CONCATENATE($A8,"_CNG_CNG"))</f>
        <v>1.3677103483104402E-6</v>
      </c>
      <c r="E8" s="434">
        <f>vkm_2011_NGW_PW*SUMIFS(TableVerdeelsleutelVkm[LPG],TableVerdeelsleutelVkm[Voertuigtype],"Lichte voertuigen")*SUMIFS(TableECFTransport[EnergieConsumptieFactor (PJ per km)],TableECFTransport[Index],CONCATENATE($A8,"_LPG_LPG"))</f>
        <v>1.2993216145281398E-4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1.5158575008316117E-2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4.3989502642979433E-3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8.5810026980582611E-4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1.0007265549240025E-3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2.9809015054556371E-7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4.3227428110950239E-5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3.6874238614206392E-7</v>
      </c>
      <c r="C10" s="432"/>
      <c r="D10" s="434">
        <f>vkm_2011_SW_PW*SUMIFS(TableVerdeelsleutelVkm[CNG],TableVerdeelsleutelVkm[Voertuigtype],"Lichte voertuigen")*SUMIFS(TableECFTransport[EnergieConsumptieFactor (PJ per km)],TableECFTransport[Index],CONCATENATE($A10,"_CNG_CNG"))</f>
        <v>1.6469481341102265E-6</v>
      </c>
      <c r="E10" s="434">
        <f>vkm_2011_SW_PW*SUMIFS(TableVerdeelsleutelVkm[LPG],TableVerdeelsleutelVkm[Voertuigtype],"Lichte voertuigen")*SUMIFS(TableECFTransport[EnergieConsumptieFactor (PJ per km)],TableECFTransport[Index],CONCATENATE($A10,"_LPG_LPG"))</f>
        <v>2.1452546251935612E-4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2.4258839731575495E-2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5.8553373393136427E-3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1.3184504590292182E-3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3.6932211775404823E-2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1.3511486676321811E-5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1.5954415800624175E-3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0.78917885184515402</v>
      </c>
      <c r="C14" s="21"/>
      <c r="D14" s="21">
        <f t="shared" ref="D14:M14" si="0">((D5)*10^9/3600)+D12</f>
        <v>3.5861368847947537</v>
      </c>
      <c r="E14" s="21">
        <f t="shared" si="0"/>
        <v>381.67134613115951</v>
      </c>
      <c r="F14" s="21"/>
      <c r="G14" s="21">
        <f t="shared" si="0"/>
        <v>80294.017830770681</v>
      </c>
      <c r="H14" s="21">
        <f t="shared" si="0"/>
        <v>12121.830057797362</v>
      </c>
      <c r="I14" s="21"/>
      <c r="J14" s="21"/>
      <c r="K14" s="21"/>
      <c r="L14" s="21"/>
      <c r="M14" s="21">
        <f t="shared" si="0"/>
        <v>4028.0973281163183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0.21840819649391477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0.17236312974263845</v>
      </c>
      <c r="C18" s="23"/>
      <c r="D18" s="23">
        <f t="shared" ref="D18:M18" si="1">D14*D16</f>
        <v>0.72439965072854029</v>
      </c>
      <c r="E18" s="23">
        <f t="shared" si="1"/>
        <v>86.639395571773207</v>
      </c>
      <c r="F18" s="23"/>
      <c r="G18" s="23">
        <f t="shared" si="1"/>
        <v>21438.502760815772</v>
      </c>
      <c r="H18" s="23">
        <f t="shared" si="1"/>
        <v>3018.3356843915431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4.7781076068728282E-3</v>
      </c>
      <c r="C50" s="322">
        <f t="shared" ref="C50:P50" si="2">SUM(C51:C52)</f>
        <v>0</v>
      </c>
      <c r="D50" s="322">
        <f t="shared" si="2"/>
        <v>0</v>
      </c>
      <c r="E50" s="322">
        <f t="shared" si="2"/>
        <v>0</v>
      </c>
      <c r="F50" s="322">
        <f t="shared" si="2"/>
        <v>0</v>
      </c>
      <c r="G50" s="322">
        <f t="shared" si="2"/>
        <v>5.126194830371072E-3</v>
      </c>
      <c r="H50" s="322">
        <f t="shared" si="2"/>
        <v>0</v>
      </c>
      <c r="I50" s="322">
        <f t="shared" si="2"/>
        <v>0</v>
      </c>
      <c r="J50" s="322">
        <f t="shared" si="2"/>
        <v>0</v>
      </c>
      <c r="K50" s="322">
        <f t="shared" si="2"/>
        <v>0</v>
      </c>
      <c r="L50" s="322">
        <f t="shared" si="2"/>
        <v>0</v>
      </c>
      <c r="M50" s="322">
        <f t="shared" si="2"/>
        <v>2.1850741498540143E-4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5.126194830371072E-3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2.1850741498540143E-4</v>
      </c>
      <c r="N51" s="324"/>
      <c r="O51" s="324"/>
      <c r="P51" s="327"/>
    </row>
    <row r="52" spans="1:18">
      <c r="A52" s="4" t="s">
        <v>330</v>
      </c>
      <c r="B52" s="328">
        <f>vkm_2011_tram*SUMIFS(TableECFTransport[EnergieConsumptieFactor (PJ per km)],TableECFTransport[Index],"Tram_gemiddeld_Electric_Electric")</f>
        <v>4.7781076068728282E-3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1327.2521130202301</v>
      </c>
      <c r="C54" s="21">
        <f t="shared" ref="C54:P54" si="3">(C50)*10^9/3600</f>
        <v>0</v>
      </c>
      <c r="D54" s="21">
        <f t="shared" si="3"/>
        <v>0</v>
      </c>
      <c r="E54" s="21">
        <f t="shared" si="3"/>
        <v>0</v>
      </c>
      <c r="F54" s="21">
        <f t="shared" si="3"/>
        <v>0</v>
      </c>
      <c r="G54" s="21">
        <f t="shared" si="3"/>
        <v>1423.9430084364087</v>
      </c>
      <c r="H54" s="21">
        <f t="shared" si="3"/>
        <v>0</v>
      </c>
      <c r="I54" s="21">
        <f t="shared" si="3"/>
        <v>0</v>
      </c>
      <c r="J54" s="21">
        <f t="shared" si="3"/>
        <v>0</v>
      </c>
      <c r="K54" s="21">
        <f t="shared" si="3"/>
        <v>0</v>
      </c>
      <c r="L54" s="21">
        <f t="shared" si="3"/>
        <v>0</v>
      </c>
      <c r="M54" s="21">
        <f t="shared" si="3"/>
        <v>60.696504162611511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0.21840819649391477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289.88274029748601</v>
      </c>
      <c r="C58" s="23">
        <f t="shared" ref="C58:P58" ca="1" si="4">C54*C56</f>
        <v>0</v>
      </c>
      <c r="D58" s="23">
        <f t="shared" si="4"/>
        <v>0</v>
      </c>
      <c r="E58" s="23">
        <f t="shared" si="4"/>
        <v>0</v>
      </c>
      <c r="F58" s="23">
        <f t="shared" si="4"/>
        <v>0</v>
      </c>
      <c r="G58" s="23">
        <f t="shared" si="4"/>
        <v>380.19278325252117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56388.29710184993</v>
      </c>
      <c r="D10" s="687">
        <f ca="1">tertiair!C16</f>
        <v>0</v>
      </c>
      <c r="E10" s="687">
        <f ca="1">tertiair!D16</f>
        <v>62536.758874351515</v>
      </c>
      <c r="F10" s="687">
        <f>tertiair!E16</f>
        <v>1474.7926191455049</v>
      </c>
      <c r="G10" s="687">
        <f ca="1">tertiair!F16</f>
        <v>10127.426979164884</v>
      </c>
      <c r="H10" s="687">
        <f>tertiair!G16</f>
        <v>0</v>
      </c>
      <c r="I10" s="687">
        <f>tertiair!H16</f>
        <v>0</v>
      </c>
      <c r="J10" s="687">
        <f>tertiair!I16</f>
        <v>0</v>
      </c>
      <c r="K10" s="687">
        <f>tertiair!J16</f>
        <v>0</v>
      </c>
      <c r="L10" s="687">
        <f>tertiair!K16</f>
        <v>0</v>
      </c>
      <c r="M10" s="687">
        <f ca="1">tertiair!L16</f>
        <v>0</v>
      </c>
      <c r="N10" s="687">
        <f>tertiair!M16</f>
        <v>0</v>
      </c>
      <c r="O10" s="687">
        <f ca="1">tertiair!N16</f>
        <v>1789.6315122593958</v>
      </c>
      <c r="P10" s="687">
        <f>tertiair!O16</f>
        <v>4.6900000000000004</v>
      </c>
      <c r="Q10" s="688">
        <f>tertiair!P16</f>
        <v>38.133333333333333</v>
      </c>
      <c r="R10" s="690">
        <f ca="1">SUM(C10:Q10)</f>
        <v>132359.73042010458</v>
      </c>
      <c r="S10" s="67"/>
    </row>
    <row r="11" spans="1:19" s="456" customFormat="1">
      <c r="A11" s="802" t="s">
        <v>225</v>
      </c>
      <c r="B11" s="807"/>
      <c r="C11" s="687">
        <f>huishoudens!B8</f>
        <v>62609.087206985816</v>
      </c>
      <c r="D11" s="687">
        <f>huishoudens!C8</f>
        <v>0</v>
      </c>
      <c r="E11" s="687">
        <f>huishoudens!D8</f>
        <v>126281.01314722629</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81.293333333333337</v>
      </c>
      <c r="Q11" s="688">
        <f>huishoudens!P8</f>
        <v>171.6</v>
      </c>
      <c r="R11" s="690">
        <f>SUM(C11:Q11)</f>
        <v>189142.99368754544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2797.3396894444463</v>
      </c>
      <c r="D13" s="687">
        <f>industrie!C18</f>
        <v>0</v>
      </c>
      <c r="E13" s="687">
        <f>industrie!D18</f>
        <v>3919.7718182053741</v>
      </c>
      <c r="F13" s="687">
        <f>industrie!E18</f>
        <v>38.283429991576142</v>
      </c>
      <c r="G13" s="687">
        <f>industrie!F18</f>
        <v>1453.073393104683</v>
      </c>
      <c r="H13" s="687">
        <f>industrie!G18</f>
        <v>0</v>
      </c>
      <c r="I13" s="687">
        <f>industrie!H18</f>
        <v>0</v>
      </c>
      <c r="J13" s="687">
        <f>industrie!I18</f>
        <v>0</v>
      </c>
      <c r="K13" s="687">
        <f>industrie!J18</f>
        <v>5.7062771292642669</v>
      </c>
      <c r="L13" s="687">
        <f>industrie!K18</f>
        <v>0</v>
      </c>
      <c r="M13" s="687">
        <f>industrie!L18</f>
        <v>0</v>
      </c>
      <c r="N13" s="687">
        <f>industrie!M18</f>
        <v>0</v>
      </c>
      <c r="O13" s="687">
        <f>industrie!N18</f>
        <v>136.35645477188271</v>
      </c>
      <c r="P13" s="687">
        <f>industrie!O18</f>
        <v>0</v>
      </c>
      <c r="Q13" s="688">
        <f>industrie!P18</f>
        <v>0</v>
      </c>
      <c r="R13" s="690">
        <f>SUM(C13:Q13)</f>
        <v>8350.5310626472274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121794.7239982802</v>
      </c>
      <c r="D16" s="720">
        <f t="shared" ref="D16:R16" ca="1" si="0">SUM(D9:D15)</f>
        <v>0</v>
      </c>
      <c r="E16" s="720">
        <f t="shared" ca="1" si="0"/>
        <v>192737.54383978317</v>
      </c>
      <c r="F16" s="720">
        <f t="shared" si="0"/>
        <v>1513.0760491370811</v>
      </c>
      <c r="G16" s="720">
        <f t="shared" ca="1" si="0"/>
        <v>11580.500372269567</v>
      </c>
      <c r="H16" s="720">
        <f t="shared" si="0"/>
        <v>0</v>
      </c>
      <c r="I16" s="720">
        <f t="shared" si="0"/>
        <v>0</v>
      </c>
      <c r="J16" s="720">
        <f t="shared" si="0"/>
        <v>0</v>
      </c>
      <c r="K16" s="720">
        <f t="shared" si="0"/>
        <v>5.7062771292642669</v>
      </c>
      <c r="L16" s="720">
        <f t="shared" si="0"/>
        <v>0</v>
      </c>
      <c r="M16" s="720">
        <f t="shared" ca="1" si="0"/>
        <v>0</v>
      </c>
      <c r="N16" s="720">
        <f t="shared" si="0"/>
        <v>0</v>
      </c>
      <c r="O16" s="720">
        <f t="shared" ca="1" si="0"/>
        <v>1925.9879670312785</v>
      </c>
      <c r="P16" s="720">
        <f t="shared" si="0"/>
        <v>85.983333333333334</v>
      </c>
      <c r="Q16" s="720">
        <f t="shared" si="0"/>
        <v>209.73333333333332</v>
      </c>
      <c r="R16" s="720">
        <f t="shared" ca="1" si="0"/>
        <v>329853.25517029723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1327.2521130202301</v>
      </c>
      <c r="D19" s="687">
        <f>transport!C54</f>
        <v>0</v>
      </c>
      <c r="E19" s="687">
        <f>transport!D54</f>
        <v>0</v>
      </c>
      <c r="F19" s="687">
        <f>transport!E54</f>
        <v>0</v>
      </c>
      <c r="G19" s="687">
        <f>transport!F54</f>
        <v>0</v>
      </c>
      <c r="H19" s="687">
        <f>transport!G54</f>
        <v>1423.9430084364087</v>
      </c>
      <c r="I19" s="687">
        <f>transport!H54</f>
        <v>0</v>
      </c>
      <c r="J19" s="687">
        <f>transport!I54</f>
        <v>0</v>
      </c>
      <c r="K19" s="687">
        <f>transport!J54</f>
        <v>0</v>
      </c>
      <c r="L19" s="687">
        <f>transport!K54</f>
        <v>0</v>
      </c>
      <c r="M19" s="687">
        <f>transport!L54</f>
        <v>0</v>
      </c>
      <c r="N19" s="687">
        <f>transport!M54</f>
        <v>60.696504162611511</v>
      </c>
      <c r="O19" s="687">
        <f>transport!N54</f>
        <v>0</v>
      </c>
      <c r="P19" s="687">
        <f>transport!O54</f>
        <v>0</v>
      </c>
      <c r="Q19" s="688">
        <f>transport!P54</f>
        <v>0</v>
      </c>
      <c r="R19" s="690">
        <f>SUM(C19:Q19)</f>
        <v>2811.8916256192501</v>
      </c>
      <c r="S19" s="67"/>
    </row>
    <row r="20" spans="1:19" s="456" customFormat="1">
      <c r="A20" s="802" t="s">
        <v>307</v>
      </c>
      <c r="B20" s="807"/>
      <c r="C20" s="687">
        <f>transport!B14</f>
        <v>0.78917885184515402</v>
      </c>
      <c r="D20" s="687">
        <f>transport!C14</f>
        <v>0</v>
      </c>
      <c r="E20" s="687">
        <f>transport!D14</f>
        <v>3.5861368847947537</v>
      </c>
      <c r="F20" s="687">
        <f>transport!E14</f>
        <v>381.67134613115951</v>
      </c>
      <c r="G20" s="687">
        <f>transport!F14</f>
        <v>0</v>
      </c>
      <c r="H20" s="687">
        <f>transport!G14</f>
        <v>80294.017830770681</v>
      </c>
      <c r="I20" s="687">
        <f>transport!H14</f>
        <v>12121.830057797362</v>
      </c>
      <c r="J20" s="687">
        <f>transport!I14</f>
        <v>0</v>
      </c>
      <c r="K20" s="687">
        <f>transport!J14</f>
        <v>0</v>
      </c>
      <c r="L20" s="687">
        <f>transport!K14</f>
        <v>0</v>
      </c>
      <c r="M20" s="687">
        <f>transport!L14</f>
        <v>0</v>
      </c>
      <c r="N20" s="687">
        <f>transport!M14</f>
        <v>4028.0973281163183</v>
      </c>
      <c r="O20" s="687">
        <f>transport!N14</f>
        <v>0</v>
      </c>
      <c r="P20" s="687">
        <f>transport!O14</f>
        <v>0</v>
      </c>
      <c r="Q20" s="688">
        <f>transport!P14</f>
        <v>0</v>
      </c>
      <c r="R20" s="690">
        <f>SUM(C20:Q20)</f>
        <v>96829.991878552159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1328.0412918720754</v>
      </c>
      <c r="D22" s="805">
        <f t="shared" ref="D22:R22" si="1">SUM(D18:D21)</f>
        <v>0</v>
      </c>
      <c r="E22" s="805">
        <f t="shared" si="1"/>
        <v>3.5861368847947537</v>
      </c>
      <c r="F22" s="805">
        <f t="shared" si="1"/>
        <v>381.67134613115951</v>
      </c>
      <c r="G22" s="805">
        <f t="shared" si="1"/>
        <v>0</v>
      </c>
      <c r="H22" s="805">
        <f t="shared" si="1"/>
        <v>81717.960839207095</v>
      </c>
      <c r="I22" s="805">
        <f t="shared" si="1"/>
        <v>12121.830057797362</v>
      </c>
      <c r="J22" s="805">
        <f t="shared" si="1"/>
        <v>0</v>
      </c>
      <c r="K22" s="805">
        <f t="shared" si="1"/>
        <v>0</v>
      </c>
      <c r="L22" s="805">
        <f t="shared" si="1"/>
        <v>0</v>
      </c>
      <c r="M22" s="805">
        <f t="shared" si="1"/>
        <v>0</v>
      </c>
      <c r="N22" s="805">
        <f t="shared" si="1"/>
        <v>4088.7938322789296</v>
      </c>
      <c r="O22" s="805">
        <f t="shared" si="1"/>
        <v>0</v>
      </c>
      <c r="P22" s="805">
        <f t="shared" si="1"/>
        <v>0</v>
      </c>
      <c r="Q22" s="805">
        <f t="shared" si="1"/>
        <v>0</v>
      </c>
      <c r="R22" s="805">
        <f t="shared" si="1"/>
        <v>99641.883504171405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1098.8223599587091</v>
      </c>
      <c r="D24" s="687">
        <f>+landbouw!C8</f>
        <v>0</v>
      </c>
      <c r="E24" s="687">
        <f>+landbouw!D8</f>
        <v>186.36494563402587</v>
      </c>
      <c r="F24" s="687">
        <f>+landbouw!E8</f>
        <v>11.507105638827623</v>
      </c>
      <c r="G24" s="687">
        <f>+landbouw!F8</f>
        <v>4703.7946282954845</v>
      </c>
      <c r="H24" s="687">
        <f>+landbouw!G8</f>
        <v>0</v>
      </c>
      <c r="I24" s="687">
        <f>+landbouw!H8</f>
        <v>0</v>
      </c>
      <c r="J24" s="687">
        <f>+landbouw!I8</f>
        <v>0</v>
      </c>
      <c r="K24" s="687">
        <f>+landbouw!J8</f>
        <v>98.134685657144132</v>
      </c>
      <c r="L24" s="687">
        <f>+landbouw!K8</f>
        <v>0</v>
      </c>
      <c r="M24" s="687">
        <f>+landbouw!L8</f>
        <v>0</v>
      </c>
      <c r="N24" s="687">
        <f>+landbouw!M8</f>
        <v>0</v>
      </c>
      <c r="O24" s="687">
        <f>+landbouw!N8</f>
        <v>0</v>
      </c>
      <c r="P24" s="687">
        <f>+landbouw!O8</f>
        <v>0</v>
      </c>
      <c r="Q24" s="688">
        <f>+landbouw!P8</f>
        <v>0</v>
      </c>
      <c r="R24" s="690">
        <f>SUM(C24:Q24)</f>
        <v>6098.6237251841912</v>
      </c>
      <c r="S24" s="67"/>
    </row>
    <row r="25" spans="1:19" s="456" customFormat="1" ht="15" thickBot="1">
      <c r="A25" s="824" t="s">
        <v>925</v>
      </c>
      <c r="B25" s="988"/>
      <c r="C25" s="989">
        <f>IF(Onbekend_ele_kWh="---",0,Onbekend_ele_kWh)/1000+IF(REST_rest_ele_kWh="---",0,REST_rest_ele_kWh)/1000</f>
        <v>4553.2697323101602</v>
      </c>
      <c r="D25" s="989"/>
      <c r="E25" s="989">
        <f>IF(onbekend_gas_kWh="---",0,onbekend_gas_kWh)/1000+IF(REST_rest_gas_kWh="---",0,REST_rest_gas_kWh)/1000</f>
        <v>7001.3533497990693</v>
      </c>
      <c r="F25" s="989"/>
      <c r="G25" s="989"/>
      <c r="H25" s="989"/>
      <c r="I25" s="989"/>
      <c r="J25" s="989"/>
      <c r="K25" s="989"/>
      <c r="L25" s="989"/>
      <c r="M25" s="989"/>
      <c r="N25" s="989"/>
      <c r="O25" s="989"/>
      <c r="P25" s="989"/>
      <c r="Q25" s="990"/>
      <c r="R25" s="690">
        <f>SUM(C25:Q25)</f>
        <v>11554.623082109229</v>
      </c>
      <c r="S25" s="67"/>
    </row>
    <row r="26" spans="1:19" s="456" customFormat="1" ht="15.75" thickBot="1">
      <c r="A26" s="693" t="s">
        <v>926</v>
      </c>
      <c r="B26" s="810"/>
      <c r="C26" s="805">
        <f>SUM(C24:C25)</f>
        <v>5652.0920922688692</v>
      </c>
      <c r="D26" s="805">
        <f t="shared" ref="D26:R26" si="2">SUM(D24:D25)</f>
        <v>0</v>
      </c>
      <c r="E26" s="805">
        <f t="shared" si="2"/>
        <v>7187.7182954330956</v>
      </c>
      <c r="F26" s="805">
        <f t="shared" si="2"/>
        <v>11.507105638827623</v>
      </c>
      <c r="G26" s="805">
        <f t="shared" si="2"/>
        <v>4703.7946282954845</v>
      </c>
      <c r="H26" s="805">
        <f t="shared" si="2"/>
        <v>0</v>
      </c>
      <c r="I26" s="805">
        <f t="shared" si="2"/>
        <v>0</v>
      </c>
      <c r="J26" s="805">
        <f t="shared" si="2"/>
        <v>0</v>
      </c>
      <c r="K26" s="805">
        <f t="shared" si="2"/>
        <v>98.134685657144132</v>
      </c>
      <c r="L26" s="805">
        <f t="shared" si="2"/>
        <v>0</v>
      </c>
      <c r="M26" s="805">
        <f t="shared" si="2"/>
        <v>0</v>
      </c>
      <c r="N26" s="805">
        <f t="shared" si="2"/>
        <v>0</v>
      </c>
      <c r="O26" s="805">
        <f t="shared" si="2"/>
        <v>0</v>
      </c>
      <c r="P26" s="805">
        <f t="shared" si="2"/>
        <v>0</v>
      </c>
      <c r="Q26" s="805">
        <f t="shared" si="2"/>
        <v>0</v>
      </c>
      <c r="R26" s="805">
        <f t="shared" si="2"/>
        <v>17653.246807293421</v>
      </c>
      <c r="S26" s="67"/>
    </row>
    <row r="27" spans="1:19" s="456" customFormat="1" ht="17.25" thickTop="1" thickBot="1">
      <c r="A27" s="694" t="s">
        <v>116</v>
      </c>
      <c r="B27" s="797"/>
      <c r="C27" s="695">
        <f ca="1">C22+C16+C26</f>
        <v>128774.85738242113</v>
      </c>
      <c r="D27" s="695">
        <f t="shared" ref="D27:R27" ca="1" si="3">D22+D16+D26</f>
        <v>0</v>
      </c>
      <c r="E27" s="695">
        <f t="shared" ca="1" si="3"/>
        <v>199928.84827210105</v>
      </c>
      <c r="F27" s="695">
        <f t="shared" si="3"/>
        <v>1906.2545009070682</v>
      </c>
      <c r="G27" s="695">
        <f t="shared" ca="1" si="3"/>
        <v>16284.295000565053</v>
      </c>
      <c r="H27" s="695">
        <f t="shared" si="3"/>
        <v>81717.960839207095</v>
      </c>
      <c r="I27" s="695">
        <f t="shared" si="3"/>
        <v>12121.830057797362</v>
      </c>
      <c r="J27" s="695">
        <f t="shared" si="3"/>
        <v>0</v>
      </c>
      <c r="K27" s="695">
        <f t="shared" si="3"/>
        <v>103.8409627864084</v>
      </c>
      <c r="L27" s="695">
        <f t="shared" si="3"/>
        <v>0</v>
      </c>
      <c r="M27" s="695">
        <f t="shared" ca="1" si="3"/>
        <v>0</v>
      </c>
      <c r="N27" s="695">
        <f t="shared" si="3"/>
        <v>4088.7938322789296</v>
      </c>
      <c r="O27" s="695">
        <f t="shared" ca="1" si="3"/>
        <v>1925.9879670312785</v>
      </c>
      <c r="P27" s="695">
        <f t="shared" si="3"/>
        <v>85.983333333333334</v>
      </c>
      <c r="Q27" s="695">
        <f t="shared" si="3"/>
        <v>209.73333333333332</v>
      </c>
      <c r="R27" s="695">
        <f t="shared" ca="1" si="3"/>
        <v>447148.38548176206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12315.666273378083</v>
      </c>
      <c r="D40" s="687">
        <f ca="1">tertiair!C20</f>
        <v>0</v>
      </c>
      <c r="E40" s="687">
        <f ca="1">tertiair!D20</f>
        <v>12632.425292619007</v>
      </c>
      <c r="F40" s="687">
        <f>tertiair!E20</f>
        <v>334.77792454602962</v>
      </c>
      <c r="G40" s="687">
        <f ca="1">tertiair!F20</f>
        <v>2704.0230034370243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27986.892493980147</v>
      </c>
    </row>
    <row r="41" spans="1:18">
      <c r="A41" s="815" t="s">
        <v>225</v>
      </c>
      <c r="B41" s="822"/>
      <c r="C41" s="687">
        <f ca="1">huishoudens!B12</f>
        <v>13674.337821008003</v>
      </c>
      <c r="D41" s="687">
        <f ca="1">huishoudens!C12</f>
        <v>0</v>
      </c>
      <c r="E41" s="687">
        <f>huishoudens!D12</f>
        <v>25508.764655739713</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39183.102476747714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610.96191655240921</v>
      </c>
      <c r="D43" s="687">
        <f ca="1">industrie!C22</f>
        <v>0</v>
      </c>
      <c r="E43" s="687">
        <f>industrie!D22</f>
        <v>791.79390727748557</v>
      </c>
      <c r="F43" s="687">
        <f>industrie!E22</f>
        <v>8.6903386080877851</v>
      </c>
      <c r="G43" s="687">
        <f>industrie!F22</f>
        <v>387.97059595895035</v>
      </c>
      <c r="H43" s="687">
        <f>industrie!G22</f>
        <v>0</v>
      </c>
      <c r="I43" s="687">
        <f>industrie!H22</f>
        <v>0</v>
      </c>
      <c r="J43" s="687">
        <f>industrie!I22</f>
        <v>0</v>
      </c>
      <c r="K43" s="687">
        <f>industrie!J22</f>
        <v>2.0200221037595503</v>
      </c>
      <c r="L43" s="687">
        <f>industrie!K22</f>
        <v>0</v>
      </c>
      <c r="M43" s="687">
        <f>industrie!L22</f>
        <v>0</v>
      </c>
      <c r="N43" s="687">
        <f>industrie!M22</f>
        <v>0</v>
      </c>
      <c r="O43" s="687">
        <f>industrie!N22</f>
        <v>0</v>
      </c>
      <c r="P43" s="687">
        <f>industrie!O22</f>
        <v>0</v>
      </c>
      <c r="Q43" s="762">
        <f>industrie!P22</f>
        <v>0</v>
      </c>
      <c r="R43" s="842">
        <f t="shared" ca="1" si="4"/>
        <v>1801.4367805006925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26600.966010938497</v>
      </c>
      <c r="D46" s="720">
        <f t="shared" ref="D46:Q46" ca="1" si="5">SUM(D39:D45)</f>
        <v>0</v>
      </c>
      <c r="E46" s="720">
        <f t="shared" ca="1" si="5"/>
        <v>38932.983855636201</v>
      </c>
      <c r="F46" s="720">
        <f t="shared" si="5"/>
        <v>343.46826315411738</v>
      </c>
      <c r="G46" s="720">
        <f t="shared" ca="1" si="5"/>
        <v>3091.9935993959748</v>
      </c>
      <c r="H46" s="720">
        <f t="shared" si="5"/>
        <v>0</v>
      </c>
      <c r="I46" s="720">
        <f t="shared" si="5"/>
        <v>0</v>
      </c>
      <c r="J46" s="720">
        <f t="shared" si="5"/>
        <v>0</v>
      </c>
      <c r="K46" s="720">
        <f t="shared" si="5"/>
        <v>2.0200221037595503</v>
      </c>
      <c r="L46" s="720">
        <f t="shared" si="5"/>
        <v>0</v>
      </c>
      <c r="M46" s="720">
        <f t="shared" ca="1" si="5"/>
        <v>0</v>
      </c>
      <c r="N46" s="720">
        <f t="shared" si="5"/>
        <v>0</v>
      </c>
      <c r="O46" s="720">
        <f t="shared" ca="1" si="5"/>
        <v>0</v>
      </c>
      <c r="P46" s="720">
        <f t="shared" si="5"/>
        <v>0</v>
      </c>
      <c r="Q46" s="720">
        <f t="shared" si="5"/>
        <v>0</v>
      </c>
      <c r="R46" s="720">
        <f ca="1">SUM(R39:R45)</f>
        <v>68971.431751228549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289.88274029748601</v>
      </c>
      <c r="D49" s="687">
        <f ca="1">transport!C58</f>
        <v>0</v>
      </c>
      <c r="E49" s="687">
        <f>transport!D58</f>
        <v>0</v>
      </c>
      <c r="F49" s="687">
        <f>transport!E58</f>
        <v>0</v>
      </c>
      <c r="G49" s="687">
        <f>transport!F58</f>
        <v>0</v>
      </c>
      <c r="H49" s="687">
        <f>transport!G58</f>
        <v>380.19278325252117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670.07552355000712</v>
      </c>
    </row>
    <row r="50" spans="1:18">
      <c r="A50" s="818" t="s">
        <v>307</v>
      </c>
      <c r="B50" s="828"/>
      <c r="C50" s="995">
        <f ca="1">transport!B18</f>
        <v>0.17236312974263845</v>
      </c>
      <c r="D50" s="995">
        <f>transport!C18</f>
        <v>0</v>
      </c>
      <c r="E50" s="995">
        <f>transport!D18</f>
        <v>0.72439965072854029</v>
      </c>
      <c r="F50" s="995">
        <f>transport!E18</f>
        <v>86.639395571773207</v>
      </c>
      <c r="G50" s="995">
        <f>transport!F18</f>
        <v>0</v>
      </c>
      <c r="H50" s="995">
        <f>transport!G18</f>
        <v>21438.502760815772</v>
      </c>
      <c r="I50" s="995">
        <f>transport!H18</f>
        <v>3018.3356843915431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24544.374603559558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290.05510342722863</v>
      </c>
      <c r="D52" s="720">
        <f t="shared" ref="D52:Q52" ca="1" si="6">SUM(D48:D51)</f>
        <v>0</v>
      </c>
      <c r="E52" s="720">
        <f t="shared" si="6"/>
        <v>0.72439965072854029</v>
      </c>
      <c r="F52" s="720">
        <f t="shared" si="6"/>
        <v>86.639395571773207</v>
      </c>
      <c r="G52" s="720">
        <f t="shared" si="6"/>
        <v>0</v>
      </c>
      <c r="H52" s="720">
        <f t="shared" si="6"/>
        <v>21818.695544068294</v>
      </c>
      <c r="I52" s="720">
        <f t="shared" si="6"/>
        <v>3018.3356843915431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25214.450127109565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239.99180990576886</v>
      </c>
      <c r="D54" s="995">
        <f ca="1">+landbouw!C12</f>
        <v>0</v>
      </c>
      <c r="E54" s="995">
        <f>+landbouw!D12</f>
        <v>37.64571901807323</v>
      </c>
      <c r="F54" s="995">
        <f>+landbouw!E12</f>
        <v>2.6121129800138707</v>
      </c>
      <c r="G54" s="995">
        <f>+landbouw!F12</f>
        <v>1255.9131657548944</v>
      </c>
      <c r="H54" s="995">
        <f>+landbouw!G12</f>
        <v>0</v>
      </c>
      <c r="I54" s="995">
        <f>+landbouw!H12</f>
        <v>0</v>
      </c>
      <c r="J54" s="995">
        <f>+landbouw!I12</f>
        <v>0</v>
      </c>
      <c r="K54" s="995">
        <f>+landbouw!J12</f>
        <v>34.739678722629023</v>
      </c>
      <c r="L54" s="995">
        <f>+landbouw!K12</f>
        <v>0</v>
      </c>
      <c r="M54" s="995">
        <f>+landbouw!L12</f>
        <v>0</v>
      </c>
      <c r="N54" s="995">
        <f>+landbouw!M12</f>
        <v>0</v>
      </c>
      <c r="O54" s="995">
        <f>+landbouw!N12</f>
        <v>0</v>
      </c>
      <c r="P54" s="995">
        <f>+landbouw!O12</f>
        <v>0</v>
      </c>
      <c r="Q54" s="996">
        <f>+landbouw!P12</f>
        <v>0</v>
      </c>
      <c r="R54" s="719">
        <f ca="1">SUM(C54:Q54)</f>
        <v>1570.9024863813793</v>
      </c>
    </row>
    <row r="55" spans="1:18" ht="15" thickBot="1">
      <c r="A55" s="818" t="s">
        <v>925</v>
      </c>
      <c r="B55" s="828"/>
      <c r="C55" s="995">
        <f ca="1">C25*'EF ele_warmte'!B12</f>
        <v>994.47143038419222</v>
      </c>
      <c r="D55" s="995"/>
      <c r="E55" s="995">
        <f>E25*EF_CO2_aardgas</f>
        <v>1414.2733766594122</v>
      </c>
      <c r="F55" s="995"/>
      <c r="G55" s="995"/>
      <c r="H55" s="995"/>
      <c r="I55" s="995"/>
      <c r="J55" s="995"/>
      <c r="K55" s="995"/>
      <c r="L55" s="995"/>
      <c r="M55" s="995"/>
      <c r="N55" s="995"/>
      <c r="O55" s="995"/>
      <c r="P55" s="995"/>
      <c r="Q55" s="996"/>
      <c r="R55" s="719">
        <f ca="1">SUM(C55:Q55)</f>
        <v>2408.7448070436044</v>
      </c>
    </row>
    <row r="56" spans="1:18" ht="15.75" thickBot="1">
      <c r="A56" s="816" t="s">
        <v>926</v>
      </c>
      <c r="B56" s="829"/>
      <c r="C56" s="720">
        <f ca="1">SUM(C54:C55)</f>
        <v>1234.463240289961</v>
      </c>
      <c r="D56" s="720">
        <f t="shared" ref="D56:Q56" ca="1" si="7">SUM(D54:D55)</f>
        <v>0</v>
      </c>
      <c r="E56" s="720">
        <f t="shared" si="7"/>
        <v>1451.9190956774853</v>
      </c>
      <c r="F56" s="720">
        <f t="shared" si="7"/>
        <v>2.6121129800138707</v>
      </c>
      <c r="G56" s="720">
        <f t="shared" si="7"/>
        <v>1255.9131657548944</v>
      </c>
      <c r="H56" s="720">
        <f t="shared" si="7"/>
        <v>0</v>
      </c>
      <c r="I56" s="720">
        <f t="shared" si="7"/>
        <v>0</v>
      </c>
      <c r="J56" s="720">
        <f t="shared" si="7"/>
        <v>0</v>
      </c>
      <c r="K56" s="720">
        <f t="shared" si="7"/>
        <v>34.739678722629023</v>
      </c>
      <c r="L56" s="720">
        <f t="shared" si="7"/>
        <v>0</v>
      </c>
      <c r="M56" s="720">
        <f t="shared" si="7"/>
        <v>0</v>
      </c>
      <c r="N56" s="720">
        <f t="shared" si="7"/>
        <v>0</v>
      </c>
      <c r="O56" s="720">
        <f t="shared" si="7"/>
        <v>0</v>
      </c>
      <c r="P56" s="720">
        <f t="shared" si="7"/>
        <v>0</v>
      </c>
      <c r="Q56" s="721">
        <f t="shared" si="7"/>
        <v>0</v>
      </c>
      <c r="R56" s="722">
        <f ca="1">SUM(R54:R55)</f>
        <v>3979.6472934249837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28125.484354655688</v>
      </c>
      <c r="D61" s="728">
        <f t="shared" ref="D61:Q61" ca="1" si="8">D46+D52+D56</f>
        <v>0</v>
      </c>
      <c r="E61" s="728">
        <f t="shared" ca="1" si="8"/>
        <v>40385.627350964416</v>
      </c>
      <c r="F61" s="728">
        <f t="shared" si="8"/>
        <v>432.71977170590446</v>
      </c>
      <c r="G61" s="728">
        <f t="shared" ca="1" si="8"/>
        <v>4347.9067651508694</v>
      </c>
      <c r="H61" s="728">
        <f t="shared" si="8"/>
        <v>21818.695544068294</v>
      </c>
      <c r="I61" s="728">
        <f t="shared" si="8"/>
        <v>3018.3356843915431</v>
      </c>
      <c r="J61" s="728">
        <f t="shared" si="8"/>
        <v>0</v>
      </c>
      <c r="K61" s="728">
        <f t="shared" si="8"/>
        <v>36.759700826388574</v>
      </c>
      <c r="L61" s="728">
        <f t="shared" si="8"/>
        <v>0</v>
      </c>
      <c r="M61" s="728">
        <f t="shared" ca="1" si="8"/>
        <v>0</v>
      </c>
      <c r="N61" s="728">
        <f t="shared" si="8"/>
        <v>0</v>
      </c>
      <c r="O61" s="728">
        <f t="shared" ca="1" si="8"/>
        <v>0</v>
      </c>
      <c r="P61" s="728">
        <f t="shared" si="8"/>
        <v>0</v>
      </c>
      <c r="Q61" s="728">
        <f t="shared" si="8"/>
        <v>0</v>
      </c>
      <c r="R61" s="728">
        <f ca="1">R46+R52+R56</f>
        <v>98165.529171763104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0.21840819649391477</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1510.2222934813749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1510.2222934813749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1510.2222934813749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1510.2222934813749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62609.087206985816</v>
      </c>
      <c r="C4" s="460">
        <f>huishoudens!C8</f>
        <v>0</v>
      </c>
      <c r="D4" s="460">
        <f>huishoudens!D8</f>
        <v>126281.01314722629</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81.293333333333337</v>
      </c>
      <c r="P4" s="461">
        <f>huishoudens!P8</f>
        <v>171.6</v>
      </c>
      <c r="Q4" s="462">
        <f>SUM(B4:P4)</f>
        <v>189142.99368754544</v>
      </c>
    </row>
    <row r="5" spans="1:17">
      <c r="A5" s="459" t="s">
        <v>156</v>
      </c>
      <c r="B5" s="460">
        <f ca="1">tertiair!B16</f>
        <v>52985.543101849929</v>
      </c>
      <c r="C5" s="460">
        <f ca="1">tertiair!C16</f>
        <v>0</v>
      </c>
      <c r="D5" s="460">
        <f ca="1">tertiair!D16</f>
        <v>62536.758874351515</v>
      </c>
      <c r="E5" s="460">
        <f>tertiair!E16</f>
        <v>1474.7926191455049</v>
      </c>
      <c r="F5" s="460">
        <f ca="1">tertiair!F16</f>
        <v>10127.426979164884</v>
      </c>
      <c r="G5" s="460">
        <f>tertiair!G16</f>
        <v>0</v>
      </c>
      <c r="H5" s="460">
        <f>tertiair!H16</f>
        <v>0</v>
      </c>
      <c r="I5" s="460">
        <f>tertiair!I16</f>
        <v>0</v>
      </c>
      <c r="J5" s="460">
        <f>tertiair!J16</f>
        <v>0</v>
      </c>
      <c r="K5" s="460">
        <f>tertiair!K16</f>
        <v>0</v>
      </c>
      <c r="L5" s="460">
        <f ca="1">tertiair!L16</f>
        <v>0</v>
      </c>
      <c r="M5" s="460">
        <f>tertiair!M16</f>
        <v>0</v>
      </c>
      <c r="N5" s="460">
        <f ca="1">tertiair!N16</f>
        <v>1789.6315122593958</v>
      </c>
      <c r="O5" s="460">
        <f>tertiair!O16</f>
        <v>4.6900000000000004</v>
      </c>
      <c r="P5" s="461">
        <f>tertiair!P16</f>
        <v>38.133333333333333</v>
      </c>
      <c r="Q5" s="459">
        <f t="shared" ref="Q5:Q14" ca="1" si="0">SUM(B5:P5)</f>
        <v>128956.97642010456</v>
      </c>
    </row>
    <row r="6" spans="1:17">
      <c r="A6" s="459" t="s">
        <v>194</v>
      </c>
      <c r="B6" s="460">
        <f>'openbare verlichting'!B8</f>
        <v>3402.7539999999999</v>
      </c>
      <c r="C6" s="460"/>
      <c r="D6" s="460"/>
      <c r="E6" s="460"/>
      <c r="F6" s="460"/>
      <c r="G6" s="460"/>
      <c r="H6" s="460"/>
      <c r="I6" s="460"/>
      <c r="J6" s="460"/>
      <c r="K6" s="460"/>
      <c r="L6" s="460"/>
      <c r="M6" s="460"/>
      <c r="N6" s="460"/>
      <c r="O6" s="460"/>
      <c r="P6" s="461"/>
      <c r="Q6" s="459">
        <f t="shared" si="0"/>
        <v>3402.7539999999999</v>
      </c>
    </row>
    <row r="7" spans="1:17">
      <c r="A7" s="459" t="s">
        <v>112</v>
      </c>
      <c r="B7" s="460">
        <f>landbouw!B8</f>
        <v>1098.8223599587091</v>
      </c>
      <c r="C7" s="460">
        <f>landbouw!C8</f>
        <v>0</v>
      </c>
      <c r="D7" s="460">
        <f>landbouw!D8</f>
        <v>186.36494563402587</v>
      </c>
      <c r="E7" s="460">
        <f>landbouw!E8</f>
        <v>11.507105638827623</v>
      </c>
      <c r="F7" s="460">
        <f>landbouw!F8</f>
        <v>4703.7946282954845</v>
      </c>
      <c r="G7" s="460">
        <f>landbouw!G8</f>
        <v>0</v>
      </c>
      <c r="H7" s="460">
        <f>landbouw!H8</f>
        <v>0</v>
      </c>
      <c r="I7" s="460">
        <f>landbouw!I8</f>
        <v>0</v>
      </c>
      <c r="J7" s="460">
        <f>landbouw!J8</f>
        <v>98.134685657144132</v>
      </c>
      <c r="K7" s="460">
        <f>landbouw!K8</f>
        <v>0</v>
      </c>
      <c r="L7" s="460">
        <f>landbouw!L8</f>
        <v>0</v>
      </c>
      <c r="M7" s="460">
        <f>landbouw!M8</f>
        <v>0</v>
      </c>
      <c r="N7" s="460">
        <f>landbouw!N8</f>
        <v>0</v>
      </c>
      <c r="O7" s="460">
        <f>landbouw!O8</f>
        <v>0</v>
      </c>
      <c r="P7" s="461">
        <f>landbouw!P8</f>
        <v>0</v>
      </c>
      <c r="Q7" s="459">
        <f t="shared" si="0"/>
        <v>6098.6237251841912</v>
      </c>
    </row>
    <row r="8" spans="1:17">
      <c r="A8" s="459" t="s">
        <v>655</v>
      </c>
      <c r="B8" s="460">
        <f>industrie!B18</f>
        <v>2797.3396894444463</v>
      </c>
      <c r="C8" s="460">
        <f>industrie!C18</f>
        <v>0</v>
      </c>
      <c r="D8" s="460">
        <f>industrie!D18</f>
        <v>3919.7718182053741</v>
      </c>
      <c r="E8" s="460">
        <f>industrie!E18</f>
        <v>38.283429991576142</v>
      </c>
      <c r="F8" s="460">
        <f>industrie!F18</f>
        <v>1453.073393104683</v>
      </c>
      <c r="G8" s="460">
        <f>industrie!G18</f>
        <v>0</v>
      </c>
      <c r="H8" s="460">
        <f>industrie!H18</f>
        <v>0</v>
      </c>
      <c r="I8" s="460">
        <f>industrie!I18</f>
        <v>0</v>
      </c>
      <c r="J8" s="460">
        <f>industrie!J18</f>
        <v>5.7062771292642669</v>
      </c>
      <c r="K8" s="460">
        <f>industrie!K18</f>
        <v>0</v>
      </c>
      <c r="L8" s="460">
        <f>industrie!L18</f>
        <v>0</v>
      </c>
      <c r="M8" s="460">
        <f>industrie!M18</f>
        <v>0</v>
      </c>
      <c r="N8" s="460">
        <f>industrie!N18</f>
        <v>136.35645477188271</v>
      </c>
      <c r="O8" s="460">
        <f>industrie!O18</f>
        <v>0</v>
      </c>
      <c r="P8" s="461">
        <f>industrie!P18</f>
        <v>0</v>
      </c>
      <c r="Q8" s="459">
        <f t="shared" si="0"/>
        <v>8350.5310626472274</v>
      </c>
    </row>
    <row r="9" spans="1:17" s="465" customFormat="1">
      <c r="A9" s="463" t="s">
        <v>573</v>
      </c>
      <c r="B9" s="464">
        <f>transport!B14</f>
        <v>0.78917885184515402</v>
      </c>
      <c r="C9" s="464">
        <f>transport!C14</f>
        <v>0</v>
      </c>
      <c r="D9" s="464">
        <f>transport!D14</f>
        <v>3.5861368847947537</v>
      </c>
      <c r="E9" s="464">
        <f>transport!E14</f>
        <v>381.67134613115951</v>
      </c>
      <c r="F9" s="464">
        <f>transport!F14</f>
        <v>0</v>
      </c>
      <c r="G9" s="464">
        <f>transport!G14</f>
        <v>80294.017830770681</v>
      </c>
      <c r="H9" s="464">
        <f>transport!H14</f>
        <v>12121.830057797362</v>
      </c>
      <c r="I9" s="464">
        <f>transport!I14</f>
        <v>0</v>
      </c>
      <c r="J9" s="464">
        <f>transport!J14</f>
        <v>0</v>
      </c>
      <c r="K9" s="464">
        <f>transport!K14</f>
        <v>0</v>
      </c>
      <c r="L9" s="464">
        <f>transport!L14</f>
        <v>0</v>
      </c>
      <c r="M9" s="464">
        <f>transport!M14</f>
        <v>4028.0973281163183</v>
      </c>
      <c r="N9" s="464">
        <f>transport!N14</f>
        <v>0</v>
      </c>
      <c r="O9" s="464">
        <f>transport!O14</f>
        <v>0</v>
      </c>
      <c r="P9" s="464">
        <f>transport!P14</f>
        <v>0</v>
      </c>
      <c r="Q9" s="463">
        <f>SUM(B9:P9)</f>
        <v>96829.991878552159</v>
      </c>
    </row>
    <row r="10" spans="1:17">
      <c r="A10" s="459" t="s">
        <v>563</v>
      </c>
      <c r="B10" s="460">
        <f>transport!B54</f>
        <v>1327.2521130202301</v>
      </c>
      <c r="C10" s="460">
        <f>transport!C54</f>
        <v>0</v>
      </c>
      <c r="D10" s="460">
        <f>transport!D54</f>
        <v>0</v>
      </c>
      <c r="E10" s="460">
        <f>transport!E54</f>
        <v>0</v>
      </c>
      <c r="F10" s="460">
        <f>transport!F54</f>
        <v>0</v>
      </c>
      <c r="G10" s="460">
        <f>transport!G54</f>
        <v>1423.9430084364087</v>
      </c>
      <c r="H10" s="460">
        <f>transport!H54</f>
        <v>0</v>
      </c>
      <c r="I10" s="460">
        <f>transport!I54</f>
        <v>0</v>
      </c>
      <c r="J10" s="460">
        <f>transport!J54</f>
        <v>0</v>
      </c>
      <c r="K10" s="460">
        <f>transport!K54</f>
        <v>0</v>
      </c>
      <c r="L10" s="460">
        <f>transport!L54</f>
        <v>0</v>
      </c>
      <c r="M10" s="460">
        <f>transport!M54</f>
        <v>60.696504162611511</v>
      </c>
      <c r="N10" s="460">
        <f>transport!N54</f>
        <v>0</v>
      </c>
      <c r="O10" s="460">
        <f>transport!O54</f>
        <v>0</v>
      </c>
      <c r="P10" s="461">
        <f>transport!P54</f>
        <v>0</v>
      </c>
      <c r="Q10" s="459">
        <f t="shared" si="0"/>
        <v>2811.8916256192501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4553.2697323101602</v>
      </c>
      <c r="C14" s="467"/>
      <c r="D14" s="467">
        <f>'SEAP template'!E25</f>
        <v>7001.3533497990693</v>
      </c>
      <c r="E14" s="467"/>
      <c r="F14" s="467"/>
      <c r="G14" s="467"/>
      <c r="H14" s="467"/>
      <c r="I14" s="467"/>
      <c r="J14" s="467"/>
      <c r="K14" s="467"/>
      <c r="L14" s="467"/>
      <c r="M14" s="467"/>
      <c r="N14" s="467"/>
      <c r="O14" s="467"/>
      <c r="P14" s="468"/>
      <c r="Q14" s="459">
        <f t="shared" si="0"/>
        <v>11554.623082109229</v>
      </c>
    </row>
    <row r="15" spans="1:17" s="472" customFormat="1">
      <c r="A15" s="469" t="s">
        <v>567</v>
      </c>
      <c r="B15" s="470">
        <f ca="1">SUM(B4:B14)</f>
        <v>128774.85738242113</v>
      </c>
      <c r="C15" s="470">
        <f t="shared" ref="C15:Q15" ca="1" si="1">SUM(C4:C14)</f>
        <v>0</v>
      </c>
      <c r="D15" s="470">
        <f t="shared" ca="1" si="1"/>
        <v>199928.84827210105</v>
      </c>
      <c r="E15" s="470">
        <f t="shared" si="1"/>
        <v>1906.2545009070682</v>
      </c>
      <c r="F15" s="470">
        <f t="shared" ca="1" si="1"/>
        <v>16284.295000565051</v>
      </c>
      <c r="G15" s="470">
        <f t="shared" si="1"/>
        <v>81717.960839207095</v>
      </c>
      <c r="H15" s="470">
        <f t="shared" si="1"/>
        <v>12121.830057797362</v>
      </c>
      <c r="I15" s="470">
        <f t="shared" si="1"/>
        <v>0</v>
      </c>
      <c r="J15" s="470">
        <f t="shared" si="1"/>
        <v>103.8409627864084</v>
      </c>
      <c r="K15" s="470">
        <f t="shared" si="1"/>
        <v>0</v>
      </c>
      <c r="L15" s="470">
        <f t="shared" ca="1" si="1"/>
        <v>0</v>
      </c>
      <c r="M15" s="470">
        <f t="shared" si="1"/>
        <v>4088.7938322789296</v>
      </c>
      <c r="N15" s="470">
        <f t="shared" ca="1" si="1"/>
        <v>1925.9879670312785</v>
      </c>
      <c r="O15" s="470">
        <f t="shared" si="1"/>
        <v>85.983333333333334</v>
      </c>
      <c r="P15" s="470">
        <f t="shared" si="1"/>
        <v>209.73333333333332</v>
      </c>
      <c r="Q15" s="470">
        <f t="shared" ca="1" si="1"/>
        <v>447148.38548176206</v>
      </c>
    </row>
    <row r="17" spans="1:17">
      <c r="A17" s="473" t="s">
        <v>568</v>
      </c>
      <c r="B17" s="777">
        <f ca="1">huishoudens!B10</f>
        <v>0.21840819649391477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13674.337821008003</v>
      </c>
      <c r="C22" s="460">
        <f t="shared" ref="C22:C32" ca="1" si="3">C4*$C$17</f>
        <v>0</v>
      </c>
      <c r="D22" s="460">
        <f t="shared" ref="D22:D32" si="4">D4*$D$17</f>
        <v>25508.764655739713</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39183.102476747714</v>
      </c>
    </row>
    <row r="23" spans="1:17">
      <c r="A23" s="459" t="s">
        <v>156</v>
      </c>
      <c r="B23" s="460">
        <f t="shared" ca="1" si="2"/>
        <v>11572.476909125629</v>
      </c>
      <c r="C23" s="460">
        <f t="shared" ca="1" si="3"/>
        <v>0</v>
      </c>
      <c r="D23" s="460">
        <f t="shared" ca="1" si="4"/>
        <v>12632.425292619007</v>
      </c>
      <c r="E23" s="460">
        <f t="shared" si="5"/>
        <v>334.77792454602962</v>
      </c>
      <c r="F23" s="460">
        <f t="shared" ca="1" si="6"/>
        <v>2704.0230034370243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27243.703129727692</v>
      </c>
    </row>
    <row r="24" spans="1:17">
      <c r="A24" s="459" t="s">
        <v>194</v>
      </c>
      <c r="B24" s="460">
        <f t="shared" ca="1" si="2"/>
        <v>743.18936425245442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743.18936425245442</v>
      </c>
    </row>
    <row r="25" spans="1:17">
      <c r="A25" s="459" t="s">
        <v>112</v>
      </c>
      <c r="B25" s="460">
        <f t="shared" ca="1" si="2"/>
        <v>239.99180990576886</v>
      </c>
      <c r="C25" s="460">
        <f t="shared" ca="1" si="3"/>
        <v>0</v>
      </c>
      <c r="D25" s="460">
        <f t="shared" si="4"/>
        <v>37.64571901807323</v>
      </c>
      <c r="E25" s="460">
        <f t="shared" si="5"/>
        <v>2.6121129800138707</v>
      </c>
      <c r="F25" s="460">
        <f t="shared" si="6"/>
        <v>1255.9131657548944</v>
      </c>
      <c r="G25" s="460">
        <f t="shared" si="7"/>
        <v>0</v>
      </c>
      <c r="H25" s="460">
        <f t="shared" si="8"/>
        <v>0</v>
      </c>
      <c r="I25" s="460">
        <f t="shared" si="9"/>
        <v>0</v>
      </c>
      <c r="J25" s="460">
        <f t="shared" si="10"/>
        <v>34.739678722629023</v>
      </c>
      <c r="K25" s="460">
        <f t="shared" si="11"/>
        <v>0</v>
      </c>
      <c r="L25" s="460">
        <f t="shared" si="12"/>
        <v>0</v>
      </c>
      <c r="M25" s="460">
        <f t="shared" si="13"/>
        <v>0</v>
      </c>
      <c r="N25" s="460">
        <f t="shared" si="14"/>
        <v>0</v>
      </c>
      <c r="O25" s="460">
        <f t="shared" si="15"/>
        <v>0</v>
      </c>
      <c r="P25" s="461">
        <f t="shared" si="16"/>
        <v>0</v>
      </c>
      <c r="Q25" s="459">
        <f t="shared" ca="1" si="17"/>
        <v>1570.9024863813793</v>
      </c>
    </row>
    <row r="26" spans="1:17">
      <c r="A26" s="459" t="s">
        <v>655</v>
      </c>
      <c r="B26" s="460">
        <f t="shared" ca="1" si="2"/>
        <v>610.96191655240921</v>
      </c>
      <c r="C26" s="460">
        <f t="shared" ca="1" si="3"/>
        <v>0</v>
      </c>
      <c r="D26" s="460">
        <f t="shared" si="4"/>
        <v>791.79390727748557</v>
      </c>
      <c r="E26" s="460">
        <f t="shared" si="5"/>
        <v>8.6903386080877851</v>
      </c>
      <c r="F26" s="460">
        <f t="shared" si="6"/>
        <v>387.97059595895035</v>
      </c>
      <c r="G26" s="460">
        <f t="shared" si="7"/>
        <v>0</v>
      </c>
      <c r="H26" s="460">
        <f t="shared" si="8"/>
        <v>0</v>
      </c>
      <c r="I26" s="460">
        <f t="shared" si="9"/>
        <v>0</v>
      </c>
      <c r="J26" s="460">
        <f t="shared" si="10"/>
        <v>2.0200221037595503</v>
      </c>
      <c r="K26" s="460">
        <f t="shared" si="11"/>
        <v>0</v>
      </c>
      <c r="L26" s="460">
        <f t="shared" si="12"/>
        <v>0</v>
      </c>
      <c r="M26" s="460">
        <f t="shared" si="13"/>
        <v>0</v>
      </c>
      <c r="N26" s="460">
        <f t="shared" si="14"/>
        <v>0</v>
      </c>
      <c r="O26" s="460">
        <f t="shared" si="15"/>
        <v>0</v>
      </c>
      <c r="P26" s="461">
        <f t="shared" si="16"/>
        <v>0</v>
      </c>
      <c r="Q26" s="459">
        <f t="shared" ca="1" si="17"/>
        <v>1801.4367805006925</v>
      </c>
    </row>
    <row r="27" spans="1:17" s="465" customFormat="1">
      <c r="A27" s="463" t="s">
        <v>573</v>
      </c>
      <c r="B27" s="771">
        <f t="shared" ca="1" si="2"/>
        <v>0.17236312974263845</v>
      </c>
      <c r="C27" s="464">
        <f t="shared" ca="1" si="3"/>
        <v>0</v>
      </c>
      <c r="D27" s="464">
        <f t="shared" si="4"/>
        <v>0.72439965072854029</v>
      </c>
      <c r="E27" s="464">
        <f t="shared" si="5"/>
        <v>86.639395571773207</v>
      </c>
      <c r="F27" s="464">
        <f t="shared" si="6"/>
        <v>0</v>
      </c>
      <c r="G27" s="464">
        <f t="shared" si="7"/>
        <v>21438.502760815772</v>
      </c>
      <c r="H27" s="464">
        <f t="shared" si="8"/>
        <v>3018.3356843915431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24544.374603559558</v>
      </c>
    </row>
    <row r="28" spans="1:17">
      <c r="A28" s="459" t="s">
        <v>563</v>
      </c>
      <c r="B28" s="460">
        <f t="shared" ca="1" si="2"/>
        <v>289.88274029748601</v>
      </c>
      <c r="C28" s="460">
        <f t="shared" ca="1" si="3"/>
        <v>0</v>
      </c>
      <c r="D28" s="460">
        <f t="shared" si="4"/>
        <v>0</v>
      </c>
      <c r="E28" s="460">
        <f t="shared" si="5"/>
        <v>0</v>
      </c>
      <c r="F28" s="460">
        <f t="shared" si="6"/>
        <v>0</v>
      </c>
      <c r="G28" s="460">
        <f t="shared" si="7"/>
        <v>380.19278325252117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670.07552355000712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994.47143038419222</v>
      </c>
      <c r="C32" s="460">
        <f t="shared" ca="1" si="3"/>
        <v>0</v>
      </c>
      <c r="D32" s="460">
        <f t="shared" si="4"/>
        <v>1414.2733766594122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2408.7448070436044</v>
      </c>
    </row>
    <row r="33" spans="1:17" s="472" customFormat="1">
      <c r="A33" s="469" t="s">
        <v>567</v>
      </c>
      <c r="B33" s="470">
        <f ca="1">SUM(B22:B32)</f>
        <v>28125.484354655688</v>
      </c>
      <c r="C33" s="470">
        <f t="shared" ref="C33:Q33" ca="1" si="19">SUM(C22:C32)</f>
        <v>0</v>
      </c>
      <c r="D33" s="470">
        <f t="shared" ca="1" si="19"/>
        <v>40385.627350964416</v>
      </c>
      <c r="E33" s="470">
        <f t="shared" si="19"/>
        <v>432.71977170590446</v>
      </c>
      <c r="F33" s="470">
        <f t="shared" ca="1" si="19"/>
        <v>4347.9067651508685</v>
      </c>
      <c r="G33" s="470">
        <f t="shared" si="19"/>
        <v>21818.695544068294</v>
      </c>
      <c r="H33" s="470">
        <f t="shared" si="19"/>
        <v>3018.3356843915431</v>
      </c>
      <c r="I33" s="470">
        <f t="shared" si="19"/>
        <v>0</v>
      </c>
      <c r="J33" s="470">
        <f t="shared" si="19"/>
        <v>36.759700826388574</v>
      </c>
      <c r="K33" s="470">
        <f t="shared" si="19"/>
        <v>0</v>
      </c>
      <c r="L33" s="470">
        <f t="shared" ca="1" si="19"/>
        <v>0</v>
      </c>
      <c r="M33" s="470">
        <f t="shared" si="19"/>
        <v>0</v>
      </c>
      <c r="N33" s="470">
        <f t="shared" ca="1" si="19"/>
        <v>0</v>
      </c>
      <c r="O33" s="470">
        <f t="shared" si="19"/>
        <v>0</v>
      </c>
      <c r="P33" s="470">
        <f t="shared" si="19"/>
        <v>0</v>
      </c>
      <c r="Q33" s="470">
        <f t="shared" ca="1" si="19"/>
        <v>98165.529171763104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1510.2222934813749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1510.2222934813749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0.21840819649391477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0.21840819649391477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2019-06-29T16:06:02Z</dcterms:modified>
</cp:coreProperties>
</file>