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D10" s="1"/>
  <c r="L78" i="14"/>
  <c r="L8" i="55"/>
  <c r="E10"/>
  <c r="H20"/>
  <c r="O29" i="48"/>
  <c r="O25"/>
  <c r="G22" i="14"/>
  <c r="O22"/>
  <c r="P22"/>
  <c r="M76"/>
  <c r="M8" i="55" s="1"/>
  <c r="M10" s="1"/>
  <c r="F20"/>
  <c r="L90" i="14"/>
  <c r="E20" i="55"/>
  <c r="G20"/>
  <c r="O20"/>
  <c r="F90" i="14"/>
  <c r="F18" i="55"/>
  <c r="N90" i="14"/>
  <c r="N18" i="55"/>
  <c r="N20" s="1"/>
  <c r="E90" i="14"/>
  <c r="E18" i="55"/>
  <c r="G78" i="14"/>
  <c r="G9" i="55"/>
  <c r="O78" i="14"/>
  <c r="O9" i="55"/>
  <c r="O10" s="1"/>
  <c r="C77" i="14"/>
  <c r="C9" i="55" s="1"/>
  <c r="F9"/>
  <c r="N78" i="14"/>
  <c r="N9" i="55"/>
  <c r="G10"/>
  <c r="F10"/>
  <c r="L10"/>
  <c r="K20"/>
  <c r="R9" i="14"/>
  <c r="N10" i="55"/>
  <c r="O28" i="48"/>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6" i="14"/>
  <c r="P8" i="55" s="1"/>
  <c r="P9"/>
  <c r="P10" s="1"/>
  <c r="M78" i="14"/>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I78" i="14"/>
  <c r="C76"/>
  <c r="B76"/>
  <c r="I90"/>
  <c r="B87"/>
  <c r="C87"/>
  <c r="H14" i="15"/>
  <c r="H16" s="1"/>
  <c r="G14"/>
  <c r="G16" s="1"/>
  <c r="H10" i="14" l="1"/>
  <c r="H16" s="1"/>
  <c r="G5" i="48"/>
  <c r="B90" i="14"/>
  <c r="B17" i="55"/>
  <c r="B20" s="1"/>
  <c r="C78" i="14"/>
  <c r="C8" i="55"/>
  <c r="C10" s="1"/>
  <c r="B78" i="14"/>
  <c r="B4" i="6" s="1"/>
  <c r="B8" i="55"/>
  <c r="B1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G30"/>
  <c r="G32"/>
  <c r="G29"/>
  <c r="G24"/>
  <c r="G22"/>
  <c r="G25"/>
  <c r="G26"/>
  <c r="G23"/>
  <c r="B4"/>
  <c r="C11" i="14"/>
  <c r="N32" i="48"/>
  <c r="N29"/>
  <c r="N24"/>
  <c r="N31"/>
  <c r="N30"/>
  <c r="N27"/>
  <c r="N28"/>
  <c r="K5"/>
  <c r="L10" i="14"/>
  <c r="L16" s="1"/>
  <c r="L27" s="1"/>
  <c r="D30" i="48"/>
  <c r="D24"/>
  <c r="D29"/>
  <c r="D31"/>
  <c r="D28"/>
  <c r="D32"/>
  <c r="L27"/>
  <c r="L22"/>
  <c r="L30"/>
  <c r="L24"/>
  <c r="L32"/>
  <c r="L29"/>
  <c r="L28"/>
  <c r="L31"/>
  <c r="Q10" i="14"/>
  <c r="P5" i="48"/>
  <c r="P23" s="1"/>
  <c r="K30"/>
  <c r="K31"/>
  <c r="K32"/>
  <c r="K28"/>
  <c r="K26"/>
  <c r="K27"/>
  <c r="K29"/>
  <c r="K24"/>
  <c r="K22"/>
  <c r="K25"/>
  <c r="B10"/>
  <c r="C19" i="14"/>
  <c r="H12" i="22"/>
  <c r="I18" i="14"/>
  <c r="H13" i="48"/>
  <c r="H31" s="1"/>
  <c r="H30"/>
  <c r="H32"/>
  <c r="H26"/>
  <c r="H22"/>
  <c r="H24"/>
  <c r="H25"/>
  <c r="H29"/>
  <c r="H28"/>
  <c r="H23"/>
  <c r="D11" i="14"/>
  <c r="C4" i="48"/>
  <c r="M5"/>
  <c r="N10" i="14"/>
  <c r="N16" s="1"/>
  <c r="F32" i="48"/>
  <c r="F27"/>
  <c r="F29"/>
  <c r="F28"/>
  <c r="F24"/>
  <c r="F31"/>
  <c r="F30"/>
  <c r="C24" i="14"/>
  <c r="C26" s="1"/>
  <c r="B7" i="48"/>
  <c r="E30"/>
  <c r="E28"/>
  <c r="E24"/>
  <c r="E32"/>
  <c r="E29"/>
  <c r="E31"/>
  <c r="M24"/>
  <c r="M32"/>
  <c r="M30"/>
  <c r="M25"/>
  <c r="M26"/>
  <c r="M29"/>
  <c r="M22"/>
  <c r="J10" i="14"/>
  <c r="J16" s="1"/>
  <c r="J27" s="1"/>
  <c r="I5" i="48"/>
  <c r="J32"/>
  <c r="J28"/>
  <c r="J31"/>
  <c r="J24"/>
  <c r="J30"/>
  <c r="J29"/>
  <c r="J27"/>
  <c r="P4"/>
  <c r="Q11" i="14"/>
  <c r="P11"/>
  <c r="O4" i="48"/>
  <c r="I32"/>
  <c r="I30"/>
  <c r="I24"/>
  <c r="I31"/>
  <c r="I25"/>
  <c r="I27"/>
  <c r="I26"/>
  <c r="I29"/>
  <c r="I28"/>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F4"/>
  <c r="F22" s="1"/>
  <c r="G11" i="14"/>
  <c r="P15" i="48"/>
  <c r="P22"/>
  <c r="P33" s="1"/>
  <c r="I23"/>
  <c r="I15"/>
  <c r="G12" i="22"/>
  <c r="G13" i="48"/>
  <c r="H18" i="14"/>
  <c r="R18" s="1"/>
  <c r="K15" i="48"/>
  <c r="K23"/>
  <c r="J63" i="14"/>
  <c r="D16" i="15"/>
  <c r="E10" i="14" s="1"/>
  <c r="L46"/>
  <c r="L61" s="1"/>
  <c r="L63" s="1"/>
  <c r="P10"/>
  <c r="O5" i="48"/>
  <c r="O23" s="1"/>
  <c r="M13"/>
  <c r="M31" s="1"/>
  <c r="N18" i="14"/>
  <c r="P22" i="16"/>
  <c r="Q43" i="14" s="1"/>
  <c r="P8" i="48"/>
  <c r="P26" s="1"/>
  <c r="Q13" i="14"/>
  <c r="O22" i="48"/>
  <c r="K33"/>
  <c r="I33"/>
  <c r="Q16" i="14"/>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7" i="48"/>
  <c r="H33" s="1"/>
  <c r="H15"/>
  <c r="G9"/>
  <c r="H20" i="14"/>
  <c r="B9" i="48"/>
  <c r="C20" i="14"/>
  <c r="O33" i="48"/>
  <c r="P16" i="14"/>
  <c r="P27" s="1"/>
  <c r="N4" i="48"/>
  <c r="N22" s="1"/>
  <c r="O11" i="14"/>
  <c r="H19"/>
  <c r="G10" i="48"/>
  <c r="F20" i="14"/>
  <c r="F22" s="1"/>
  <c r="E9" i="48"/>
  <c r="E27" s="1"/>
  <c r="E20" i="14"/>
  <c r="E22" s="1"/>
  <c r="D9" i="48"/>
  <c r="D27" s="1"/>
  <c r="P13" i="14"/>
  <c r="O8" i="48"/>
  <c r="O26" s="1"/>
  <c r="G31"/>
  <c r="Q13"/>
  <c r="P46" i="14"/>
  <c r="P61" s="1"/>
  <c r="P63" s="1"/>
  <c r="C15" i="48"/>
  <c r="Q46" i="14"/>
  <c r="Q61" s="1"/>
  <c r="Q63" s="1"/>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7" i="48"/>
  <c r="G33" s="1"/>
  <c r="G15"/>
  <c r="M18" i="22"/>
  <c r="N50" i="14" s="1"/>
  <c r="N20"/>
  <c r="N22" s="1"/>
  <c r="N27" s="1"/>
  <c r="M9" i="48"/>
  <c r="H52" i="14"/>
  <c r="H61" s="1"/>
  <c r="B15" i="48"/>
  <c r="D15"/>
  <c r="H22" i="14"/>
  <c r="H27" s="1"/>
  <c r="E22" i="48"/>
  <c r="Q4"/>
  <c r="G28"/>
  <c r="Q10"/>
  <c r="R20" i="14"/>
  <c r="C22"/>
  <c r="R19"/>
  <c r="Q9" i="48"/>
  <c r="R11" i="14"/>
  <c r="J5" i="48"/>
  <c r="K10" i="14"/>
  <c r="E20" i="15"/>
  <c r="F40" i="14" s="1"/>
  <c r="E5" i="48"/>
  <c r="F10" i="14"/>
  <c r="L15" i="48"/>
  <c r="Q7"/>
  <c r="R24" i="14"/>
  <c r="R26" s="1"/>
  <c r="J18" i="16"/>
  <c r="N18"/>
  <c r="E18"/>
  <c r="F18"/>
  <c r="F22" s="1"/>
  <c r="G43" i="14" s="1"/>
  <c r="M27" i="48" l="1"/>
  <c r="M33" s="1"/>
  <c r="M15"/>
  <c r="R22" i="14"/>
  <c r="H63"/>
  <c r="N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<sst xmlns="http://schemas.openxmlformats.org/spreadsheetml/2006/main" count="2520" uniqueCount="979">
  <si>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</si>
  <si>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</si>
  <si>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</si>
  <si>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</si>
  <si>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</si>
  <si>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</si>
  <si>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</si>
  <si>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</si>
  <si>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</si>
  <si>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</si>
  <si>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</si>
  <si>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</si>
  <si>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</si>
  <si>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</si>
  <si>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</si>
  <si>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</si>
  <si>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</si>
  <si>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</si>
  <si>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</si>
  <si>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</si>
  <si>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</si>
  <si>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</si>
  <si>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</si>
  <si>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</si>
  <si>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</si>
  <si>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</si>
  <si>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</si>
  <si>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</si>
  <si>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</si>
  <si>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</si>
  <si>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</si>
  <si>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</si>
  <si>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</si>
  <si>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</si>
  <si>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</si>
  <si>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</si>
  <si>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</si>
  <si>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</si>
  <si>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</si>
  <si>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</si>
  <si>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</si>
  <si>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</si>
  <si>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</si>
  <si>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</si>
  <si>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</si>
  <si>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</si>
  <si>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</si>
  <si>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</si>
  <si>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</si>
  <si>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</si>
  <si>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</si>
  <si>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</si>
  <si>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</si>
  <si>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</si>
  <si>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</si>
  <si>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</si>
  <si>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</si>
  <si>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</si>
  <si>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</si>
  <si>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</si>
  <si>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</si>
  <si>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</si>
  <si>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</si>
  <si>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</si>
  <si>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</si>
  <si>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</si>
  <si>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</si>
  <si>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</si>
  <si>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</si>
  <si>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</si>
  <si>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</si>
  <si>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</si>
  <si>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</si>
  <si>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</si>
  <si>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</si>
  <si>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</si>
  <si>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</si>
  <si>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</si>
  <si>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</si>
  <si>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</si>
  <si>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</si>
  <si>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</si>
  <si>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</si>
  <si>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</si>
  <si>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</si>
  <si>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</si>
  <si>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</si>
  <si>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</si>
  <si>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</si>
  <si>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</si>
  <si>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</si>
  <si>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</si>
  <si>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</si>
  <si>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</si>
  <si>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</si>
  <si>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</si>
  <si>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</si>
  <si>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</si>
  <si>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</si>
  <si>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</si>
  <si>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</si>
  <si>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</si>
  <si>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</si>
  <si>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</si>
  <si>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</si>
  <si>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</si>
  <si>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</si>
  <si>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</si>
  <si>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</si>
  <si>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</si>
  <si>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</si>
  <si>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</si>
  <si>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</si>
  <si>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</si>
  <si>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</si>
  <si>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</si>
  <si>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</si>
  <si>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</si>
  <si>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</si>
  <si>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</si>
  <si>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</si>
  <si>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</si>
  <si>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</si>
  <si>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</si>
  <si>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</si>
  <si>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</si>
  <si>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</si>
  <si>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</si>
  <si>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</si>
  <si>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</si>
  <si>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</si>
  <si>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</si>
  <si>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</si>
  <si>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</si>
  <si>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</si>
  <si>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</si>
  <si>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</si>
  <si>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</si>
  <si>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</si>
  <si>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</si>
  <si>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</si>
  <si>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</si>
  <si>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</si>
  <si>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</si>
  <si>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</si>
  <si>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</si>
  <si>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</si>
  <si>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</si>
  <si>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</si>
  <si>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</si>
  <si>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</si>
  <si>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</si>
  <si>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</si>
  <si>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</si>
  <si>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</si>
  <si>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</si>
  <si>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</si>
  <si>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</si>
  <si>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</si>
  <si>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</si>
  <si>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</si>
  <si>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</si>
  <si>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</si>
  <si>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</si>
  <si>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</si>
  <si>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</si>
  <si>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</si>
  <si>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</si>
  <si>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</si>
  <si>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</si>
  <si>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</si>
  <si>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</si>
  <si>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</si>
  <si>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</si>
  <si>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</si>
  <si>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</si>
  <si>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</si>
  <si>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</si>
  <si>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</si>
  <si>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</si>
  <si>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</si>
  <si>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</si>
  <si>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</si>
  <si>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</si>
  <si>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</si>
  <si>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</si>
  <si>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</si>
  <si>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</si>
  <si>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</si>
  <si>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</si>
  <si>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</si>
  <si>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</si>
  <si>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</si>
  <si>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</si>
  <si>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</si>
  <si>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</si>
  <si>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</si>
  <si>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</si>
  <si>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</si>
  <si>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</si>
  <si>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</si>
  <si>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</si>
  <si>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</si>
  <si>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</si>
  <si>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</si>
  <si>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</si>
  <si>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</si>
  <si>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</si>
  <si>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</si>
  <si>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</si>
  <si>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</si>
  <si>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</si>
  <si>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</si>
  <si>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</si>
  <si>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</si>
  <si>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</si>
  <si>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</si>
  <si>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</si>
  <si>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</si>
  <si>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</si>
  <si>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</si>
  <si>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</si>
  <si>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</si>
  <si>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</si>
  <si>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</si>
  <si>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</si>
  <si>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</si>
  <si>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</si>
  <si>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</si>
  <si>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</si>
  <si>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</si>
  <si>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</si>
  <si>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</si>
  <si>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</si>
  <si>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</si>
  <si>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</si>
  <si>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</si>
  <si>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</si>
  <si>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</si>
  <si>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</si>
  <si>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</si>
  <si>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</si>
  <si>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</si>
  <si>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</si>
  <si>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</si>
  <si>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</si>
  <si>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</si>
  <si>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</si>
  <si>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</si>
  <si>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</si>
  <si>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</si>
  <si>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</si>
  <si>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</si>
  <si>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</si>
  <si>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</si>
  <si>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</si>
  <si>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</si>
  <si>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</si>
  <si>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</si>
  <si>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</si>
  <si>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</si>
  <si>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</si>
  <si>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</si>
  <si>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</si>
  <si>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</si>
  <si>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</si>
  <si>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</si>
  <si>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</si>
  <si>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</si>
  <si>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</si>
  <si>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</si>
  <si>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</si>
  <si>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</si>
  <si>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</si>
  <si>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</si>
  <si>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</si>
  <si>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</si>
  <si>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</si>
  <si>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</si>
  <si>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</si>
  <si>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</si>
  <si>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</si>
  <si>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</si>
  <si>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</si>
  <si>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</si>
  <si>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</si>
  <si>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</si>
  <si>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</si>
  <si>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</si>
  <si>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</si>
  <si>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</si>
  <si>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</si>
  <si>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</si>
  <si>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</si>
  <si>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</si>
  <si>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</si>
  <si>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</si>
  <si>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</si>
  <si>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</si>
  <si>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</si>
  <si>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</si>
  <si>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</si>
  <si>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</si>
  <si>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</si>
  <si>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</si>
  <si>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</si>
  <si>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</si>
  <si>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</si>
  <si>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</si>
  <si>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</si>
  <si>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</si>
  <si>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</si>
  <si>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</si>
  <si>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</si>
  <si>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</si>
  <si>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</si>
  <si>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</si>
  <si>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</si>
  <si>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</si>
  <si>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</si>
  <si>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</si>
  <si>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</si>
  <si>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</si>
  <si>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</si>
  <si>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</si>
  <si>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</si>
  <si>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</si>
  <si>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</si>
  <si>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</si>
  <si>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</si>
  <si>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</si>
  <si>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</si>
  <si>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</si>
  <si>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</si>
  <si>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</si>
  <si>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</si>
  <si>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</si>
  <si>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</si>
  <si>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</si>
  <si>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</si>
  <si>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</si>
  <si>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</si>
  <si>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</si>
  <si>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</si>
  <si>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</si>
  <si>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</si>
  <si>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</si>
  <si>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</si>
  <si>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</si>
  <si>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</si>
  <si>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</si>
  <si>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</si>
  <si>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</si>
  <si>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</si>
  <si>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</si>
  <si>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</si>
  <si>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</si>
  <si>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</si>
  <si>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</si>
  <si>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</si>
  <si>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</si>
  <si>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</si>
  <si>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</si>
  <si>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</si>
  <si>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</si>
  <si>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</si>
  <si>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</si>
  <si>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</si>
  <si>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</si>
  <si>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</si>
  <si>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</si>
  <si>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</si>
  <si>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</si>
  <si>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</si>
  <si>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</si>
  <si>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</si>
  <si>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</si>
  <si>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</si>
  <si>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</si>
  <si>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</si>
  <si>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</si>
  <si>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</si>
  <si>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</si>
  <si>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</si>
  <si>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</si>
  <si>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</si>
  <si>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</si>
  <si>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</si>
  <si>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</si>
  <si>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</si>
  <si>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</si>
  <si>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</si>
  <si>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</si>
  <si>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</si>
  <si>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</si>
  <si>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</si>
  <si>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</si>
  <si>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</si>
  <si>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</si>
  <si>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</si>
  <si>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</si>
  <si>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</si>
  <si>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</si>
  <si>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</si>
  <si>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</si>
  <si>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</si>
  <si>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</si>
  <si>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</si>
  <si>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</si>
  <si>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</si>
  <si>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</si>
  <si>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</si>
  <si>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</si>
  <si>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</si>
  <si>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</si>
  <si>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</si>
  <si>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</si>
  <si>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</si>
  <si>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</si>
  <si>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</si>
  <si>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</si>
  <si>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</si>
  <si>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</si>
  <si>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</si>
  <si>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</si>
  <si>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</si>
  <si>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</si>
  <si>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</si>
  <si>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</si>
  <si>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</si>
  <si>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</si>
  <si>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</si>
  <si>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</si>
  <si>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</si>
  <si>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</si>
  <si>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</si>
  <si>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</si>
  <si>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</si>
  <si>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</si>
  <si>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</si>
  <si>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</si>
  <si>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</si>
  <si>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</si>
  <si>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</si>
  <si>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</si>
  <si>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</si>
  <si>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</si>
  <si>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</si>
  <si>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</si>
  <si>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</si>
  <si>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</si>
  <si>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</si>
  <si>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</si>
  <si>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</si>
  <si>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</si>
  <si>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</si>
  <si>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</si>
  <si>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</si>
  <si>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</si>
  <si>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</si>
  <si>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</si>
  <si>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</si>
  <si>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</si>
  <si>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</si>
  <si>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</si>
  <si>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</si>
  <si>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</si>
  <si>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</si>
  <si>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</si>
  <si>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</si>
  <si>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</si>
  <si>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</si>
  <si>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</si>
  <si>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</si>
  <si>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</si>
  <si>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</si>
  <si>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</si>
  <si>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</si>
  <si>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</si>
  <si>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</si>
  <si>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</si>
  <si>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</si>
  <si>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</si>
  <si>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</si>
  <si>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</si>
  <si>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</si>
  <si>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</si>
  <si>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</si>
  <si>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</si>
  <si>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</si>
  <si>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</si>
  <si>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</si>
  <si>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</si>
  <si>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</si>
  <si>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</si>
  <si>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</si>
  <si>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</si>
  <si>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</si>
  <si>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</si>
  <si>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</si>
  <si>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</si>
  <si>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</si>
  <si>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</si>
  <si>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</si>
  <si>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</si>
  <si>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</si>
  <si>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</si>
  <si>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</si>
  <si>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</si>
  <si>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</si>
  <si>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</si>
  <si>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</si>
  <si>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</si>
  <si>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</si>
  <si>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</si>
  <si>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</si>
  <si>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</si>
  <si>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</si>
  <si>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</si>
  <si>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</si>
  <si>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</si>
  <si>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</si>
  <si>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</si>
  <si>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</si>
  <si>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</si>
  <si>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</si>
  <si>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</si>
  <si>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</si>
  <si>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</si>
  <si>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</si>
  <si>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</si>
  <si>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</si>
  <si>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</si>
  <si>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</si>
  <si>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</si>
  <si>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</si>
  <si>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</si>
  <si>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</si>
  <si>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</si>
  <si>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</si>
  <si>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</si>
  <si>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</si>
  <si>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</si>
  <si>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</si>
  <si>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</si>
  <si>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</si>
  <si>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</si>
  <si>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</si>
  <si>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</si>
  <si>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</si>
  <si>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</si>
  <si>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</si>
  <si>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</si>
  <si>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</si>
  <si>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</si>
  <si>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</si>
  <si>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</si>
  <si>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</si>
  <si>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</si>
  <si>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</si>
  <si>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</si>
  <si>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</si>
  <si>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</si>
  <si>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</si>
  <si>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</si>
  <si>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</si>
  <si>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</si>
  <si>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</si>
  <si>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</si>
  <si>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</si>
  <si>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</si>
  <si>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</si>
  <si>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</si>
  <si>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</si>
  <si>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</si>
  <si>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</si>
  <si>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</si>
  <si>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</si>
  <si>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</si>
  <si>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</si>
  <si>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</si>
  <si>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</si>
  <si>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</si>
  <si>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</si>
  <si>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</si>
  <si>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</si>
  <si>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</si>
  <si>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</si>
  <si>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</si>
  <si>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</si>
  <si>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</si>
  <si>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</si>
  <si>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</si>
  <si>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</si>
  <si>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</si>
  <si>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</si>
  <si>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</si>
  <si>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</si>
  <si>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</si>
  <si>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</si>
  <si>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</si>
  <si>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</si>
  <si>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</si>
  <si>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</si>
  <si>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</si>
  <si>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</si>
  <si>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</si>
  <si>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</si>
  <si>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</si>
  <si>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</si>
  <si>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</si>
  <si>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</si>
  <si>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</si>
  <si>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</si>
  <si>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</si>
  <si>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</si>
  <si>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</si>
  <si>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</si>
  <si>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</si>
  <si>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</si>
  <si>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</si>
  <si>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</si>
  <si>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</si>
  <si>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</si>
  <si>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</si>
  <si>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</si>
  <si>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</si>
  <si>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</si>
  <si>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</si>
  <si>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</si>
  <si>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</si>
  <si>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</si>
  <si>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</si>
  <si>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</si>
  <si>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</si>
  <si>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</si>
  <si>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</si>
  <si>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</si>
  <si>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</si>
  <si>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</si>
  <si>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</si>
  <si>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</si>
  <si>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</si>
  <si>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</si>
  <si>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</si>
  <si>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</si>
  <si>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</si>
  <si>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</si>
  <si>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</si>
  <si>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</si>
  <si>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</si>
  <si>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</si>
  <si>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</si>
  <si>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</si>
  <si>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</si>
  <si>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</si>
  <si>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</si>
  <si>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</si>
  <si>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</si>
  <si>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</si>
  <si>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</si>
  <si>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</si>
  <si>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</si>
  <si>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</si>
  <si>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</si>
  <si>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</si>
  <si>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</si>
  <si>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</si>
  <si>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</si>
  <si>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</si>
  <si>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</si>
  <si>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</si>
  <si>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</si>
  <si>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</si>
  <si>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</si>
  <si>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</si>
  <si>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</si>
  <si>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</si>
  <si>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</si>
  <si>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</si>
  <si>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</si>
  <si>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</si>
  <si>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</si>
  <si>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</si>
  <si>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</si>
  <si>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</si>
  <si>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</si>
  <si>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</si>
  <si>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</si>
  <si>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</si>
  <si>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</si>
  <si>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</si>
  <si>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</si>
  <si>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</si>
  <si>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</si>
  <si>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</si>
  <si>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</si>
  <si>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</si>
  <si>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</si>
  <si>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</si>
  <si>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</si>
  <si>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</si>
  <si>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</si>
  <si>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</si>
  <si>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</si>
  <si>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</si>
  <si>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</si>
  <si>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</si>
  <si>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</si>
  <si>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</si>
  <si>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</si>
  <si>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</si>
  <si>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</si>
  <si>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</si>
  <si>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</si>
  <si>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</si>
  <si>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</si>
  <si>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</si>
  <si>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</si>
  <si>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</si>
  <si>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</si>
  <si>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</si>
  <si>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</si>
  <si>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</si>
  <si>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</si>
  <si>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</si>
  <si>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</si>
  <si>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</si>
  <si>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</si>
  <si>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</si>
  <si>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</si>
  <si>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</si>
  <si>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</si>
  <si>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</si>
  <si>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</si>
  <si>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</si>
  <si>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</si>
  <si>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</si>
  <si>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</si>
  <si>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</si>
  <si>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</si>
  <si>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</si>
  <si>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</si>
  <si>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</si>
  <si>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</si>
  <si>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</si>
  <si>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</si>
  <si>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</si>
  <si>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</si>
  <si>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</si>
  <si>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</si>
  <si>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</si>
  <si>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</si>
  <si>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</si>
  <si>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</si>
  <si>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</si>
  <si>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</si>
  <si>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</si>
  <si>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</si>
  <si>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</si>
  <si>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</si>
  <si>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</si>
  <si>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</si>
  <si>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</si>
  <si>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</si>
  <si>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</si>
  <si>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</si>
  <si>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</si>
  <si>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</si>
  <si>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</si>
  <si>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</si>
  <si>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</si>
  <si>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</si>
  <si>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</si>
  <si>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</si>
  <si>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</si>
  <si>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</si>
  <si>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</si>
  <si>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</si>
  <si>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</si>
  <si>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</si>
  <si>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</si>
  <si>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</si>
  <si>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</si>
  <si>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</si>
  <si>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</si>
  <si>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</si>
  <si>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</si>
  <si>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</si>
  <si>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</si>
  <si>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</si>
  <si>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</si>
  <si>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</si>
  <si>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</si>
  <si>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</si>
  <si>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</si>
  <si>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</si>
  <si>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</si>
  <si>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</si>
  <si>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</si>
  <si>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</si>
  <si>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</si>
  <si>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</si>
  <si>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</si>
  <si>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</si>
  <si>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</si>
  <si>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</si>
  <si>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</si>
  <si>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</si>
  <si>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</si>
  <si>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</si>
  <si>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</si>
  <si>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</si>
  <si>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</si>
  <si>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</si>
  <si>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</si>
  <si>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</si>
  <si>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</si>
  <si>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</si>
  <si>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</si>
  <si>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</si>
  <si>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</si>
  <si>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</si>
  <si>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</si>
  <si>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</si>
  <si>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</si>
  <si>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</si>
  <si>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</si>
  <si>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</si>
  <si>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</si>
  <si>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</si>
  <si>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</si>
  <si>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</si>
  <si>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</si>
  <si>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</si>
  <si>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</si>
  <si>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</si>
  <si>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</si>
  <si>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</si>
  <si>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</si>
  <si>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</si>
  <si>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</si>
  <si>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</si>
  <si>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</si>
  <si>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</si>
  <si>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</si>
  <si>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</si>
  <si>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</si>
  <si>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</si>
  <si>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</si>
  <si>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</si>
  <si>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</si>
  <si>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</si>
  <si>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</si>
  <si>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</si>
  <si>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</si>
  <si>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</si>
  <si>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</si>
  <si>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</si>
  <si>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</si>
  <si>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</si>
  <si>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</si>
  <si>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</si>
  <si>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</si>
  <si>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</si>
  <si>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</si>
  <si>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</si>
  <si>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</si>
  <si>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</si>
  <si>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</si>
  <si>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</si>
  <si>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</si>
  <si>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</si>
  <si>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</si>
  <si>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</si>
  <si>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</si>
  <si>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</si>
  <si>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</si>
  <si>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</si>
  <si>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</si>
  <si>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</si>
  <si>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</si>
  <si>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</si>
  <si>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</si>
  <si>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</si>
  <si>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</si>
  <si>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</si>
  <si>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</si>
  <si>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</si>
  <si>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</si>
  <si>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</si>
  <si>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</si>
  <si>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</si>
  <si>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</si>
  <si>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</si>
  <si>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</si>
  <si>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</si>
  <si>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</si>
  <si>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</si>
  <si>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</si>
  <si>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</si>
  <si>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</si>
  <si>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</si>
  <si>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</si>
  <si>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</si>
  <si>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</si>
  <si>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</si>
  <si>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</si>
  <si>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</si>
  <si>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</si>
  <si>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</si>
  <si>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</si>
  <si>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</si>
  <si>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</si>
  <si>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</si>
  <si>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</si>
  <si>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</si>
  <si>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</si>
  <si>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</si>
  <si>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</si>
  <si>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</si>
  <si>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</si>
  <si>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</si>
  <si>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</si>
  <si>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</si>
  <si>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</si>
  <si>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</si>
  <si>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</si>
  <si>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</si>
  <si>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</si>
  <si>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</si>
  <si>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</si>
  <si>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</si>
  <si>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</si>
  <si>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</si>
  <si>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</si>
  <si>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</si>
  <si>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</si>
  <si>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</si>
  <si>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</si>
  <si>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</si>
  <si>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</si>
  <si>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</si>
  <si>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</si>
  <si>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</si>
  <si>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</si>
  <si>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</si>
  <si>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</si>
  <si>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</si>
  <si>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</si>
  <si>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</si>
  <si>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</si>
  <si>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</si>
  <si>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</si>
  <si>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33011</t>
  </si>
  <si>
    <t>IEPER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</si>
  <si>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</si>
  <si>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</si>
  <si>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</si>
  <si>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</si>
  <si>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</si>
  <si>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</si>
  <si>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</si>
  <si>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</si>
  <si>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</si>
  <si>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</si>
  <si>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</si>
  <si>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</si>
  <si>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</si>
  <si>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</si>
  <si>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</si>
  <si>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</si>
  <si>
    <t>Binergy Ieper nv</t>
  </si>
  <si>
    <t>Brusselstraat 59 , 2018 Antwerpen</t>
  </si>
  <si>
    <t>BGS-0080 Binergy Ieper</t>
  </si>
  <si>
    <t>biogas - overig</t>
  </si>
  <si>
    <t>niet WKK interne verbrandingsmotor (andere biomassa)</t>
  </si>
  <si>
    <t>Bargiestraat 4 , 8900 Ieper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</si>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</sst>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33011</v>
      </c>
      <c r="B6" s="396"/>
      <c r="C6" s="397"/>
    </row>
    <row r="7" spans="1:7" s="394" customFormat="1" ht="15.75" customHeight="1">
      <c r="A7" s="398" t="str">
        <f>txtMunicipality</f>
        <v>IEPER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0.17500509957528843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0.17500509957528843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14846</v>
      </c>
      <c r="C9" s="336">
        <v>15115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9188</v>
      </c>
    </row>
    <row r="15" spans="1:6">
      <c r="A15" s="1277" t="s">
        <v>184</v>
      </c>
      <c r="B15" s="333">
        <v>116</v>
      </c>
    </row>
    <row r="16" spans="1:6">
      <c r="A16" s="1277" t="s">
        <v>6</v>
      </c>
      <c r="B16" s="333">
        <v>3737</v>
      </c>
    </row>
    <row r="17" spans="1:6">
      <c r="A17" s="1277" t="s">
        <v>7</v>
      </c>
      <c r="B17" s="333">
        <v>2482</v>
      </c>
    </row>
    <row r="18" spans="1:6">
      <c r="A18" s="1277" t="s">
        <v>8</v>
      </c>
      <c r="B18" s="333">
        <v>3780</v>
      </c>
    </row>
    <row r="19" spans="1:6">
      <c r="A19" s="1277" t="s">
        <v>9</v>
      </c>
      <c r="B19" s="333">
        <v>3788</v>
      </c>
    </row>
    <row r="20" spans="1:6">
      <c r="A20" s="1277" t="s">
        <v>10</v>
      </c>
      <c r="B20" s="333">
        <v>2777</v>
      </c>
    </row>
    <row r="21" spans="1:6">
      <c r="A21" s="1277" t="s">
        <v>11</v>
      </c>
      <c r="B21" s="333">
        <v>44043</v>
      </c>
    </row>
    <row r="22" spans="1:6">
      <c r="A22" s="1277" t="s">
        <v>12</v>
      </c>
      <c r="B22" s="333">
        <v>105145</v>
      </c>
    </row>
    <row r="23" spans="1:6">
      <c r="A23" s="1277" t="s">
        <v>13</v>
      </c>
      <c r="B23" s="333">
        <v>2399</v>
      </c>
    </row>
    <row r="24" spans="1:6">
      <c r="A24" s="1277" t="s">
        <v>14</v>
      </c>
      <c r="B24" s="333">
        <v>111</v>
      </c>
    </row>
    <row r="25" spans="1:6">
      <c r="A25" s="1277" t="s">
        <v>15</v>
      </c>
      <c r="B25" s="333">
        <v>12767</v>
      </c>
    </row>
    <row r="26" spans="1:6">
      <c r="A26" s="1277" t="s">
        <v>16</v>
      </c>
      <c r="B26" s="333">
        <v>997</v>
      </c>
    </row>
    <row r="27" spans="1:6">
      <c r="A27" s="1277" t="s">
        <v>17</v>
      </c>
      <c r="B27" s="333">
        <v>42</v>
      </c>
    </row>
    <row r="28" spans="1:6">
      <c r="A28" s="1277" t="s">
        <v>18</v>
      </c>
      <c r="B28" s="333">
        <v>349448</v>
      </c>
    </row>
    <row r="29" spans="1:6">
      <c r="A29" s="1277" t="s">
        <v>957</v>
      </c>
      <c r="B29" s="333">
        <v>173</v>
      </c>
    </row>
    <row r="30" spans="1:6">
      <c r="A30" s="1273" t="s">
        <v>958</v>
      </c>
      <c r="B30" s="1273">
        <v>37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99452.4609481566</v>
      </c>
      <c r="E36" s="333">
        <v>15</v>
      </c>
      <c r="F36" s="333">
        <v>494138.68781070999</v>
      </c>
    </row>
    <row r="37" spans="1:6">
      <c r="A37" s="1277" t="s">
        <v>25</v>
      </c>
      <c r="B37" s="1277" t="s">
        <v>28</v>
      </c>
      <c r="C37" s="333">
        <v>0</v>
      </c>
      <c r="D37" s="333">
        <v>0</v>
      </c>
      <c r="E37" s="333">
        <v>0</v>
      </c>
      <c r="F37" s="333">
        <v>0</v>
      </c>
    </row>
    <row r="38" spans="1:6">
      <c r="A38" s="1277" t="s">
        <v>25</v>
      </c>
      <c r="B38" s="1277" t="s">
        <v>29</v>
      </c>
      <c r="C38" s="333">
        <v>2</v>
      </c>
      <c r="D38" s="333">
        <v>286614.75195840502</v>
      </c>
      <c r="E38" s="333">
        <v>2</v>
      </c>
      <c r="F38" s="333">
        <v>3012.9106597079999</v>
      </c>
    </row>
    <row r="39" spans="1:6">
      <c r="A39" s="1277" t="s">
        <v>30</v>
      </c>
      <c r="B39" s="1277" t="s">
        <v>31</v>
      </c>
      <c r="C39" s="333">
        <v>9795</v>
      </c>
      <c r="D39" s="333">
        <v>150021053.33912501</v>
      </c>
      <c r="E39" s="333">
        <v>13758</v>
      </c>
      <c r="F39" s="333">
        <v>55475744.618870698</v>
      </c>
    </row>
    <row r="40" spans="1:6">
      <c r="A40" s="1277" t="s">
        <v>30</v>
      </c>
      <c r="B40" s="1277" t="s">
        <v>29</v>
      </c>
      <c r="C40" s="333">
        <v>1</v>
      </c>
      <c r="D40" s="333">
        <v>5021.7953433864996</v>
      </c>
      <c r="E40" s="333">
        <v>1</v>
      </c>
      <c r="F40" s="333">
        <v>10945.368843171</v>
      </c>
    </row>
    <row r="41" spans="1:6">
      <c r="A41" s="1277" t="s">
        <v>32</v>
      </c>
      <c r="B41" s="1277" t="s">
        <v>33</v>
      </c>
      <c r="C41" s="333">
        <v>95</v>
      </c>
      <c r="D41" s="333">
        <v>1875202.1865397</v>
      </c>
      <c r="E41" s="333">
        <v>240</v>
      </c>
      <c r="F41" s="333">
        <v>15189446.9499349</v>
      </c>
    </row>
    <row r="42" spans="1:6">
      <c r="A42" s="1277" t="s">
        <v>32</v>
      </c>
      <c r="B42" s="1277" t="s">
        <v>34</v>
      </c>
      <c r="C42" s="333">
        <v>4</v>
      </c>
      <c r="D42" s="333">
        <v>5191912.9388928702</v>
      </c>
      <c r="E42" s="333">
        <v>4</v>
      </c>
      <c r="F42" s="333">
        <v>20189926.282072399</v>
      </c>
    </row>
    <row r="43" spans="1:6">
      <c r="A43" s="1277" t="s">
        <v>32</v>
      </c>
      <c r="B43" s="1277" t="s">
        <v>35</v>
      </c>
      <c r="C43" s="333">
        <v>0</v>
      </c>
      <c r="D43" s="333">
        <v>0</v>
      </c>
      <c r="E43" s="333">
        <v>0</v>
      </c>
      <c r="F43" s="333">
        <v>0</v>
      </c>
    </row>
    <row r="44" spans="1:6">
      <c r="A44" s="1277" t="s">
        <v>32</v>
      </c>
      <c r="B44" s="1277" t="s">
        <v>36</v>
      </c>
      <c r="C44" s="333">
        <v>25</v>
      </c>
      <c r="D44" s="333">
        <v>26029207.556760699</v>
      </c>
      <c r="E44" s="333">
        <v>32</v>
      </c>
      <c r="F44" s="333">
        <v>47559757.656471699</v>
      </c>
    </row>
    <row r="45" spans="1:6">
      <c r="A45" s="1277" t="s">
        <v>32</v>
      </c>
      <c r="B45" s="1277" t="s">
        <v>37</v>
      </c>
      <c r="C45" s="333">
        <v>5</v>
      </c>
      <c r="D45" s="333">
        <v>266181.99890366598</v>
      </c>
      <c r="E45" s="333">
        <v>5</v>
      </c>
      <c r="F45" s="333">
        <v>104366.50649379801</v>
      </c>
    </row>
    <row r="46" spans="1:6">
      <c r="A46" s="1277" t="s">
        <v>32</v>
      </c>
      <c r="B46" s="1277" t="s">
        <v>38</v>
      </c>
      <c r="C46" s="333">
        <v>0</v>
      </c>
      <c r="D46" s="333">
        <v>0</v>
      </c>
      <c r="E46" s="333">
        <v>0</v>
      </c>
      <c r="F46" s="333">
        <v>0</v>
      </c>
    </row>
    <row r="47" spans="1:6">
      <c r="A47" s="1277" t="s">
        <v>32</v>
      </c>
      <c r="B47" s="1277" t="s">
        <v>39</v>
      </c>
      <c r="C47" s="333">
        <v>5</v>
      </c>
      <c r="D47" s="333">
        <v>36826.223955040397</v>
      </c>
      <c r="E47" s="333">
        <v>6</v>
      </c>
      <c r="F47" s="333">
        <v>54706.904286341101</v>
      </c>
    </row>
    <row r="48" spans="1:6">
      <c r="A48" s="1277" t="s">
        <v>32</v>
      </c>
      <c r="B48" s="1277" t="s">
        <v>29</v>
      </c>
      <c r="C48" s="333">
        <v>87</v>
      </c>
      <c r="D48" s="333">
        <v>218904658.394445</v>
      </c>
      <c r="E48" s="333">
        <v>107</v>
      </c>
      <c r="F48" s="333">
        <v>75885982.493088096</v>
      </c>
    </row>
    <row r="49" spans="1:6">
      <c r="A49" s="1277" t="s">
        <v>32</v>
      </c>
      <c r="B49" s="1277" t="s">
        <v>40</v>
      </c>
      <c r="C49" s="333">
        <v>4</v>
      </c>
      <c r="D49" s="333">
        <v>387749.38840703497</v>
      </c>
      <c r="E49" s="333">
        <v>10</v>
      </c>
      <c r="F49" s="333">
        <v>233804.05450071601</v>
      </c>
    </row>
    <row r="50" spans="1:6">
      <c r="A50" s="1277" t="s">
        <v>32</v>
      </c>
      <c r="B50" s="1277" t="s">
        <v>41</v>
      </c>
      <c r="C50" s="333">
        <v>25</v>
      </c>
      <c r="D50" s="333">
        <v>8937978.3788415492</v>
      </c>
      <c r="E50" s="333">
        <v>40</v>
      </c>
      <c r="F50" s="333">
        <v>7388747.9980545295</v>
      </c>
    </row>
    <row r="51" spans="1:6">
      <c r="A51" s="1277" t="s">
        <v>42</v>
      </c>
      <c r="B51" s="1277" t="s">
        <v>43</v>
      </c>
      <c r="C51" s="333">
        <v>26</v>
      </c>
      <c r="D51" s="333">
        <v>469584.909023543</v>
      </c>
      <c r="E51" s="333">
        <v>381</v>
      </c>
      <c r="F51" s="333">
        <v>8436405.63291087</v>
      </c>
    </row>
    <row r="52" spans="1:6">
      <c r="A52" s="1277" t="s">
        <v>42</v>
      </c>
      <c r="B52" s="1277" t="s">
        <v>29</v>
      </c>
      <c r="C52" s="333">
        <v>11</v>
      </c>
      <c r="D52" s="333">
        <v>181455.80254444701</v>
      </c>
      <c r="E52" s="333">
        <v>27</v>
      </c>
      <c r="F52" s="333">
        <v>1360507.07122551</v>
      </c>
    </row>
    <row r="53" spans="1:6">
      <c r="A53" s="1277" t="s">
        <v>44</v>
      </c>
      <c r="B53" s="1277" t="s">
        <v>45</v>
      </c>
      <c r="C53" s="333">
        <v>456</v>
      </c>
      <c r="D53" s="333">
        <v>9145755.42894377</v>
      </c>
      <c r="E53" s="333">
        <v>725</v>
      </c>
      <c r="F53" s="333">
        <v>4632527.7159819296</v>
      </c>
    </row>
    <row r="54" spans="1:6">
      <c r="A54" s="1277" t="s">
        <v>46</v>
      </c>
      <c r="B54" s="1277" t="s">
        <v>47</v>
      </c>
      <c r="C54" s="333">
        <v>0</v>
      </c>
      <c r="D54" s="333">
        <v>0</v>
      </c>
      <c r="E54" s="333">
        <v>2</v>
      </c>
      <c r="F54" s="333">
        <v>3220174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108</v>
      </c>
      <c r="D57" s="333">
        <v>3325631.0878399899</v>
      </c>
      <c r="E57" s="333">
        <v>200</v>
      </c>
      <c r="F57" s="333">
        <v>5123103.05295223</v>
      </c>
    </row>
    <row r="58" spans="1:6">
      <c r="A58" s="1277" t="s">
        <v>49</v>
      </c>
      <c r="B58" s="1277" t="s">
        <v>51</v>
      </c>
      <c r="C58" s="333">
        <v>118</v>
      </c>
      <c r="D58" s="333">
        <v>24128590.509031001</v>
      </c>
      <c r="E58" s="333">
        <v>152</v>
      </c>
      <c r="F58" s="333">
        <v>14346423.065178899</v>
      </c>
    </row>
    <row r="59" spans="1:6">
      <c r="A59" s="1277" t="s">
        <v>49</v>
      </c>
      <c r="B59" s="1277" t="s">
        <v>52</v>
      </c>
      <c r="C59" s="333">
        <v>311</v>
      </c>
      <c r="D59" s="333">
        <v>12424158.734742699</v>
      </c>
      <c r="E59" s="333">
        <v>575</v>
      </c>
      <c r="F59" s="333">
        <v>17869488.0461496</v>
      </c>
    </row>
    <row r="60" spans="1:6">
      <c r="A60" s="1277" t="s">
        <v>49</v>
      </c>
      <c r="B60" s="1277" t="s">
        <v>53</v>
      </c>
      <c r="C60" s="333">
        <v>155</v>
      </c>
      <c r="D60" s="333">
        <v>8152652.2689129096</v>
      </c>
      <c r="E60" s="333">
        <v>192</v>
      </c>
      <c r="F60" s="333">
        <v>6040055.4563082699</v>
      </c>
    </row>
    <row r="61" spans="1:6">
      <c r="A61" s="1277" t="s">
        <v>49</v>
      </c>
      <c r="B61" s="1277" t="s">
        <v>54</v>
      </c>
      <c r="C61" s="333">
        <v>345</v>
      </c>
      <c r="D61" s="333">
        <v>19995571.922706202</v>
      </c>
      <c r="E61" s="333">
        <v>805</v>
      </c>
      <c r="F61" s="333">
        <v>23126449.234507699</v>
      </c>
    </row>
    <row r="62" spans="1:6">
      <c r="A62" s="1277" t="s">
        <v>49</v>
      </c>
      <c r="B62" s="1277" t="s">
        <v>55</v>
      </c>
      <c r="C62" s="333">
        <v>44</v>
      </c>
      <c r="D62" s="333">
        <v>5385815.77129474</v>
      </c>
      <c r="E62" s="333">
        <v>42</v>
      </c>
      <c r="F62" s="333">
        <v>1403303.1033129899</v>
      </c>
    </row>
    <row r="63" spans="1:6">
      <c r="A63" s="1277" t="s">
        <v>49</v>
      </c>
      <c r="B63" s="1277" t="s">
        <v>29</v>
      </c>
      <c r="C63" s="333">
        <v>237</v>
      </c>
      <c r="D63" s="333">
        <v>14947005.7948955</v>
      </c>
      <c r="E63" s="333">
        <v>299</v>
      </c>
      <c r="F63" s="333">
        <v>11041682.4926425</v>
      </c>
    </row>
    <row r="64" spans="1:6">
      <c r="A64" s="1277" t="s">
        <v>56</v>
      </c>
      <c r="B64" s="1277" t="s">
        <v>57</v>
      </c>
      <c r="C64" s="333">
        <v>0</v>
      </c>
      <c r="D64" s="333">
        <v>0</v>
      </c>
      <c r="E64" s="333">
        <v>0</v>
      </c>
      <c r="F64" s="333">
        <v>0</v>
      </c>
    </row>
    <row r="65" spans="1:6">
      <c r="A65" s="1277" t="s">
        <v>56</v>
      </c>
      <c r="B65" s="1277" t="s">
        <v>29</v>
      </c>
      <c r="C65" s="333">
        <v>6</v>
      </c>
      <c r="D65" s="333">
        <v>12604431.006681601</v>
      </c>
      <c r="E65" s="333">
        <v>8</v>
      </c>
      <c r="F65" s="333">
        <v>112451.438294536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920037.639212835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180015481</v>
      </c>
      <c r="E73" s="333">
        <v>185635895.57861805</v>
      </c>
      <c r="F73" s="333">
        <v>180235035</v>
      </c>
    </row>
    <row r="74" spans="1:6">
      <c r="A74" s="1277" t="s">
        <v>64</v>
      </c>
      <c r="B74" s="1277" t="s">
        <v>774</v>
      </c>
      <c r="C74" s="1288" t="s">
        <v>775</v>
      </c>
      <c r="D74" s="333">
        <v>23214869.534725979</v>
      </c>
      <c r="E74" s="333">
        <v>24612337.722952738</v>
      </c>
      <c r="F74" s="333">
        <v>23755050.192896213</v>
      </c>
    </row>
    <row r="75" spans="1:6">
      <c r="A75" s="1277" t="s">
        <v>65</v>
      </c>
      <c r="B75" s="1277" t="s">
        <v>772</v>
      </c>
      <c r="C75" s="1288" t="s">
        <v>776</v>
      </c>
      <c r="D75" s="333">
        <v>38795871</v>
      </c>
      <c r="E75" s="333">
        <v>40026652.499422878</v>
      </c>
      <c r="F75" s="333">
        <v>38848862</v>
      </c>
    </row>
    <row r="76" spans="1:6">
      <c r="A76" s="1277" t="s">
        <v>65</v>
      </c>
      <c r="B76" s="1277" t="s">
        <v>774</v>
      </c>
      <c r="C76" s="1288" t="s">
        <v>777</v>
      </c>
      <c r="D76" s="333">
        <v>2274862.5347259785</v>
      </c>
      <c r="E76" s="333">
        <v>2490202.7127044834</v>
      </c>
      <c r="F76" s="333">
        <v>2391007.192896212</v>
      </c>
    </row>
    <row r="77" spans="1:6">
      <c r="A77" s="1277" t="s">
        <v>66</v>
      </c>
      <c r="B77" s="1277" t="s">
        <v>772</v>
      </c>
      <c r="C77" s="1288" t="s">
        <v>778</v>
      </c>
      <c r="D77" s="333">
        <v>6904678</v>
      </c>
      <c r="E77" s="333">
        <v>9251984.9655014891</v>
      </c>
      <c r="F77" s="333">
        <v>8264982</v>
      </c>
    </row>
    <row r="78" spans="1:6">
      <c r="A78" s="1273" t="s">
        <v>66</v>
      </c>
      <c r="B78" s="1273" t="s">
        <v>774</v>
      </c>
      <c r="C78" s="1273" t="s">
        <v>779</v>
      </c>
      <c r="D78" s="1273">
        <v>1262599</v>
      </c>
      <c r="E78" s="1273">
        <v>1690825.2304569394</v>
      </c>
      <c r="F78" s="336">
        <v>1512905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1094790.930548043</v>
      </c>
      <c r="C83" s="333">
        <v>986354.33513946855</v>
      </c>
      <c r="D83" s="333">
        <v>978005.61420757638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34193.681244038504</v>
      </c>
    </row>
    <row r="91" spans="1:6">
      <c r="A91" s="1277" t="s">
        <v>68</v>
      </c>
      <c r="B91" s="333">
        <v>3194.7294263307599</v>
      </c>
    </row>
    <row r="92" spans="1:6">
      <c r="A92" s="1273" t="s">
        <v>69</v>
      </c>
      <c r="B92" s="336">
        <v>4071.8411043786555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7879</v>
      </c>
    </row>
    <row r="98" spans="1:6">
      <c r="A98" s="1277" t="s">
        <v>72</v>
      </c>
      <c r="B98" s="333">
        <v>2</v>
      </c>
    </row>
    <row r="99" spans="1:6">
      <c r="A99" s="1277" t="s">
        <v>73</v>
      </c>
      <c r="B99" s="333">
        <v>295</v>
      </c>
    </row>
    <row r="100" spans="1:6">
      <c r="A100" s="1277" t="s">
        <v>74</v>
      </c>
      <c r="B100" s="333">
        <v>1386</v>
      </c>
    </row>
    <row r="101" spans="1:6">
      <c r="A101" s="1277" t="s">
        <v>75</v>
      </c>
      <c r="B101" s="333">
        <v>247</v>
      </c>
    </row>
    <row r="102" spans="1:6">
      <c r="A102" s="1277" t="s">
        <v>76</v>
      </c>
      <c r="B102" s="333">
        <v>262</v>
      </c>
    </row>
    <row r="103" spans="1:6">
      <c r="A103" s="1277" t="s">
        <v>77</v>
      </c>
      <c r="B103" s="333">
        <v>465</v>
      </c>
    </row>
    <row r="104" spans="1:6">
      <c r="A104" s="1277" t="s">
        <v>78</v>
      </c>
      <c r="B104" s="333">
        <v>3046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94</v>
      </c>
    </row>
    <row r="130" spans="1:6">
      <c r="A130" s="1277" t="s">
        <v>295</v>
      </c>
      <c r="B130" s="333">
        <v>2</v>
      </c>
    </row>
    <row r="131" spans="1:6">
      <c r="A131" s="1277" t="s">
        <v>296</v>
      </c>
      <c r="B131" s="333">
        <v>1</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342284.07925329276</v>
      </c>
      <c r="C3" s="43" t="s">
        <v>170</v>
      </c>
      <c r="D3" s="43"/>
      <c r="E3" s="156"/>
      <c r="F3" s="43"/>
      <c r="G3" s="43"/>
      <c r="H3" s="43"/>
      <c r="I3" s="43"/>
      <c r="J3" s="43"/>
      <c r="K3" s="96"/>
    </row>
    <row r="4" spans="1:11">
      <c r="A4" s="364" t="s">
        <v>171</v>
      </c>
      <c r="B4" s="49">
        <f>IF(ISERROR('SEAP template'!B78),0,'SEAP template'!B78)</f>
        <v>71236.751774747914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0.17500509957528843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22017.857142857145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3220.174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3220.174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0.17500509957528843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563.54687151975486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55486.689987713864</v>
      </c>
      <c r="C5" s="17">
        <f>IF(ISERROR('Eigen informatie GS &amp; warmtenet'!B57),0,'Eigen informatie GS &amp; warmtenet'!B57)</f>
        <v>0</v>
      </c>
      <c r="D5" s="30">
        <f>(SUM(HH_hh_gas_kWh,HH_rest_gas_kWh)/1000)*0.902</f>
        <v>135323.51977129051</v>
      </c>
      <c r="E5" s="17">
        <f>B46*B57</f>
        <v>10811.08531975458</v>
      </c>
      <c r="F5" s="17">
        <f>B51*B62</f>
        <v>30114.741210141769</v>
      </c>
      <c r="G5" s="18"/>
      <c r="H5" s="17"/>
      <c r="I5" s="17"/>
      <c r="J5" s="17">
        <f>B50*B61+C50*C61</f>
        <v>7839.8970161150783</v>
      </c>
      <c r="K5" s="17"/>
      <c r="L5" s="17"/>
      <c r="M5" s="17"/>
      <c r="N5" s="17">
        <f>B48*B59+C48*C59</f>
        <v>26190.520708148408</v>
      </c>
      <c r="O5" s="17">
        <f>B69*B70*B71</f>
        <v>164.15</v>
      </c>
      <c r="P5" s="17">
        <f>B77*B78*B79/1000-B77*B78*B79/1000/B80</f>
        <v>400.4</v>
      </c>
    </row>
    <row r="6" spans="1:16">
      <c r="A6" s="16" t="s">
        <v>632</v>
      </c>
      <c r="B6" s="779">
        <f>kWh_PV_kleiner_dan_10kW</f>
        <v>3194.7294263307599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58681.419414044627</v>
      </c>
      <c r="C8" s="21">
        <f>C5</f>
        <v>0</v>
      </c>
      <c r="D8" s="21">
        <f>D5</f>
        <v>135323.51977129051</v>
      </c>
      <c r="E8" s="21">
        <f>E5</f>
        <v>10811.08531975458</v>
      </c>
      <c r="F8" s="21">
        <f>F5</f>
        <v>30114.741210141769</v>
      </c>
      <c r="G8" s="21"/>
      <c r="H8" s="21"/>
      <c r="I8" s="21"/>
      <c r="J8" s="21">
        <f>J5</f>
        <v>7839.8970161150783</v>
      </c>
      <c r="K8" s="21"/>
      <c r="L8" s="21">
        <f>L5</f>
        <v>0</v>
      </c>
      <c r="M8" s="21">
        <f>M5</f>
        <v>0</v>
      </c>
      <c r="N8" s="21">
        <f>N5</f>
        <v>26190.520708148408</v>
      </c>
      <c r="O8" s="21">
        <f>O5</f>
        <v>164.15</v>
      </c>
      <c r="P8" s="21">
        <f>P5</f>
        <v>400.4</v>
      </c>
    </row>
    <row r="9" spans="1:16">
      <c r="B9" s="19"/>
      <c r="C9" s="19"/>
      <c r="D9" s="260"/>
      <c r="E9" s="19"/>
      <c r="F9" s="19"/>
      <c r="G9" s="19"/>
      <c r="H9" s="19"/>
      <c r="I9" s="19"/>
      <c r="J9" s="19"/>
      <c r="K9" s="19"/>
      <c r="L9" s="19"/>
      <c r="M9" s="19"/>
      <c r="N9" s="19"/>
      <c r="O9" s="19"/>
      <c r="P9" s="19"/>
    </row>
    <row r="10" spans="1:16">
      <c r="A10" s="24" t="s">
        <v>214</v>
      </c>
      <c r="B10" s="25">
        <f ca="1">'EF ele_warmte'!B12</f>
        <v>0.17500509957528843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10269.547647774143</v>
      </c>
      <c r="C12" s="23">
        <f ca="1">C10*C8</f>
        <v>0</v>
      </c>
      <c r="D12" s="23">
        <f>D8*D10</f>
        <v>27335.350993800683</v>
      </c>
      <c r="E12" s="23">
        <f>E10*E8</f>
        <v>2454.1163675842899</v>
      </c>
      <c r="F12" s="23">
        <f>F10*F8</f>
        <v>8040.6359031078528</v>
      </c>
      <c r="G12" s="23"/>
      <c r="H12" s="23"/>
      <c r="I12" s="23"/>
      <c r="J12" s="23">
        <f>J10*J8</f>
        <v>2775.3235437047374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7879</v>
      </c>
      <c r="C18" s="167" t="s">
        <v>111</v>
      </c>
      <c r="D18" s="229"/>
      <c r="E18" s="15"/>
    </row>
    <row r="19" spans="1:7">
      <c r="A19" s="172" t="s">
        <v>72</v>
      </c>
      <c r="B19" s="37">
        <f>aantalw2001_ander</f>
        <v>2</v>
      </c>
      <c r="C19" s="167" t="s">
        <v>111</v>
      </c>
      <c r="D19" s="230"/>
      <c r="E19" s="15"/>
    </row>
    <row r="20" spans="1:7">
      <c r="A20" s="172" t="s">
        <v>73</v>
      </c>
      <c r="B20" s="37">
        <f>aantalw2001_propaan</f>
        <v>295</v>
      </c>
      <c r="C20" s="168">
        <f>IF(ISERROR(B20/SUM($B$20,$B$21,$B$22)*100),0,B20/SUM($B$20,$B$21,$B$22)*100)</f>
        <v>15.300829875518673</v>
      </c>
      <c r="D20" s="230"/>
      <c r="E20" s="15"/>
    </row>
    <row r="21" spans="1:7">
      <c r="A21" s="172" t="s">
        <v>74</v>
      </c>
      <c r="B21" s="37">
        <f>aantalw2001_elektriciteit</f>
        <v>1386</v>
      </c>
      <c r="C21" s="168">
        <f>IF(ISERROR(B21/SUM($B$20,$B$21,$B$22)*100),0,B21/SUM($B$20,$B$21,$B$22)*100)</f>
        <v>71.887966804979257</v>
      </c>
      <c r="D21" s="230"/>
      <c r="E21" s="15"/>
    </row>
    <row r="22" spans="1:7">
      <c r="A22" s="172" t="s">
        <v>75</v>
      </c>
      <c r="B22" s="37">
        <f>aantalw2001_hout</f>
        <v>247</v>
      </c>
      <c r="C22" s="168">
        <f>IF(ISERROR(B22/SUM($B$20,$B$21,$B$22)*100),0,B22/SUM($B$20,$B$21,$B$22)*100)</f>
        <v>12.811203319502074</v>
      </c>
      <c r="D22" s="230"/>
      <c r="E22" s="15"/>
    </row>
    <row r="23" spans="1:7">
      <c r="A23" s="172" t="s">
        <v>76</v>
      </c>
      <c r="B23" s="37">
        <f>aantalw2001_niet_gespec</f>
        <v>262</v>
      </c>
      <c r="C23" s="167" t="s">
        <v>111</v>
      </c>
      <c r="D23" s="229"/>
      <c r="E23" s="15"/>
    </row>
    <row r="24" spans="1:7">
      <c r="A24" s="172" t="s">
        <v>77</v>
      </c>
      <c r="B24" s="37">
        <f>aantalw2001_steenkool</f>
        <v>465</v>
      </c>
      <c r="C24" s="167" t="s">
        <v>111</v>
      </c>
      <c r="D24" s="230"/>
      <c r="E24" s="15"/>
    </row>
    <row r="25" spans="1:7">
      <c r="A25" s="172" t="s">
        <v>78</v>
      </c>
      <c r="B25" s="37">
        <f>aantalw2001_stookolie</f>
        <v>3046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14846</v>
      </c>
      <c r="C28" s="36"/>
      <c r="D28" s="229"/>
    </row>
    <row r="29" spans="1:7" s="15" customFormat="1">
      <c r="A29" s="231" t="s">
        <v>713</v>
      </c>
      <c r="B29" s="37">
        <f>SUM(HH_hh_gas_aantal,HH_rest_gas_aantal)</f>
        <v>9796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9796</v>
      </c>
      <c r="C32" s="168">
        <f>IF(ISERROR(B32/SUM($B$32,$B$34,$B$35,$B$36,$B$38,$B$39)*100),0,B32/SUM($B$32,$B$34,$B$35,$B$36,$B$38,$B$39)*100)</f>
        <v>66.077571669477237</v>
      </c>
      <c r="D32" s="234"/>
      <c r="G32" s="15"/>
    </row>
    <row r="33" spans="1:7">
      <c r="A33" s="172" t="s">
        <v>72</v>
      </c>
      <c r="B33" s="34" t="s">
        <v>111</v>
      </c>
      <c r="C33" s="168"/>
      <c r="D33" s="234"/>
      <c r="G33" s="15"/>
    </row>
    <row r="34" spans="1:7">
      <c r="A34" s="172" t="s">
        <v>73</v>
      </c>
      <c r="B34" s="33">
        <f>IF((($B$28-$B$32-$B$39-$B$77-$B$38)*C20/100)&lt;0,0,($B$28-$B$32-$B$39-$B$77-$B$38)*C20/100)</f>
        <v>525.58350622406647</v>
      </c>
      <c r="C34" s="168">
        <f>IF(ISERROR(B34/SUM($B$32,$B$34,$B$35,$B$36,$B$38,$B$39)*100),0,B34/SUM($B$32,$B$34,$B$35,$B$36,$B$38,$B$39)*100)</f>
        <v>3.5452513067390661</v>
      </c>
      <c r="D34" s="234"/>
      <c r="G34" s="15"/>
    </row>
    <row r="35" spans="1:7">
      <c r="A35" s="172" t="s">
        <v>74</v>
      </c>
      <c r="B35" s="33">
        <f>IF((($B$28-$B$32-$B$39-$B$77-$B$38)*C21/100)&lt;0,0,($B$28-$B$32-$B$39-$B$77-$B$38)*C21/100)</f>
        <v>2469.3516597510375</v>
      </c>
      <c r="C35" s="168">
        <f>IF(ISERROR(B35/SUM($B$32,$B$34,$B$35,$B$36,$B$38,$B$39)*100),0,B35/SUM($B$32,$B$34,$B$35,$B$36,$B$38,$B$39)*100)</f>
        <v>16.656672241153711</v>
      </c>
      <c r="D35" s="234"/>
      <c r="G35" s="15"/>
    </row>
    <row r="36" spans="1:7">
      <c r="A36" s="172" t="s">
        <v>75</v>
      </c>
      <c r="B36" s="33">
        <f>IF((($B$28-$B$32-$B$39-$B$77-$B$38)*C22/100)&lt;0,0,($B$28-$B$32-$B$39-$B$77-$B$38)*C22/100)</f>
        <v>440.06483402489624</v>
      </c>
      <c r="C36" s="168">
        <f>IF(ISERROR(B36/SUM($B$32,$B$34,$B$35,$B$36,$B$38,$B$39)*100),0,B36/SUM($B$32,$B$34,$B$35,$B$36,$B$38,$B$39)*100)</f>
        <v>2.96839685682898</v>
      </c>
      <c r="D36" s="234"/>
      <c r="G36" s="15"/>
    </row>
    <row r="37" spans="1:7">
      <c r="A37" s="172" t="s">
        <v>76</v>
      </c>
      <c r="B37" s="34" t="s">
        <v>111</v>
      </c>
      <c r="C37" s="168"/>
      <c r="D37" s="174"/>
      <c r="G37" s="15"/>
    </row>
    <row r="38" spans="1:7">
      <c r="A38" s="172" t="s">
        <v>77</v>
      </c>
      <c r="B38" s="33">
        <f>IF((B24-(B29-B18)*0.1)&lt;0,0,B24-(B29-B18)*0.1)</f>
        <v>273.29999999999995</v>
      </c>
      <c r="C38" s="168">
        <f>IF(ISERROR(B38/SUM($B$32,$B$34,$B$35,$B$36,$B$38,$B$39)*100),0,B38/SUM($B$32,$B$34,$B$35,$B$36,$B$38,$B$39)*100)</f>
        <v>1.8435075885328838</v>
      </c>
      <c r="D38" s="235"/>
      <c r="G38" s="15"/>
    </row>
    <row r="39" spans="1:7">
      <c r="A39" s="172" t="s">
        <v>78</v>
      </c>
      <c r="B39" s="33">
        <f>IF((B25-(B29-B18))&lt;0,0,B25-(B29-B18)*0.9)</f>
        <v>1320.7</v>
      </c>
      <c r="C39" s="168">
        <f>IF(ISERROR(B39/SUM($B$32,$B$34,$B$35,$B$36,$B$38,$B$39)*100),0,B39/SUM($B$32,$B$34,$B$35,$B$36,$B$38,$B$39)*100)</f>
        <v>8.9086003372681297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9796</v>
      </c>
      <c r="C44" s="34" t="s">
        <v>111</v>
      </c>
      <c r="D44" s="175"/>
    </row>
    <row r="45" spans="1:7">
      <c r="A45" s="172" t="s">
        <v>72</v>
      </c>
      <c r="B45" s="33" t="str">
        <f t="shared" si="0"/>
        <v>-</v>
      </c>
      <c r="C45" s="34" t="s">
        <v>111</v>
      </c>
      <c r="D45" s="175"/>
    </row>
    <row r="46" spans="1:7">
      <c r="A46" s="172" t="s">
        <v>73</v>
      </c>
      <c r="B46" s="33">
        <f t="shared" si="0"/>
        <v>525.58350622406647</v>
      </c>
      <c r="C46" s="34" t="s">
        <v>111</v>
      </c>
      <c r="D46" s="175"/>
    </row>
    <row r="47" spans="1:7">
      <c r="A47" s="172" t="s">
        <v>74</v>
      </c>
      <c r="B47" s="33">
        <f t="shared" si="0"/>
        <v>2469.3516597510375</v>
      </c>
      <c r="C47" s="34" t="s">
        <v>111</v>
      </c>
      <c r="D47" s="175"/>
    </row>
    <row r="48" spans="1:7">
      <c r="A48" s="172" t="s">
        <v>75</v>
      </c>
      <c r="B48" s="33">
        <f t="shared" si="0"/>
        <v>440.06483402489624</v>
      </c>
      <c r="C48" s="33">
        <f>B48*10</f>
        <v>4400.6483402489621</v>
      </c>
      <c r="D48" s="235"/>
    </row>
    <row r="49" spans="1:6">
      <c r="A49" s="172" t="s">
        <v>76</v>
      </c>
      <c r="B49" s="33" t="str">
        <f t="shared" si="0"/>
        <v>-</v>
      </c>
      <c r="C49" s="34" t="s">
        <v>111</v>
      </c>
      <c r="D49" s="235"/>
    </row>
    <row r="50" spans="1:6">
      <c r="A50" s="172" t="s">
        <v>77</v>
      </c>
      <c r="B50" s="33">
        <f t="shared" si="0"/>
        <v>273.29999999999995</v>
      </c>
      <c r="C50" s="33">
        <f>B50*2</f>
        <v>546.59999999999991</v>
      </c>
      <c r="D50" s="235"/>
    </row>
    <row r="51" spans="1:6">
      <c r="A51" s="172" t="s">
        <v>78</v>
      </c>
      <c r="B51" s="33">
        <f t="shared" si="0"/>
        <v>1320.7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78950.504451052184</v>
      </c>
      <c r="C5" s="17">
        <f>IF(ISERROR('Eigen informatie GS &amp; warmtenet'!B58),0,'Eigen informatie GS &amp; warmtenet'!B58)</f>
        <v>0</v>
      </c>
      <c r="D5" s="30">
        <f>SUM(D6:D12)</f>
        <v>79700.202332659581</v>
      </c>
      <c r="E5" s="17">
        <f>SUM(E6:E12)</f>
        <v>1517.0542737994137</v>
      </c>
      <c r="F5" s="17">
        <f>SUM(F6:F12)</f>
        <v>15399.626322272392</v>
      </c>
      <c r="G5" s="18"/>
      <c r="H5" s="17"/>
      <c r="I5" s="17"/>
      <c r="J5" s="17">
        <f>SUM(J6:J12)</f>
        <v>0</v>
      </c>
      <c r="K5" s="17"/>
      <c r="L5" s="17"/>
      <c r="M5" s="17"/>
      <c r="N5" s="17">
        <f>SUM(N6:N12)</f>
        <v>1809.1792163051507</v>
      </c>
      <c r="O5" s="17">
        <f>B38*B39*B40</f>
        <v>3.1266666666666669</v>
      </c>
      <c r="P5" s="17">
        <f>B46*B47*B48/1000-B46*B47*B48/1000/B49</f>
        <v>19.066666666666666</v>
      </c>
      <c r="R5" s="32"/>
    </row>
    <row r="6" spans="1:18">
      <c r="A6" s="32" t="s">
        <v>54</v>
      </c>
      <c r="B6" s="37">
        <f>B26</f>
        <v>23126.449234507698</v>
      </c>
      <c r="C6" s="33"/>
      <c r="D6" s="37">
        <f>IF(ISERROR(TER_kantoor_gas_kWh/1000),0,TER_kantoor_gas_kWh/1000)*0.902</f>
        <v>18036.005874280992</v>
      </c>
      <c r="E6" s="33">
        <f>$C$26*'E Balans VL '!I12/100/3.6*1000000</f>
        <v>809.51669679963072</v>
      </c>
      <c r="F6" s="33">
        <f>$C$26*('E Balans VL '!L12+'E Balans VL '!N12)/100/3.6*1000000</f>
        <v>3506.4662239509821</v>
      </c>
      <c r="G6" s="34"/>
      <c r="H6" s="33"/>
      <c r="I6" s="33"/>
      <c r="J6" s="33">
        <f>$C$26*('E Balans VL '!D12+'E Balans VL '!E12)/100/3.6*1000000</f>
        <v>0</v>
      </c>
      <c r="K6" s="33"/>
      <c r="L6" s="33"/>
      <c r="M6" s="33"/>
      <c r="N6" s="33">
        <f>$C$26*'E Balans VL '!Y12/100/3.6*1000000</f>
        <v>178.76021420334325</v>
      </c>
      <c r="O6" s="33"/>
      <c r="P6" s="33"/>
      <c r="R6" s="32"/>
    </row>
    <row r="7" spans="1:18">
      <c r="A7" s="32" t="s">
        <v>53</v>
      </c>
      <c r="B7" s="37">
        <f t="shared" ref="B7:B12" si="0">B27</f>
        <v>6040.0554563082696</v>
      </c>
      <c r="C7" s="33"/>
      <c r="D7" s="37">
        <f>IF(ISERROR(TER_horeca_gas_kWh/1000),0,TER_horeca_gas_kWh/1000)*0.902</f>
        <v>7353.6923465594446</v>
      </c>
      <c r="E7" s="33">
        <f>$C$27*'E Balans VL '!I9/100/3.6*1000000</f>
        <v>340.73944091378235</v>
      </c>
      <c r="F7" s="33">
        <f>$C$27*('E Balans VL '!L9+'E Balans VL '!N9)/100/3.6*1000000</f>
        <v>1052.2110865849668</v>
      </c>
      <c r="G7" s="34"/>
      <c r="H7" s="33"/>
      <c r="I7" s="33"/>
      <c r="J7" s="33">
        <f>$C$27*('E Balans VL '!D9+'E Balans VL '!E9)/100/3.6*1000000</f>
        <v>0</v>
      </c>
      <c r="K7" s="33"/>
      <c r="L7" s="33"/>
      <c r="M7" s="33"/>
      <c r="N7" s="33">
        <f>$C$27*'E Balans VL '!Y9/100/3.6*1000000</f>
        <v>0</v>
      </c>
      <c r="O7" s="33"/>
      <c r="P7" s="33"/>
      <c r="R7" s="32"/>
    </row>
    <row r="8" spans="1:18">
      <c r="A8" s="6" t="s">
        <v>52</v>
      </c>
      <c r="B8" s="37">
        <f t="shared" si="0"/>
        <v>17869.4880461496</v>
      </c>
      <c r="C8" s="33"/>
      <c r="D8" s="37">
        <f>IF(ISERROR(TER_handel_gas_kWh/1000),0,TER_handel_gas_kWh/1000)*0.902</f>
        <v>11206.591178737915</v>
      </c>
      <c r="E8" s="33">
        <f>$C$28*'E Balans VL '!I13/100/3.6*1000000</f>
        <v>91.740136115277608</v>
      </c>
      <c r="F8" s="33">
        <f>$C$28*('E Balans VL '!L13+'E Balans VL '!N13)/100/3.6*1000000</f>
        <v>2755.1989447818269</v>
      </c>
      <c r="G8" s="34"/>
      <c r="H8" s="33"/>
      <c r="I8" s="33"/>
      <c r="J8" s="33">
        <f>$C$28*('E Balans VL '!D13+'E Balans VL '!E13)/100/3.6*1000000</f>
        <v>0</v>
      </c>
      <c r="K8" s="33"/>
      <c r="L8" s="33"/>
      <c r="M8" s="33"/>
      <c r="N8" s="33">
        <f>$C$28*'E Balans VL '!Y13/100/3.6*1000000</f>
        <v>8.3577776856464094</v>
      </c>
      <c r="O8" s="33"/>
      <c r="P8" s="33"/>
      <c r="R8" s="32"/>
    </row>
    <row r="9" spans="1:18">
      <c r="A9" s="32" t="s">
        <v>51</v>
      </c>
      <c r="B9" s="37">
        <f t="shared" si="0"/>
        <v>14346.423065178898</v>
      </c>
      <c r="C9" s="33"/>
      <c r="D9" s="37">
        <f>IF(ISERROR(TER_gezond_gas_kWh/1000),0,TER_gezond_gas_kWh/1000)*0.902</f>
        <v>21763.988639145962</v>
      </c>
      <c r="E9" s="33">
        <f>$C$29*'E Balans VL '!I10/100/3.6*1000000</f>
        <v>5.9464901889533897</v>
      </c>
      <c r="F9" s="33">
        <f>$C$29*('E Balans VL '!L10+'E Balans VL '!N10)/100/3.6*1000000</f>
        <v>3533.3182458006086</v>
      </c>
      <c r="G9" s="34"/>
      <c r="H9" s="33"/>
      <c r="I9" s="33"/>
      <c r="J9" s="33">
        <f>$C$29*('E Balans VL '!D10+'E Balans VL '!E10)/100/3.6*1000000</f>
        <v>0</v>
      </c>
      <c r="K9" s="33"/>
      <c r="L9" s="33"/>
      <c r="M9" s="33"/>
      <c r="N9" s="33">
        <f>$C$29*'E Balans VL '!Y10/100/3.6*1000000</f>
        <v>123.98860447522554</v>
      </c>
      <c r="O9" s="33"/>
      <c r="P9" s="33"/>
      <c r="R9" s="32"/>
    </row>
    <row r="10" spans="1:18">
      <c r="A10" s="32" t="s">
        <v>50</v>
      </c>
      <c r="B10" s="37">
        <f t="shared" si="0"/>
        <v>5123.1030529522304</v>
      </c>
      <c r="C10" s="33"/>
      <c r="D10" s="37">
        <f>IF(ISERROR(TER_ander_gas_kWh/1000),0,TER_ander_gas_kWh/1000)*0.902</f>
        <v>2999.7192412316708</v>
      </c>
      <c r="E10" s="33">
        <f>$C$30*'E Balans VL '!I14/100/3.6*1000000</f>
        <v>31.230562611568427</v>
      </c>
      <c r="F10" s="33">
        <f>$C$30*('E Balans VL '!L14+'E Balans VL '!N14)/100/3.6*1000000</f>
        <v>1358.2047978887626</v>
      </c>
      <c r="G10" s="34"/>
      <c r="H10" s="33"/>
      <c r="I10" s="33"/>
      <c r="J10" s="33">
        <f>$C$30*('E Balans VL '!D14+'E Balans VL '!E14)/100/3.6*1000000</f>
        <v>0</v>
      </c>
      <c r="K10" s="33"/>
      <c r="L10" s="33"/>
      <c r="M10" s="33"/>
      <c r="N10" s="33">
        <f>$C$30*'E Balans VL '!Y14/100/3.6*1000000</f>
        <v>1180.7645515966569</v>
      </c>
      <c r="O10" s="33"/>
      <c r="P10" s="33"/>
      <c r="R10" s="32"/>
    </row>
    <row r="11" spans="1:18">
      <c r="A11" s="32" t="s">
        <v>55</v>
      </c>
      <c r="B11" s="37">
        <f t="shared" si="0"/>
        <v>1403.3031033129898</v>
      </c>
      <c r="C11" s="33"/>
      <c r="D11" s="37">
        <f>IF(ISERROR(TER_onderwijs_gas_kWh/1000),0,TER_onderwijs_gas_kWh/1000)*0.902</f>
        <v>4858.0058257078563</v>
      </c>
      <c r="E11" s="33">
        <f>$C$31*'E Balans VL '!I11/100/3.6*1000000</f>
        <v>1.0693900354890318</v>
      </c>
      <c r="F11" s="33">
        <f>$C$31*('E Balans VL '!L11+'E Balans VL '!N11)/100/3.6*1000000</f>
        <v>1015.5070297671583</v>
      </c>
      <c r="G11" s="34"/>
      <c r="H11" s="33"/>
      <c r="I11" s="33"/>
      <c r="J11" s="33">
        <f>$C$31*('E Balans VL '!D11+'E Balans VL '!E11)/100/3.6*1000000</f>
        <v>0</v>
      </c>
      <c r="K11" s="33"/>
      <c r="L11" s="33"/>
      <c r="M11" s="33"/>
      <c r="N11" s="33">
        <f>$C$31*'E Balans VL '!Y11/100/3.6*1000000</f>
        <v>4.1358696287937304</v>
      </c>
      <c r="O11" s="33"/>
      <c r="P11" s="33"/>
      <c r="R11" s="32"/>
    </row>
    <row r="12" spans="1:18">
      <c r="A12" s="32" t="s">
        <v>260</v>
      </c>
      <c r="B12" s="37">
        <f t="shared" si="0"/>
        <v>11041.6824926425</v>
      </c>
      <c r="C12" s="33"/>
      <c r="D12" s="37">
        <f>IF(ISERROR(TER_rest_gas_kWh/1000),0,TER_rest_gas_kWh/1000)*0.902</f>
        <v>13482.199226995741</v>
      </c>
      <c r="E12" s="33">
        <f>$C$32*'E Balans VL '!I8/100/3.6*1000000</f>
        <v>236.81155713471213</v>
      </c>
      <c r="F12" s="33">
        <f>$C$32*('E Balans VL '!L8+'E Balans VL '!N8)/100/3.6*1000000</f>
        <v>2178.7199934980854</v>
      </c>
      <c r="G12" s="34"/>
      <c r="H12" s="33"/>
      <c r="I12" s="33"/>
      <c r="J12" s="33">
        <f>$C$32*('E Balans VL '!D8+'E Balans VL '!E8)/100/3.6*1000000</f>
        <v>0</v>
      </c>
      <c r="K12" s="33"/>
      <c r="L12" s="33"/>
      <c r="M12" s="33"/>
      <c r="N12" s="33">
        <f>$C$32*'E Balans VL '!Y8/100/3.6*1000000</f>
        <v>313.17219871548485</v>
      </c>
      <c r="O12" s="33"/>
      <c r="P12" s="33"/>
      <c r="R12" s="32"/>
    </row>
    <row r="13" spans="1:18">
      <c r="A13" s="16" t="s">
        <v>496</v>
      </c>
      <c r="B13" s="248">
        <f ca="1">'lokale energieproductie'!N91+'lokale energieproductie'!N60</f>
        <v>20394</v>
      </c>
      <c r="C13" s="248">
        <f ca="1">'lokale energieproductie'!O91+'lokale energieproductie'!O60</f>
        <v>8614.2857142857138</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-53138.571428571435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99344.504451052184</v>
      </c>
      <c r="C16" s="21">
        <f ca="1">C5+C13+C14</f>
        <v>8614.2857142857138</v>
      </c>
      <c r="D16" s="21">
        <f t="shared" ref="D16:N16" ca="1" si="1">MAX((D5+D13+D14),0)</f>
        <v>79700.202332659581</v>
      </c>
      <c r="E16" s="21">
        <f t="shared" si="1"/>
        <v>1517.0542737994137</v>
      </c>
      <c r="F16" s="21">
        <f t="shared" ca="1" si="1"/>
        <v>15399.626322272392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0.17500509957528843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17385.794893714072</v>
      </c>
      <c r="C20" s="23">
        <f t="shared" ref="C20:P20" ca="1" si="2">C16*C18</f>
        <v>0</v>
      </c>
      <c r="D20" s="23">
        <f t="shared" ca="1" si="2"/>
        <v>16099.440871197236</v>
      </c>
      <c r="E20" s="23">
        <f t="shared" si="2"/>
        <v>344.37132015246692</v>
      </c>
      <c r="F20" s="23">
        <f t="shared" ca="1" si="2"/>
        <v>4111.7002280467286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23126.449234507698</v>
      </c>
      <c r="C26" s="39">
        <f>IF(ISERROR(B26*3.6/1000000/'E Balans VL '!Z12*100),0,B26*3.6/1000000/'E Balans VL '!Z12*100)</f>
        <v>0.48665777181103148</v>
      </c>
      <c r="D26" s="238" t="s">
        <v>719</v>
      </c>
      <c r="F26" s="6"/>
    </row>
    <row r="27" spans="1:18">
      <c r="A27" s="232" t="s">
        <v>53</v>
      </c>
      <c r="B27" s="33">
        <f>IF(ISERROR(TER_horeca_ele_kWh/1000),0,TER_horeca_ele_kWh/1000)</f>
        <v>6040.0554563082696</v>
      </c>
      <c r="C27" s="39">
        <f>IF(ISERROR(B27*3.6/1000000/'E Balans VL '!Z9*100),0,B27*3.6/1000000/'E Balans VL '!Z9*100)</f>
        <v>0.51139452308696409</v>
      </c>
      <c r="D27" s="238" t="s">
        <v>719</v>
      </c>
      <c r="F27" s="6"/>
    </row>
    <row r="28" spans="1:18">
      <c r="A28" s="172" t="s">
        <v>52</v>
      </c>
      <c r="B28" s="33">
        <f>IF(ISERROR(TER_handel_ele_kWh/1000),0,TER_handel_ele_kWh/1000)</f>
        <v>17869.4880461496</v>
      </c>
      <c r="C28" s="39">
        <f>IF(ISERROR(B28*3.6/1000000/'E Balans VL '!Z13*100),0,B28*3.6/1000000/'E Balans VL '!Z13*100)</f>
        <v>0.49471430558189727</v>
      </c>
      <c r="D28" s="238" t="s">
        <v>719</v>
      </c>
      <c r="F28" s="6"/>
    </row>
    <row r="29" spans="1:18">
      <c r="A29" s="232" t="s">
        <v>51</v>
      </c>
      <c r="B29" s="33">
        <f>IF(ISERROR(TER_gezond_ele_kWh/1000),0,TER_gezond_ele_kWh/1000)</f>
        <v>14346.423065178898</v>
      </c>
      <c r="C29" s="39">
        <f>IF(ISERROR(B29*3.6/1000000/'E Balans VL '!Z10*100),0,B29*3.6/1000000/'E Balans VL '!Z10*100)</f>
        <v>1.8648759498301426</v>
      </c>
      <c r="D29" s="238" t="s">
        <v>719</v>
      </c>
      <c r="F29" s="6"/>
    </row>
    <row r="30" spans="1:18">
      <c r="A30" s="232" t="s">
        <v>50</v>
      </c>
      <c r="B30" s="33">
        <f>IF(ISERROR(TER_ander_ele_kWh/1000),0,TER_ander_ele_kWh/1000)</f>
        <v>5123.1030529522304</v>
      </c>
      <c r="C30" s="39">
        <f>IF(ISERROR(B30*3.6/1000000/'E Balans VL '!Z14*100),0,B30*3.6/1000000/'E Balans VL '!Z14*100)</f>
        <v>0.39708746904783015</v>
      </c>
      <c r="D30" s="238" t="s">
        <v>719</v>
      </c>
      <c r="F30" s="6"/>
    </row>
    <row r="31" spans="1:18">
      <c r="A31" s="232" t="s">
        <v>55</v>
      </c>
      <c r="B31" s="33">
        <f>IF(ISERROR(TER_onderwijs_ele_kWh/1000),0,TER_onderwijs_ele_kWh/1000)</f>
        <v>1403.3031033129898</v>
      </c>
      <c r="C31" s="39">
        <f>IF(ISERROR(B31*3.6/1000000/'E Balans VL '!Z11*100),0,B31*3.6/1000000/'E Balans VL '!Z11*100)</f>
        <v>0.26847579544263095</v>
      </c>
      <c r="D31" s="238" t="s">
        <v>719</v>
      </c>
    </row>
    <row r="32" spans="1:18">
      <c r="A32" s="232" t="s">
        <v>260</v>
      </c>
      <c r="B32" s="33">
        <f>IF(ISERROR(TER_rest_ele_kWh/1000),0,TER_rest_ele_kWh/1000)</f>
        <v>11041.6824926425</v>
      </c>
      <c r="C32" s="39">
        <f>IF(ISERROR(B32*3.6/1000000/'E Balans VL '!Z8*100),0,B32*3.6/1000000/'E Balans VL '!Z8*100)</f>
        <v>9.10471512316679E-2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166606.73884490249</v>
      </c>
      <c r="C5" s="17">
        <f>IF(ISERROR('Eigen informatie GS &amp; warmtenet'!B59),0,'Eigen informatie GS &amp; warmtenet'!B59)</f>
        <v>0</v>
      </c>
      <c r="D5" s="30">
        <f>SUM(D6:D15)</f>
        <v>235990.00479420449</v>
      </c>
      <c r="E5" s="17">
        <f>SUM(E6:E15)</f>
        <v>1414.8450413865783</v>
      </c>
      <c r="F5" s="17">
        <f>SUM(F6:F15)</f>
        <v>33550.779321908776</v>
      </c>
      <c r="G5" s="18"/>
      <c r="H5" s="17"/>
      <c r="I5" s="17"/>
      <c r="J5" s="17">
        <f>SUM(J6:J15)</f>
        <v>1524.6218848505193</v>
      </c>
      <c r="K5" s="17"/>
      <c r="L5" s="17"/>
      <c r="M5" s="17"/>
      <c r="N5" s="17">
        <f>SUM(N6:N15)</f>
        <v>2873.8251479710525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47559.757656471702</v>
      </c>
      <c r="C8" s="33"/>
      <c r="D8" s="37">
        <f>IF( ISERROR(IND_metaal_Gas_kWH/1000),0,IND_metaal_Gas_kWH/1000)*0.902</f>
        <v>23478.345216198151</v>
      </c>
      <c r="E8" s="33">
        <f>C30*'E Balans VL '!I18/100/3.6*1000000</f>
        <v>334.19192346749145</v>
      </c>
      <c r="F8" s="33">
        <f>C30*'E Balans VL '!L18/100/3.6*1000000+C30*'E Balans VL '!N18/100/3.6*1000000</f>
        <v>5221.783138710367</v>
      </c>
      <c r="G8" s="34"/>
      <c r="H8" s="33"/>
      <c r="I8" s="33"/>
      <c r="J8" s="40">
        <f>C30*'E Balans VL '!D18/100/3.6*1000000+C30*'E Balans VL '!E18/100/3.6*1000000</f>
        <v>981.26031036336155</v>
      </c>
      <c r="K8" s="33"/>
      <c r="L8" s="33"/>
      <c r="M8" s="33"/>
      <c r="N8" s="33">
        <f>C30*'E Balans VL '!Y18/100/3.6*1000000</f>
        <v>178.25739694652839</v>
      </c>
      <c r="O8" s="33"/>
      <c r="P8" s="33"/>
      <c r="R8" s="32"/>
    </row>
    <row r="9" spans="1:18">
      <c r="A9" s="6" t="s">
        <v>33</v>
      </c>
      <c r="B9" s="37">
        <f t="shared" si="0"/>
        <v>15189.4469499349</v>
      </c>
      <c r="C9" s="33"/>
      <c r="D9" s="37">
        <f>IF( ISERROR(IND_andere_gas_kWh/1000),0,IND_andere_gas_kWh/1000)*0.902</f>
        <v>1691.4323722588094</v>
      </c>
      <c r="E9" s="33">
        <f>C31*'E Balans VL '!I19/100/3.6*1000000</f>
        <v>255.12536919078002</v>
      </c>
      <c r="F9" s="33">
        <f>C31*'E Balans VL '!L19/100/3.6*1000000+C31*'E Balans VL '!N19/100/3.6*1000000</f>
        <v>11874.244499157719</v>
      </c>
      <c r="G9" s="34"/>
      <c r="H9" s="33"/>
      <c r="I9" s="33"/>
      <c r="J9" s="40">
        <f>C31*'E Balans VL '!D19/100/3.6*1000000+C31*'E Balans VL '!E19/100/3.6*1000000</f>
        <v>1.3699540317892747</v>
      </c>
      <c r="K9" s="33"/>
      <c r="L9" s="33"/>
      <c r="M9" s="33"/>
      <c r="N9" s="33">
        <f>C31*'E Balans VL '!Y19/100/3.6*1000000</f>
        <v>1125.7817122124022</v>
      </c>
      <c r="O9" s="33"/>
      <c r="P9" s="33"/>
      <c r="R9" s="32"/>
    </row>
    <row r="10" spans="1:18">
      <c r="A10" s="6" t="s">
        <v>41</v>
      </c>
      <c r="B10" s="37">
        <f t="shared" si="0"/>
        <v>7388.7479980545295</v>
      </c>
      <c r="C10" s="33"/>
      <c r="D10" s="37">
        <f>IF( ISERROR(IND_voed_gas_kWh/1000),0,IND_voed_gas_kWh/1000)*0.902</f>
        <v>8062.056497715078</v>
      </c>
      <c r="E10" s="33">
        <f>C32*'E Balans VL '!I20/100/3.6*1000000</f>
        <v>67.411866340166554</v>
      </c>
      <c r="F10" s="33">
        <f>C32*'E Balans VL '!L20/100/3.6*1000000+C32*'E Balans VL '!N20/100/3.6*1000000</f>
        <v>1192.0361585987509</v>
      </c>
      <c r="G10" s="34"/>
      <c r="H10" s="33"/>
      <c r="I10" s="33"/>
      <c r="J10" s="40">
        <f>C32*'E Balans VL '!D20/100/3.6*1000000+C32*'E Balans VL '!E20/100/3.6*1000000</f>
        <v>30.431708553664699</v>
      </c>
      <c r="K10" s="33"/>
      <c r="L10" s="33"/>
      <c r="M10" s="33"/>
      <c r="N10" s="33">
        <f>C32*'E Balans VL '!Y20/100/3.6*1000000</f>
        <v>108.09155702022302</v>
      </c>
      <c r="O10" s="33"/>
      <c r="P10" s="33"/>
      <c r="R10" s="32"/>
    </row>
    <row r="11" spans="1:18">
      <c r="A11" s="6" t="s">
        <v>40</v>
      </c>
      <c r="B11" s="37">
        <f t="shared" si="0"/>
        <v>233.80405450071601</v>
      </c>
      <c r="C11" s="33"/>
      <c r="D11" s="37">
        <f>IF( ISERROR(IND_textiel_gas_kWh/1000),0,IND_textiel_gas_kWh/1000)*0.902</f>
        <v>349.74994834314555</v>
      </c>
      <c r="E11" s="33">
        <f>C33*'E Balans VL '!I21/100/3.6*1000000</f>
        <v>0.53326367951826648</v>
      </c>
      <c r="F11" s="33">
        <f>C33*'E Balans VL '!L21/100/3.6*1000000+C33*'E Balans VL '!N21/100/3.6*1000000</f>
        <v>4.9977785172364042</v>
      </c>
      <c r="G11" s="34"/>
      <c r="H11" s="33"/>
      <c r="I11" s="33"/>
      <c r="J11" s="40">
        <f>C33*'E Balans VL '!D21/100/3.6*1000000+C33*'E Balans VL '!E21/100/3.6*1000000</f>
        <v>0</v>
      </c>
      <c r="K11" s="33"/>
      <c r="L11" s="33"/>
      <c r="M11" s="33"/>
      <c r="N11" s="33">
        <f>C33*'E Balans VL '!Y21/100/3.6*1000000</f>
        <v>1.6585744202292729</v>
      </c>
      <c r="O11" s="33"/>
      <c r="P11" s="33"/>
      <c r="R11" s="32"/>
    </row>
    <row r="12" spans="1:18">
      <c r="A12" s="6" t="s">
        <v>37</v>
      </c>
      <c r="B12" s="37">
        <f t="shared" si="0"/>
        <v>104.366506493798</v>
      </c>
      <c r="C12" s="33"/>
      <c r="D12" s="37">
        <f>IF( ISERROR(IND_min_gas_kWh/1000),0,IND_min_gas_kWh/1000)*0.902</f>
        <v>240.09616301110674</v>
      </c>
      <c r="E12" s="33">
        <f>C34*'E Balans VL '!I22/100/3.6*1000000</f>
        <v>2.5886286616013705</v>
      </c>
      <c r="F12" s="33">
        <f>C34*'E Balans VL '!L22/100/3.6*1000000+C34*'E Balans VL '!N22/100/3.6*1000000</f>
        <v>11.089940623875417</v>
      </c>
      <c r="G12" s="34"/>
      <c r="H12" s="33"/>
      <c r="I12" s="33"/>
      <c r="J12" s="40">
        <f>C34*'E Balans VL '!D22/100/3.6*1000000+C34*'E Balans VL '!E22/100/3.6*1000000</f>
        <v>0.59286299520595331</v>
      </c>
      <c r="K12" s="33"/>
      <c r="L12" s="33"/>
      <c r="M12" s="33"/>
      <c r="N12" s="33">
        <f>C34*'E Balans VL '!Y22/100/3.6*1000000</f>
        <v>0</v>
      </c>
      <c r="O12" s="33"/>
      <c r="P12" s="33"/>
      <c r="R12" s="32"/>
    </row>
    <row r="13" spans="1:18">
      <c r="A13" s="6" t="s">
        <v>39</v>
      </c>
      <c r="B13" s="37">
        <f t="shared" si="0"/>
        <v>54.7069042863411</v>
      </c>
      <c r="C13" s="33"/>
      <c r="D13" s="37">
        <f>IF( ISERROR(IND_papier_gas_kWh/1000),0,IND_papier_gas_kWh/1000)*0.902</f>
        <v>33.217254007446442</v>
      </c>
      <c r="E13" s="33">
        <f>C35*'E Balans VL '!I23/100/3.6*1000000</f>
        <v>1.6831886725861875</v>
      </c>
      <c r="F13" s="33">
        <f>C35*'E Balans VL '!L23/100/3.6*1000000+C35*'E Balans VL '!N23/100/3.6*1000000</f>
        <v>11.616187673335801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20189.9262820724</v>
      </c>
      <c r="C14" s="33"/>
      <c r="D14" s="37">
        <f>IF( ISERROR(IND_chemie_gas_kWh/1000),0,IND_chemie_gas_kWh/1000)*0.902</f>
        <v>4683.105470881369</v>
      </c>
      <c r="E14" s="33">
        <f>C36*'E Balans VL '!I24/100/3.6*1000000</f>
        <v>68.457756245019951</v>
      </c>
      <c r="F14" s="33">
        <f>C36*'E Balans VL '!L24/100/3.6*1000000+C36*'E Balans VL '!N24/100/3.6*1000000</f>
        <v>64.794365177449109</v>
      </c>
      <c r="G14" s="34"/>
      <c r="H14" s="33"/>
      <c r="I14" s="33"/>
      <c r="J14" s="40">
        <f>C36*'E Balans VL '!D24/100/3.6*1000000+C36*'E Balans VL '!E24/100/3.6*1000000</f>
        <v>0</v>
      </c>
      <c r="K14" s="33"/>
      <c r="L14" s="33"/>
      <c r="M14" s="33"/>
      <c r="N14" s="33">
        <f>C36*'E Balans VL '!Y24/100/3.6*1000000</f>
        <v>94.402623727594161</v>
      </c>
      <c r="O14" s="33"/>
      <c r="P14" s="33"/>
      <c r="R14" s="32"/>
    </row>
    <row r="15" spans="1:18">
      <c r="A15" s="6" t="s">
        <v>270</v>
      </c>
      <c r="B15" s="37">
        <f t="shared" si="0"/>
        <v>75885.9824930881</v>
      </c>
      <c r="C15" s="33"/>
      <c r="D15" s="37">
        <f>IF( ISERROR(IND_rest_gas_kWh/1000),0,IND_rest_gas_kWh/1000)*0.902</f>
        <v>197452.0018717894</v>
      </c>
      <c r="E15" s="33">
        <f>C37*'E Balans VL '!I15/100/3.6*1000000</f>
        <v>684.85304512941445</v>
      </c>
      <c r="F15" s="33">
        <f>C37*'E Balans VL '!L15/100/3.6*1000000+C37*'E Balans VL '!N15/100/3.6*1000000</f>
        <v>15170.217253450046</v>
      </c>
      <c r="G15" s="34"/>
      <c r="H15" s="33"/>
      <c r="I15" s="33"/>
      <c r="J15" s="40">
        <f>C37*'E Balans VL '!D15/100/3.6*1000000+C37*'E Balans VL '!E15/100/3.6*1000000</f>
        <v>510.96704890649795</v>
      </c>
      <c r="K15" s="33"/>
      <c r="L15" s="33"/>
      <c r="M15" s="33"/>
      <c r="N15" s="33">
        <f>C37*'E Balans VL '!Y15/100/3.6*1000000</f>
        <v>1365.6332836440756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166606.73884490249</v>
      </c>
      <c r="C18" s="21">
        <f>C5+C16</f>
        <v>0</v>
      </c>
      <c r="D18" s="21">
        <f>MAX((D5+D16),0)</f>
        <v>235990.00479420449</v>
      </c>
      <c r="E18" s="21">
        <f>MAX((E5+E16),0)</f>
        <v>1414.8450413865783</v>
      </c>
      <c r="F18" s="21">
        <f>MAX((F5+F16),0)</f>
        <v>33550.779321908776</v>
      </c>
      <c r="G18" s="21"/>
      <c r="H18" s="21"/>
      <c r="I18" s="21"/>
      <c r="J18" s="21">
        <f>MAX((J5+J16),0)</f>
        <v>1524.6218848505193</v>
      </c>
      <c r="K18" s="21"/>
      <c r="L18" s="21">
        <f>MAX((L5+L16),0)</f>
        <v>0</v>
      </c>
      <c r="M18" s="21"/>
      <c r="N18" s="21">
        <f>MAX((N5+N16),0)</f>
        <v>2873.8251479710525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0.17500509957528843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29157.028921466233</v>
      </c>
      <c r="C22" s="23">
        <f ca="1">C18*C20</f>
        <v>0</v>
      </c>
      <c r="D22" s="23">
        <f>D18*D20</f>
        <v>47669.980968429307</v>
      </c>
      <c r="E22" s="23">
        <f>E18*E20</f>
        <v>321.16982439475328</v>
      </c>
      <c r="F22" s="23">
        <f>F18*F20</f>
        <v>8958.0580789496435</v>
      </c>
      <c r="G22" s="23"/>
      <c r="H22" s="23"/>
      <c r="I22" s="23"/>
      <c r="J22" s="23">
        <f>J18*J20</f>
        <v>539.71614723708376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47559.757656471702</v>
      </c>
      <c r="C30" s="39">
        <f>IF(ISERROR(B30*3.6/1000000/'E Balans VL '!Z18*100),0,B30*3.6/1000000/'E Balans VL '!Z18*100)</f>
        <v>3.1660821096130496</v>
      </c>
      <c r="D30" s="238" t="s">
        <v>719</v>
      </c>
    </row>
    <row r="31" spans="1:18">
      <c r="A31" s="6" t="s">
        <v>33</v>
      </c>
      <c r="B31" s="37">
        <f>IF( ISERROR(IND_ander_ele_kWh/1000),0,IND_ander_ele_kWh/1000)</f>
        <v>15189.4469499349</v>
      </c>
      <c r="C31" s="39">
        <f>IF(ISERROR(B31*3.6/1000000/'E Balans VL '!Z19*100),0,B31*3.6/1000000/'E Balans VL '!Z19*100)</f>
        <v>0.67328798831964343</v>
      </c>
      <c r="D31" s="238" t="s">
        <v>719</v>
      </c>
    </row>
    <row r="32" spans="1:18">
      <c r="A32" s="172" t="s">
        <v>41</v>
      </c>
      <c r="B32" s="37">
        <f>IF( ISERROR(IND_voed_ele_kWh/1000),0,IND_voed_ele_kWh/1000)</f>
        <v>7388.7479980545295</v>
      </c>
      <c r="C32" s="39">
        <f>IF(ISERROR(B32*3.6/1000000/'E Balans VL '!Z20*100),0,B32*3.6/1000000/'E Balans VL '!Z20*100)</f>
        <v>0.24680537870978422</v>
      </c>
      <c r="D32" s="238" t="s">
        <v>719</v>
      </c>
    </row>
    <row r="33" spans="1:5">
      <c r="A33" s="172" t="s">
        <v>40</v>
      </c>
      <c r="B33" s="37">
        <f>IF( ISERROR(IND_textiel_ele_kWh/1000),0,IND_textiel_ele_kWh/1000)</f>
        <v>233.80405450071601</v>
      </c>
      <c r="C33" s="39">
        <f>IF(ISERROR(B33*3.6/1000000/'E Balans VL '!Z21*100),0,B33*3.6/1000000/'E Balans VL '!Z21*100)</f>
        <v>3.0780842936516051E-2</v>
      </c>
      <c r="D33" s="238" t="s">
        <v>719</v>
      </c>
    </row>
    <row r="34" spans="1:5">
      <c r="A34" s="172" t="s">
        <v>37</v>
      </c>
      <c r="B34" s="37">
        <f>IF( ISERROR(IND_min_ele_kWh/1000),0,IND_min_ele_kWh/1000)</f>
        <v>104.366506493798</v>
      </c>
      <c r="C34" s="39">
        <f>IF(ISERROR(B34*3.6/1000000/'E Balans VL '!Z22*100),0,B34*3.6/1000000/'E Balans VL '!Z22*100)</f>
        <v>2.0298139112135245E-2</v>
      </c>
      <c r="D34" s="238" t="s">
        <v>719</v>
      </c>
    </row>
    <row r="35" spans="1:5">
      <c r="A35" s="172" t="s">
        <v>39</v>
      </c>
      <c r="B35" s="37">
        <f>IF( ISERROR(IND_papier_ele_kWh/1000),0,IND_papier_ele_kWh/1000)</f>
        <v>54.7069042863411</v>
      </c>
      <c r="C35" s="39">
        <f>IF(ISERROR(B35*3.6/1000000/'E Balans VL '!Z22*100),0,B35*3.6/1000000/'E Balans VL '!Z22*100)</f>
        <v>1.0639891962508186E-2</v>
      </c>
      <c r="D35" s="238" t="s">
        <v>719</v>
      </c>
    </row>
    <row r="36" spans="1:5">
      <c r="A36" s="172" t="s">
        <v>34</v>
      </c>
      <c r="B36" s="37">
        <f>IF( ISERROR(IND_chemie_ele_kWh/1000),0,IND_chemie_ele_kWh/1000)</f>
        <v>20189.9262820724</v>
      </c>
      <c r="C36" s="39">
        <f>IF(ISERROR(B36*3.6/1000000/'E Balans VL '!Z24*100),0,B36*3.6/1000000/'E Balans VL '!Z24*100)</f>
        <v>0.47411384861808603</v>
      </c>
      <c r="D36" s="238" t="s">
        <v>719</v>
      </c>
    </row>
    <row r="37" spans="1:5">
      <c r="A37" s="172" t="s">
        <v>270</v>
      </c>
      <c r="B37" s="37">
        <f>IF( ISERROR(IND_rest_ele_kWh/1000),0,IND_rest_ele_kWh/1000)</f>
        <v>75885.9824930881</v>
      </c>
      <c r="C37" s="39">
        <f>IF(ISERROR(B37*3.6/1000000/'E Balans VL '!Z15*100),0,B37*3.6/1000000/'E Balans VL '!Z15*100)</f>
        <v>0.56446808090797662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9796.912704136379</v>
      </c>
      <c r="C5" s="17">
        <f>'Eigen informatie GS &amp; warmtenet'!B60</f>
        <v>0</v>
      </c>
      <c r="D5" s="30">
        <f>IF(ISERROR(SUM(LB_lb_gas_kWh,LB_rest_gas_kWh)/1000),0,SUM(LB_lb_gas_kWh,LB_rest_gas_kWh)/1000)*0.902</f>
        <v>587.23872183432695</v>
      </c>
      <c r="E5" s="17">
        <f>B17*'E Balans VL '!I25/3.6*1000000/100</f>
        <v>102.59539078282496</v>
      </c>
      <c r="F5" s="17">
        <f>B17*('E Balans VL '!L25/3.6*1000000+'E Balans VL '!N25/3.6*1000000)/100</f>
        <v>41938.23044639187</v>
      </c>
      <c r="G5" s="18"/>
      <c r="H5" s="17"/>
      <c r="I5" s="17"/>
      <c r="J5" s="17">
        <f>('E Balans VL '!D25+'E Balans VL '!E25)/3.6*1000000*landbouw!B17/100</f>
        <v>874.95211570597542</v>
      </c>
      <c r="K5" s="17"/>
      <c r="L5" s="17">
        <f>L6*(-1)</f>
        <v>0</v>
      </c>
      <c r="M5" s="17"/>
      <c r="N5" s="17">
        <f>N6*(-1)</f>
        <v>26807.142857142859</v>
      </c>
      <c r="O5" s="17"/>
      <c r="P5" s="17"/>
      <c r="R5" s="32"/>
    </row>
    <row r="6" spans="1:18">
      <c r="A6" s="16" t="s">
        <v>496</v>
      </c>
      <c r="B6" s="17" t="s">
        <v>211</v>
      </c>
      <c r="C6" s="17">
        <f>'lokale energieproductie'!O92+'lokale energieproductie'!O61</f>
        <v>13403.571428571429</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-26807.142857142859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9796.912704136379</v>
      </c>
      <c r="C8" s="21">
        <f>C5+C6</f>
        <v>13403.571428571429</v>
      </c>
      <c r="D8" s="21">
        <f>MAX((D5+D6),0)</f>
        <v>587.23872183432695</v>
      </c>
      <c r="E8" s="21">
        <f>MAX((E5+E6),0)</f>
        <v>102.59539078282496</v>
      </c>
      <c r="F8" s="21">
        <f>MAX((F5+F6),0)</f>
        <v>41938.23044639187</v>
      </c>
      <c r="G8" s="21"/>
      <c r="H8" s="21"/>
      <c r="I8" s="21"/>
      <c r="J8" s="21">
        <f>MAX((J5+J6),0)</f>
        <v>874.95211570597542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0.17500509957528843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1714.5096833177952</v>
      </c>
      <c r="C12" s="23">
        <f ca="1">C8*C10</f>
        <v>0</v>
      </c>
      <c r="D12" s="23">
        <f>D8*D10</f>
        <v>118.62222181053406</v>
      </c>
      <c r="E12" s="23">
        <f>E8*E10</f>
        <v>23.289153707701267</v>
      </c>
      <c r="F12" s="23">
        <f>F8*F10</f>
        <v>11197.507529186631</v>
      </c>
      <c r="G12" s="23"/>
      <c r="H12" s="23"/>
      <c r="I12" s="23"/>
      <c r="J12" s="23">
        <f>J8*J10</f>
        <v>309.73304895991527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1.5079339805300023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1500.8636091086983</v>
      </c>
      <c r="C26" s="248">
        <f>B26*'GWP N2O_CH4'!B5</f>
        <v>31518.135791282664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950.8691811079608</v>
      </c>
      <c r="C27" s="248">
        <f>B27*'GWP N2O_CH4'!B5</f>
        <v>19968.252803267176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21.044001600400254</v>
      </c>
      <c r="C28" s="248">
        <f>B28*'GWP N2O_CH4'!B4</f>
        <v>6523.6404961240787</v>
      </c>
      <c r="D28" s="50"/>
    </row>
    <row r="29" spans="1:4">
      <c r="A29" s="41" t="s">
        <v>277</v>
      </c>
      <c r="B29" s="248">
        <f>B34*'ha_N2O bodem landbouw'!B4</f>
        <v>82.665009017051574</v>
      </c>
      <c r="C29" s="248">
        <f>B29*'GWP N2O_CH4'!B4</f>
        <v>25626.152795285987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1.3661478437226785E-2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6.4876434304012299E-6</v>
      </c>
      <c r="C5" s="446" t="s">
        <v>211</v>
      </c>
      <c r="D5" s="431">
        <f>SUM(D6:D11)</f>
        <v>3.1815233568019546E-5</v>
      </c>
      <c r="E5" s="431">
        <f>SUM(E6:E11)</f>
        <v>3.2554187403604881E-3</v>
      </c>
      <c r="F5" s="444" t="s">
        <v>211</v>
      </c>
      <c r="G5" s="431">
        <f>SUM(G6:G11)</f>
        <v>0.65213682140255835</v>
      </c>
      <c r="H5" s="431">
        <f>SUM(H6:H11)</f>
        <v>0.10612918394973224</v>
      </c>
      <c r="I5" s="446" t="s">
        <v>211</v>
      </c>
      <c r="J5" s="446" t="s">
        <v>211</v>
      </c>
      <c r="K5" s="446" t="s">
        <v>211</v>
      </c>
      <c r="L5" s="446" t="s">
        <v>211</v>
      </c>
      <c r="M5" s="431">
        <f>SUM(M6:M11)</f>
        <v>3.3070840788170748E-2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5.1740953120616531E-6</v>
      </c>
      <c r="C6" s="432"/>
      <c r="D6" s="432">
        <f>vkm_2011_GW_PW*SUMIFS(TableVerdeelsleutelVkm[CNG],TableVerdeelsleutelVkm[Voertuigtype],"Lichte voertuigen")*SUMIFS(TableECFTransport[EnergieConsumptieFactor (PJ per km)],TableECFTransport[Index],CONCATENATE($A6,"_CNG_CNG"))</f>
        <v>2.2304923454122759E-5</v>
      </c>
      <c r="E6" s="434">
        <f>vkm_2011_GW_PW*SUMIFS(TableVerdeelsleutelVkm[LPG],TableVerdeelsleutelVkm[Voertuigtype],"Lichte voertuigen")*SUMIFS(TableECFTransport[EnergieConsumptieFactor (PJ per km)],TableECFTransport[Index],CONCATENATE($A6,"_LPG_LPG"))</f>
        <v>2.3206904252635954E-3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0.28545129324984891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7.5153410099805626E-2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1.5803426905981278E-2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0.21709882640224323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7.444017909437213E-5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9.3782625279149549E-3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1.1150903975222478E-6</v>
      </c>
      <c r="C8" s="432"/>
      <c r="D8" s="434">
        <f>vkm_2011_NGW_PW*SUMIFS(TableVerdeelsleutelVkm[CNG],TableVerdeelsleutelVkm[Voertuigtype],"Lichte voertuigen")*SUMIFS(TableECFTransport[EnergieConsumptieFactor (PJ per km)],TableECFTransport[Index],CONCATENATE($A8,"_CNG_CNG"))</f>
        <v>8.6239200885473694E-6</v>
      </c>
      <c r="E8" s="434">
        <f>vkm_2011_NGW_PW*SUMIFS(TableVerdeelsleutelVkm[LPG],TableVerdeelsleutelVkm[Voertuigtype],"Lichte voertuigen")*SUMIFS(TableECFTransport[EnergieConsumptieFactor (PJ per km)],TableECFTransport[Index],CONCATENATE($A8,"_LPG_LPG"))</f>
        <v>8.1927038037367254E-4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9.5580427310108684E-2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2.7737009959501385E-2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5.4106398799336278E-3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2.9560729231072665E-2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8.8053646456861331E-6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1.2769065549984335E-3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1.984577208173292E-7</v>
      </c>
      <c r="C10" s="432"/>
      <c r="D10" s="434">
        <f>vkm_2011_SW_PW*SUMIFS(TableVerdeelsleutelVkm[CNG],TableVerdeelsleutelVkm[Voertuigtype],"Lichte voertuigen")*SUMIFS(TableECFTransport[EnergieConsumptieFactor (PJ per km)],TableECFTransport[Index],CONCATENATE($A10,"_CNG_CNG"))</f>
        <v>8.863900253494171E-7</v>
      </c>
      <c r="E10" s="434">
        <f>vkm_2011_SW_PW*SUMIFS(TableVerdeelsleutelVkm[LPG],TableVerdeelsleutelVkm[Voertuigtype],"Lichte voertuigen")*SUMIFS(TableECFTransport[EnergieConsumptieFactor (PJ per km)],TableECFTransport[Index],CONCATENATE($A10,"_LPG_LPG"))</f>
        <v>1.1545793472322E-4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1.3056144950330001E-2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3.1513515848679697E-3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7.0959207008193699E-4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1.1389400258954688E-2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4.1667618171908318E-6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4.9201284926052324E-4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1.8021231751114528</v>
      </c>
      <c r="C14" s="21"/>
      <c r="D14" s="21">
        <f t="shared" ref="D14:M14" si="0">((D5)*10^9/3600)+D12</f>
        <v>8.8375648800054289</v>
      </c>
      <c r="E14" s="21">
        <f t="shared" si="0"/>
        <v>904.28298343346898</v>
      </c>
      <c r="F14" s="21"/>
      <c r="G14" s="21">
        <f t="shared" si="0"/>
        <v>181149.1170562662</v>
      </c>
      <c r="H14" s="21">
        <f t="shared" si="0"/>
        <v>29480.328874925624</v>
      </c>
      <c r="I14" s="21"/>
      <c r="J14" s="21"/>
      <c r="K14" s="21"/>
      <c r="L14" s="21"/>
      <c r="M14" s="21">
        <f t="shared" si="0"/>
        <v>9186.3446633807634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0.17500509957528843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0.31538074570731472</v>
      </c>
      <c r="C18" s="23"/>
      <c r="D18" s="23">
        <f t="shared" ref="D18:M18" si="1">D14*D16</f>
        <v>1.7851881057610968</v>
      </c>
      <c r="E18" s="23">
        <f t="shared" si="1"/>
        <v>205.27223723939747</v>
      </c>
      <c r="F18" s="23"/>
      <c r="G18" s="23">
        <f t="shared" si="1"/>
        <v>48366.814254023077</v>
      </c>
      <c r="H18" s="23">
        <f t="shared" si="1"/>
        <v>7340.6018898564807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1.4375026260429051E-2</v>
      </c>
      <c r="H50" s="322">
        <f t="shared" si="2"/>
        <v>0</v>
      </c>
      <c r="I50" s="322">
        <f t="shared" si="2"/>
        <v>0</v>
      </c>
      <c r="J50" s="322">
        <f t="shared" si="2"/>
        <v>0</v>
      </c>
      <c r="K50" s="322">
        <f t="shared" si="2"/>
        <v>0</v>
      </c>
      <c r="L50" s="322">
        <f t="shared" si="2"/>
        <v>0</v>
      </c>
      <c r="M50" s="322">
        <f t="shared" si="2"/>
        <v>6.1274491751735487E-4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1.4375026260429051E-2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6.1274491751735487E-4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3993.0628501191809</v>
      </c>
      <c r="H54" s="21">
        <f t="shared" si="3"/>
        <v>0</v>
      </c>
      <c r="I54" s="21">
        <f t="shared" si="3"/>
        <v>0</v>
      </c>
      <c r="J54" s="21">
        <f t="shared" si="3"/>
        <v>0</v>
      </c>
      <c r="K54" s="21">
        <f t="shared" si="3"/>
        <v>0</v>
      </c>
      <c r="L54" s="21">
        <f t="shared" si="3"/>
        <v>0</v>
      </c>
      <c r="M54" s="21">
        <f t="shared" si="3"/>
        <v>170.20692153259856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0.17500509957528843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1066.1477809818214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102564.67845105218</v>
      </c>
      <c r="D10" s="687">
        <f ca="1">tertiair!C16</f>
        <v>8614.2857142857138</v>
      </c>
      <c r="E10" s="687">
        <f ca="1">tertiair!D16</f>
        <v>79700.202332659581</v>
      </c>
      <c r="F10" s="687">
        <f>tertiair!E16</f>
        <v>1517.0542737994137</v>
      </c>
      <c r="G10" s="687">
        <f ca="1">tertiair!F16</f>
        <v>15399.626322272392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207818.04042740262</v>
      </c>
      <c r="S10" s="67"/>
    </row>
    <row r="11" spans="1:19" s="456" customFormat="1">
      <c r="A11" s="802" t="s">
        <v>225</v>
      </c>
      <c r="B11" s="807"/>
      <c r="C11" s="687">
        <f>huishoudens!B8</f>
        <v>58681.419414044627</v>
      </c>
      <c r="D11" s="687">
        <f>huishoudens!C8</f>
        <v>0</v>
      </c>
      <c r="E11" s="687">
        <f>huishoudens!D8</f>
        <v>135323.51977129051</v>
      </c>
      <c r="F11" s="687">
        <f>huishoudens!E8</f>
        <v>10811.08531975458</v>
      </c>
      <c r="G11" s="687">
        <f>huishoudens!F8</f>
        <v>30114.741210141769</v>
      </c>
      <c r="H11" s="687">
        <f>huishoudens!G8</f>
        <v>0</v>
      </c>
      <c r="I11" s="687">
        <f>huishoudens!H8</f>
        <v>0</v>
      </c>
      <c r="J11" s="687">
        <f>huishoudens!I8</f>
        <v>0</v>
      </c>
      <c r="K11" s="687">
        <f>huishoudens!J8</f>
        <v>7839.8970161150783</v>
      </c>
      <c r="L11" s="687">
        <f>huishoudens!K8</f>
        <v>0</v>
      </c>
      <c r="M11" s="687">
        <f>huishoudens!L8</f>
        <v>0</v>
      </c>
      <c r="N11" s="687">
        <f>huishoudens!M8</f>
        <v>0</v>
      </c>
      <c r="O11" s="687">
        <f>huishoudens!N8</f>
        <v>26190.520708148408</v>
      </c>
      <c r="P11" s="687">
        <f>huishoudens!O8</f>
        <v>164.15</v>
      </c>
      <c r="Q11" s="688">
        <f>huishoudens!P8</f>
        <v>400.4</v>
      </c>
      <c r="R11" s="690">
        <f>SUM(C11:Q11)</f>
        <v>269525.73343949503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166606.73884490249</v>
      </c>
      <c r="D13" s="687">
        <f>industrie!C18</f>
        <v>0</v>
      </c>
      <c r="E13" s="687">
        <f>industrie!D18</f>
        <v>235990.00479420449</v>
      </c>
      <c r="F13" s="687">
        <f>industrie!E18</f>
        <v>1414.8450413865783</v>
      </c>
      <c r="G13" s="687">
        <f>industrie!F18</f>
        <v>33550.779321908776</v>
      </c>
      <c r="H13" s="687">
        <f>industrie!G18</f>
        <v>0</v>
      </c>
      <c r="I13" s="687">
        <f>industrie!H18</f>
        <v>0</v>
      </c>
      <c r="J13" s="687">
        <f>industrie!I18</f>
        <v>0</v>
      </c>
      <c r="K13" s="687">
        <f>industrie!J18</f>
        <v>1524.6218848505193</v>
      </c>
      <c r="L13" s="687">
        <f>industrie!K18</f>
        <v>0</v>
      </c>
      <c r="M13" s="687">
        <f>industrie!L18</f>
        <v>0</v>
      </c>
      <c r="N13" s="687">
        <f>industrie!M18</f>
        <v>0</v>
      </c>
      <c r="O13" s="687">
        <f>industrie!N18</f>
        <v>2873.8251479710525</v>
      </c>
      <c r="P13" s="687">
        <f>industrie!O18</f>
        <v>0</v>
      </c>
      <c r="Q13" s="688">
        <f>industrie!P18</f>
        <v>0</v>
      </c>
      <c r="R13" s="690">
        <f>SUM(C13:Q13)</f>
        <v>441960.81503522384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327852.8367099993</v>
      </c>
      <c r="D16" s="720">
        <f t="shared" ref="D16:R16" ca="1" si="0">SUM(D9:D15)</f>
        <v>8614.2857142857138</v>
      </c>
      <c r="E16" s="720">
        <f t="shared" ca="1" si="0"/>
        <v>451013.72689815459</v>
      </c>
      <c r="F16" s="720">
        <f t="shared" si="0"/>
        <v>13742.984634940573</v>
      </c>
      <c r="G16" s="720">
        <f t="shared" ca="1" si="0"/>
        <v>79065.146854322928</v>
      </c>
      <c r="H16" s="720">
        <f t="shared" si="0"/>
        <v>0</v>
      </c>
      <c r="I16" s="720">
        <f t="shared" si="0"/>
        <v>0</v>
      </c>
      <c r="J16" s="720">
        <f t="shared" si="0"/>
        <v>0</v>
      </c>
      <c r="K16" s="720">
        <f t="shared" si="0"/>
        <v>9364.5189009655969</v>
      </c>
      <c r="L16" s="720">
        <f t="shared" si="0"/>
        <v>0</v>
      </c>
      <c r="M16" s="720">
        <f t="shared" ca="1" si="0"/>
        <v>0</v>
      </c>
      <c r="N16" s="720">
        <f t="shared" si="0"/>
        <v>0</v>
      </c>
      <c r="O16" s="720">
        <f t="shared" ca="1" si="0"/>
        <v>29064.34585611946</v>
      </c>
      <c r="P16" s="720">
        <f t="shared" si="0"/>
        <v>167.27666666666667</v>
      </c>
      <c r="Q16" s="720">
        <f t="shared" si="0"/>
        <v>419.46666666666664</v>
      </c>
      <c r="R16" s="720">
        <f t="shared" ca="1" si="0"/>
        <v>919304.58890212153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3993.0628501191809</v>
      </c>
      <c r="I19" s="687">
        <f>transport!H54</f>
        <v>0</v>
      </c>
      <c r="J19" s="687">
        <f>transport!I54</f>
        <v>0</v>
      </c>
      <c r="K19" s="687">
        <f>transport!J54</f>
        <v>0</v>
      </c>
      <c r="L19" s="687">
        <f>transport!K54</f>
        <v>0</v>
      </c>
      <c r="M19" s="687">
        <f>transport!L54</f>
        <v>0</v>
      </c>
      <c r="N19" s="687">
        <f>transport!M54</f>
        <v>170.20692153259856</v>
      </c>
      <c r="O19" s="687">
        <f>transport!N54</f>
        <v>0</v>
      </c>
      <c r="P19" s="687">
        <f>transport!O54</f>
        <v>0</v>
      </c>
      <c r="Q19" s="688">
        <f>transport!P54</f>
        <v>0</v>
      </c>
      <c r="R19" s="690">
        <f>SUM(C19:Q19)</f>
        <v>4163.2697716517796</v>
      </c>
      <c r="S19" s="67"/>
    </row>
    <row r="20" spans="1:19" s="456" customFormat="1">
      <c r="A20" s="802" t="s">
        <v>307</v>
      </c>
      <c r="B20" s="807"/>
      <c r="C20" s="687">
        <f>transport!B14</f>
        <v>1.8021231751114528</v>
      </c>
      <c r="D20" s="687">
        <f>transport!C14</f>
        <v>0</v>
      </c>
      <c r="E20" s="687">
        <f>transport!D14</f>
        <v>8.8375648800054289</v>
      </c>
      <c r="F20" s="687">
        <f>transport!E14</f>
        <v>904.28298343346898</v>
      </c>
      <c r="G20" s="687">
        <f>transport!F14</f>
        <v>0</v>
      </c>
      <c r="H20" s="687">
        <f>transport!G14</f>
        <v>181149.1170562662</v>
      </c>
      <c r="I20" s="687">
        <f>transport!H14</f>
        <v>29480.328874925624</v>
      </c>
      <c r="J20" s="687">
        <f>transport!I14</f>
        <v>0</v>
      </c>
      <c r="K20" s="687">
        <f>transport!J14</f>
        <v>0</v>
      </c>
      <c r="L20" s="687">
        <f>transport!K14</f>
        <v>0</v>
      </c>
      <c r="M20" s="687">
        <f>transport!L14</f>
        <v>0</v>
      </c>
      <c r="N20" s="687">
        <f>transport!M14</f>
        <v>9186.3446633807634</v>
      </c>
      <c r="O20" s="687">
        <f>transport!N14</f>
        <v>0</v>
      </c>
      <c r="P20" s="687">
        <f>transport!O14</f>
        <v>0</v>
      </c>
      <c r="Q20" s="688">
        <f>transport!P14</f>
        <v>0</v>
      </c>
      <c r="R20" s="690">
        <f>SUM(C20:Q20)</f>
        <v>220730.71326606115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1.8021231751114528</v>
      </c>
      <c r="D22" s="805">
        <f t="shared" ref="D22:R22" si="1">SUM(D18:D21)</f>
        <v>0</v>
      </c>
      <c r="E22" s="805">
        <f t="shared" si="1"/>
        <v>8.8375648800054289</v>
      </c>
      <c r="F22" s="805">
        <f t="shared" si="1"/>
        <v>904.28298343346898</v>
      </c>
      <c r="G22" s="805">
        <f t="shared" si="1"/>
        <v>0</v>
      </c>
      <c r="H22" s="805">
        <f t="shared" si="1"/>
        <v>185142.17990638537</v>
      </c>
      <c r="I22" s="805">
        <f t="shared" si="1"/>
        <v>29480.328874925624</v>
      </c>
      <c r="J22" s="805">
        <f t="shared" si="1"/>
        <v>0</v>
      </c>
      <c r="K22" s="805">
        <f t="shared" si="1"/>
        <v>0</v>
      </c>
      <c r="L22" s="805">
        <f t="shared" si="1"/>
        <v>0</v>
      </c>
      <c r="M22" s="805">
        <f t="shared" si="1"/>
        <v>0</v>
      </c>
      <c r="N22" s="805">
        <f t="shared" si="1"/>
        <v>9356.5515849133626</v>
      </c>
      <c r="O22" s="805">
        <f t="shared" si="1"/>
        <v>0</v>
      </c>
      <c r="P22" s="805">
        <f t="shared" si="1"/>
        <v>0</v>
      </c>
      <c r="Q22" s="805">
        <f t="shared" si="1"/>
        <v>0</v>
      </c>
      <c r="R22" s="805">
        <f t="shared" si="1"/>
        <v>224893.98303771293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9796.912704136379</v>
      </c>
      <c r="D24" s="687">
        <f>+landbouw!C8</f>
        <v>13403.571428571429</v>
      </c>
      <c r="E24" s="687">
        <f>+landbouw!D8</f>
        <v>587.23872183432695</v>
      </c>
      <c r="F24" s="687">
        <f>+landbouw!E8</f>
        <v>102.59539078282496</v>
      </c>
      <c r="G24" s="687">
        <f>+landbouw!F8</f>
        <v>41938.23044639187</v>
      </c>
      <c r="H24" s="687">
        <f>+landbouw!G8</f>
        <v>0</v>
      </c>
      <c r="I24" s="687">
        <f>+landbouw!H8</f>
        <v>0</v>
      </c>
      <c r="J24" s="687">
        <f>+landbouw!I8</f>
        <v>0</v>
      </c>
      <c r="K24" s="687">
        <f>+landbouw!J8</f>
        <v>874.95211570597542</v>
      </c>
      <c r="L24" s="687">
        <f>+landbouw!K8</f>
        <v>0</v>
      </c>
      <c r="M24" s="687">
        <f>+landbouw!L8</f>
        <v>0</v>
      </c>
      <c r="N24" s="687">
        <f>+landbouw!M8</f>
        <v>0</v>
      </c>
      <c r="O24" s="687">
        <f>+landbouw!N8</f>
        <v>0</v>
      </c>
      <c r="P24" s="687">
        <f>+landbouw!O8</f>
        <v>0</v>
      </c>
      <c r="Q24" s="688">
        <f>+landbouw!P8</f>
        <v>0</v>
      </c>
      <c r="R24" s="690">
        <f>SUM(C24:Q24)</f>
        <v>66703.50080742281</v>
      </c>
      <c r="S24" s="67"/>
    </row>
    <row r="25" spans="1:19" s="456" customFormat="1" ht="15" thickBot="1">
      <c r="A25" s="824" t="s">
        <v>925</v>
      </c>
      <c r="B25" s="988"/>
      <c r="C25" s="989">
        <f>IF(Onbekend_ele_kWh="---",0,Onbekend_ele_kWh)/1000+IF(REST_rest_ele_kWh="---",0,REST_rest_ele_kWh)/1000</f>
        <v>4632.5277159819298</v>
      </c>
      <c r="D25" s="989"/>
      <c r="E25" s="989">
        <f>IF(onbekend_gas_kWh="---",0,onbekend_gas_kWh)/1000+IF(REST_rest_gas_kWh="---",0,REST_rest_gas_kWh)/1000</f>
        <v>9145.7554289437703</v>
      </c>
      <c r="F25" s="989"/>
      <c r="G25" s="989"/>
      <c r="H25" s="989"/>
      <c r="I25" s="989"/>
      <c r="J25" s="989"/>
      <c r="K25" s="989"/>
      <c r="L25" s="989"/>
      <c r="M25" s="989"/>
      <c r="N25" s="989"/>
      <c r="O25" s="989"/>
      <c r="P25" s="989"/>
      <c r="Q25" s="990"/>
      <c r="R25" s="690">
        <f>SUM(C25:Q25)</f>
        <v>13778.283144925699</v>
      </c>
      <c r="S25" s="67"/>
    </row>
    <row r="26" spans="1:19" s="456" customFormat="1" ht="15.75" thickBot="1">
      <c r="A26" s="693" t="s">
        <v>926</v>
      </c>
      <c r="B26" s="810"/>
      <c r="C26" s="805">
        <f>SUM(C24:C25)</f>
        <v>14429.44042011831</v>
      </c>
      <c r="D26" s="805">
        <f t="shared" ref="D26:R26" si="2">SUM(D24:D25)</f>
        <v>13403.571428571429</v>
      </c>
      <c r="E26" s="805">
        <f t="shared" si="2"/>
        <v>9732.9941507780968</v>
      </c>
      <c r="F26" s="805">
        <f t="shared" si="2"/>
        <v>102.59539078282496</v>
      </c>
      <c r="G26" s="805">
        <f t="shared" si="2"/>
        <v>41938.23044639187</v>
      </c>
      <c r="H26" s="805">
        <f t="shared" si="2"/>
        <v>0</v>
      </c>
      <c r="I26" s="805">
        <f t="shared" si="2"/>
        <v>0</v>
      </c>
      <c r="J26" s="805">
        <f t="shared" si="2"/>
        <v>0</v>
      </c>
      <c r="K26" s="805">
        <f t="shared" si="2"/>
        <v>874.95211570597542</v>
      </c>
      <c r="L26" s="805">
        <f t="shared" si="2"/>
        <v>0</v>
      </c>
      <c r="M26" s="805">
        <f t="shared" si="2"/>
        <v>0</v>
      </c>
      <c r="N26" s="805">
        <f t="shared" si="2"/>
        <v>0</v>
      </c>
      <c r="O26" s="805">
        <f t="shared" si="2"/>
        <v>0</v>
      </c>
      <c r="P26" s="805">
        <f t="shared" si="2"/>
        <v>0</v>
      </c>
      <c r="Q26" s="805">
        <f t="shared" si="2"/>
        <v>0</v>
      </c>
      <c r="R26" s="805">
        <f t="shared" si="2"/>
        <v>80481.783952348516</v>
      </c>
      <c r="S26" s="67"/>
    </row>
    <row r="27" spans="1:19" s="456" customFormat="1" ht="17.25" thickTop="1" thickBot="1">
      <c r="A27" s="694" t="s">
        <v>116</v>
      </c>
      <c r="B27" s="797"/>
      <c r="C27" s="695">
        <f ca="1">C22+C16+C26</f>
        <v>342284.07925329276</v>
      </c>
      <c r="D27" s="695">
        <f t="shared" ref="D27:R27" ca="1" si="3">D22+D16+D26</f>
        <v>22017.857142857145</v>
      </c>
      <c r="E27" s="695">
        <f t="shared" ca="1" si="3"/>
        <v>460755.55861381273</v>
      </c>
      <c r="F27" s="695">
        <f t="shared" si="3"/>
        <v>14749.863009156867</v>
      </c>
      <c r="G27" s="695">
        <f t="shared" ca="1" si="3"/>
        <v>121003.3773007148</v>
      </c>
      <c r="H27" s="695">
        <f t="shared" si="3"/>
        <v>185142.17990638537</v>
      </c>
      <c r="I27" s="695">
        <f t="shared" si="3"/>
        <v>29480.328874925624</v>
      </c>
      <c r="J27" s="695">
        <f t="shared" si="3"/>
        <v>0</v>
      </c>
      <c r="K27" s="695">
        <f t="shared" si="3"/>
        <v>10239.471016671572</v>
      </c>
      <c r="L27" s="695">
        <f t="shared" si="3"/>
        <v>0</v>
      </c>
      <c r="M27" s="695">
        <f t="shared" ca="1" si="3"/>
        <v>0</v>
      </c>
      <c r="N27" s="695">
        <f t="shared" si="3"/>
        <v>9356.5515849133626</v>
      </c>
      <c r="O27" s="695">
        <f t="shared" ca="1" si="3"/>
        <v>29064.34585611946</v>
      </c>
      <c r="P27" s="695">
        <f t="shared" si="3"/>
        <v>167.27666666666667</v>
      </c>
      <c r="Q27" s="695">
        <f t="shared" si="3"/>
        <v>419.46666666666664</v>
      </c>
      <c r="R27" s="695">
        <f t="shared" ca="1" si="3"/>
        <v>1224680.3558921828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17949.341765233825</v>
      </c>
      <c r="D40" s="687">
        <f ca="1">tertiair!C20</f>
        <v>0</v>
      </c>
      <c r="E40" s="687">
        <f ca="1">tertiair!D20</f>
        <v>16099.440871197236</v>
      </c>
      <c r="F40" s="687">
        <f>tertiair!E20</f>
        <v>344.37132015246692</v>
      </c>
      <c r="G40" s="687">
        <f ca="1">tertiair!F20</f>
        <v>4111.7002280467286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38504.854184630254</v>
      </c>
    </row>
    <row r="41" spans="1:18">
      <c r="A41" s="815" t="s">
        <v>225</v>
      </c>
      <c r="B41" s="822"/>
      <c r="C41" s="687">
        <f ca="1">huishoudens!B12</f>
        <v>10269.547647774143</v>
      </c>
      <c r="D41" s="687">
        <f ca="1">huishoudens!C12</f>
        <v>0</v>
      </c>
      <c r="E41" s="687">
        <f>huishoudens!D12</f>
        <v>27335.350993800683</v>
      </c>
      <c r="F41" s="687">
        <f>huishoudens!E12</f>
        <v>2454.1163675842899</v>
      </c>
      <c r="G41" s="687">
        <f>huishoudens!F12</f>
        <v>8040.6359031078528</v>
      </c>
      <c r="H41" s="687">
        <f>huishoudens!G12</f>
        <v>0</v>
      </c>
      <c r="I41" s="687">
        <f>huishoudens!H12</f>
        <v>0</v>
      </c>
      <c r="J41" s="687">
        <f>huishoudens!I12</f>
        <v>0</v>
      </c>
      <c r="K41" s="687">
        <f>huishoudens!J12</f>
        <v>2775.3235437047374</v>
      </c>
      <c r="L41" s="687">
        <f>huishoudens!K12</f>
        <v>0</v>
      </c>
      <c r="M41" s="687">
        <f>huishoudens!L12</f>
        <v>0</v>
      </c>
      <c r="N41" s="687">
        <f>huishoudens!M12</f>
        <v>0</v>
      </c>
      <c r="O41" s="687">
        <f>huishoudens!N12</f>
        <v>0</v>
      </c>
      <c r="P41" s="687">
        <f>huishoudens!O12</f>
        <v>0</v>
      </c>
      <c r="Q41" s="762">
        <f>huishoudens!P12</f>
        <v>0</v>
      </c>
      <c r="R41" s="843">
        <f t="shared" ca="1" si="4"/>
        <v>50874.974455971707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29157.028921466233</v>
      </c>
      <c r="D43" s="687">
        <f ca="1">industrie!C22</f>
        <v>0</v>
      </c>
      <c r="E43" s="687">
        <f>industrie!D22</f>
        <v>47669.980968429307</v>
      </c>
      <c r="F43" s="687">
        <f>industrie!E22</f>
        <v>321.16982439475328</v>
      </c>
      <c r="G43" s="687">
        <f>industrie!F22</f>
        <v>8958.0580789496435</v>
      </c>
      <c r="H43" s="687">
        <f>industrie!G22</f>
        <v>0</v>
      </c>
      <c r="I43" s="687">
        <f>industrie!H22</f>
        <v>0</v>
      </c>
      <c r="J43" s="687">
        <f>industrie!I22</f>
        <v>0</v>
      </c>
      <c r="K43" s="687">
        <f>industrie!J22</f>
        <v>539.71614723708376</v>
      </c>
      <c r="L43" s="687">
        <f>industrie!K22</f>
        <v>0</v>
      </c>
      <c r="M43" s="687">
        <f>industrie!L22</f>
        <v>0</v>
      </c>
      <c r="N43" s="687">
        <f>industrie!M22</f>
        <v>0</v>
      </c>
      <c r="O43" s="687">
        <f>industrie!N22</f>
        <v>0</v>
      </c>
      <c r="P43" s="687">
        <f>industrie!O22</f>
        <v>0</v>
      </c>
      <c r="Q43" s="762">
        <f>industrie!P22</f>
        <v>0</v>
      </c>
      <c r="R43" s="842">
        <f t="shared" ca="1" si="4"/>
        <v>86645.953940477004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57375.918334474205</v>
      </c>
      <c r="D46" s="720">
        <f t="shared" ref="D46:Q46" ca="1" si="5">SUM(D39:D45)</f>
        <v>0</v>
      </c>
      <c r="E46" s="720">
        <f t="shared" ca="1" si="5"/>
        <v>91104.772833427225</v>
      </c>
      <c r="F46" s="720">
        <f t="shared" si="5"/>
        <v>3119.65751213151</v>
      </c>
      <c r="G46" s="720">
        <f t="shared" ca="1" si="5"/>
        <v>21110.394210104227</v>
      </c>
      <c r="H46" s="720">
        <f t="shared" si="5"/>
        <v>0</v>
      </c>
      <c r="I46" s="720">
        <f t="shared" si="5"/>
        <v>0</v>
      </c>
      <c r="J46" s="720">
        <f t="shared" si="5"/>
        <v>0</v>
      </c>
      <c r="K46" s="720">
        <f t="shared" si="5"/>
        <v>3315.0396909418214</v>
      </c>
      <c r="L46" s="720">
        <f t="shared" si="5"/>
        <v>0</v>
      </c>
      <c r="M46" s="720">
        <f t="shared" ca="1" si="5"/>
        <v>0</v>
      </c>
      <c r="N46" s="720">
        <f t="shared" si="5"/>
        <v>0</v>
      </c>
      <c r="O46" s="720">
        <f t="shared" ca="1" si="5"/>
        <v>0</v>
      </c>
      <c r="P46" s="720">
        <f t="shared" si="5"/>
        <v>0</v>
      </c>
      <c r="Q46" s="720">
        <f t="shared" si="5"/>
        <v>0</v>
      </c>
      <c r="R46" s="720">
        <f ca="1">SUM(R39:R45)</f>
        <v>176025.78258107897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1066.1477809818214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1066.1477809818214</v>
      </c>
    </row>
    <row r="50" spans="1:18">
      <c r="A50" s="818" t="s">
        <v>307</v>
      </c>
      <c r="B50" s="828"/>
      <c r="C50" s="995">
        <f ca="1">transport!B18</f>
        <v>0.31538074570731472</v>
      </c>
      <c r="D50" s="995">
        <f>transport!C18</f>
        <v>0</v>
      </c>
      <c r="E50" s="995">
        <f>transport!D18</f>
        <v>1.7851881057610968</v>
      </c>
      <c r="F50" s="995">
        <f>transport!E18</f>
        <v>205.27223723939747</v>
      </c>
      <c r="G50" s="995">
        <f>transport!F18</f>
        <v>0</v>
      </c>
      <c r="H50" s="995">
        <f>transport!G18</f>
        <v>48366.814254023077</v>
      </c>
      <c r="I50" s="995">
        <f>transport!H18</f>
        <v>7340.6018898564807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55914.788949970425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0.31538074570731472</v>
      </c>
      <c r="D52" s="720">
        <f t="shared" ref="D52:Q52" ca="1" si="6">SUM(D48:D51)</f>
        <v>0</v>
      </c>
      <c r="E52" s="720">
        <f t="shared" si="6"/>
        <v>1.7851881057610968</v>
      </c>
      <c r="F52" s="720">
        <f t="shared" si="6"/>
        <v>205.27223723939747</v>
      </c>
      <c r="G52" s="720">
        <f t="shared" si="6"/>
        <v>0</v>
      </c>
      <c r="H52" s="720">
        <f t="shared" si="6"/>
        <v>49432.962035004901</v>
      </c>
      <c r="I52" s="720">
        <f t="shared" si="6"/>
        <v>7340.6018898564807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56980.936730952249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1714.5096833177952</v>
      </c>
      <c r="D54" s="995">
        <f ca="1">+landbouw!C12</f>
        <v>0</v>
      </c>
      <c r="E54" s="995">
        <f>+landbouw!D12</f>
        <v>118.62222181053406</v>
      </c>
      <c r="F54" s="995">
        <f>+landbouw!E12</f>
        <v>23.289153707701267</v>
      </c>
      <c r="G54" s="995">
        <f>+landbouw!F12</f>
        <v>11197.507529186631</v>
      </c>
      <c r="H54" s="995">
        <f>+landbouw!G12</f>
        <v>0</v>
      </c>
      <c r="I54" s="995">
        <f>+landbouw!H12</f>
        <v>0</v>
      </c>
      <c r="J54" s="995">
        <f>+landbouw!I12</f>
        <v>0</v>
      </c>
      <c r="K54" s="995">
        <f>+landbouw!J12</f>
        <v>309.73304895991527</v>
      </c>
      <c r="L54" s="995">
        <f>+landbouw!K12</f>
        <v>0</v>
      </c>
      <c r="M54" s="995">
        <f>+landbouw!L12</f>
        <v>0</v>
      </c>
      <c r="N54" s="995">
        <f>+landbouw!M12</f>
        <v>0</v>
      </c>
      <c r="O54" s="995">
        <f>+landbouw!N12</f>
        <v>0</v>
      </c>
      <c r="P54" s="995">
        <f>+landbouw!O12</f>
        <v>0</v>
      </c>
      <c r="Q54" s="996">
        <f>+landbouw!P12</f>
        <v>0</v>
      </c>
      <c r="R54" s="719">
        <f ca="1">SUM(C54:Q54)</f>
        <v>13363.661636982577</v>
      </c>
    </row>
    <row r="55" spans="1:18" ht="15" thickBot="1">
      <c r="A55" s="818" t="s">
        <v>925</v>
      </c>
      <c r="B55" s="828"/>
      <c r="C55" s="995">
        <f ca="1">C25*'EF ele_warmte'!B12</f>
        <v>810.71597422070113</v>
      </c>
      <c r="D55" s="995"/>
      <c r="E55" s="995">
        <f>E25*EF_CO2_aardgas</f>
        <v>1847.4425966466417</v>
      </c>
      <c r="F55" s="995"/>
      <c r="G55" s="995"/>
      <c r="H55" s="995"/>
      <c r="I55" s="995"/>
      <c r="J55" s="995"/>
      <c r="K55" s="995"/>
      <c r="L55" s="995"/>
      <c r="M55" s="995"/>
      <c r="N55" s="995"/>
      <c r="O55" s="995"/>
      <c r="P55" s="995"/>
      <c r="Q55" s="996"/>
      <c r="R55" s="719">
        <f ca="1">SUM(C55:Q55)</f>
        <v>2658.1585708673429</v>
      </c>
    </row>
    <row r="56" spans="1:18" ht="15.75" thickBot="1">
      <c r="A56" s="816" t="s">
        <v>926</v>
      </c>
      <c r="B56" s="829"/>
      <c r="C56" s="720">
        <f ca="1">SUM(C54:C55)</f>
        <v>2525.2256575384963</v>
      </c>
      <c r="D56" s="720">
        <f t="shared" ref="D56:Q56" ca="1" si="7">SUM(D54:D55)</f>
        <v>0</v>
      </c>
      <c r="E56" s="720">
        <f t="shared" si="7"/>
        <v>1966.0648184571758</v>
      </c>
      <c r="F56" s="720">
        <f t="shared" si="7"/>
        <v>23.289153707701267</v>
      </c>
      <c r="G56" s="720">
        <f t="shared" si="7"/>
        <v>11197.507529186631</v>
      </c>
      <c r="H56" s="720">
        <f t="shared" si="7"/>
        <v>0</v>
      </c>
      <c r="I56" s="720">
        <f t="shared" si="7"/>
        <v>0</v>
      </c>
      <c r="J56" s="720">
        <f t="shared" si="7"/>
        <v>0</v>
      </c>
      <c r="K56" s="720">
        <f t="shared" si="7"/>
        <v>309.73304895991527</v>
      </c>
      <c r="L56" s="720">
        <f t="shared" si="7"/>
        <v>0</v>
      </c>
      <c r="M56" s="720">
        <f t="shared" si="7"/>
        <v>0</v>
      </c>
      <c r="N56" s="720">
        <f t="shared" si="7"/>
        <v>0</v>
      </c>
      <c r="O56" s="720">
        <f t="shared" si="7"/>
        <v>0</v>
      </c>
      <c r="P56" s="720">
        <f t="shared" si="7"/>
        <v>0</v>
      </c>
      <c r="Q56" s="721">
        <f t="shared" si="7"/>
        <v>0</v>
      </c>
      <c r="R56" s="722">
        <f ca="1">SUM(R54:R55)</f>
        <v>16021.82020784992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59901.459372758407</v>
      </c>
      <c r="D61" s="728">
        <f t="shared" ref="D61:Q61" ca="1" si="8">D46+D52+D56</f>
        <v>0</v>
      </c>
      <c r="E61" s="728">
        <f t="shared" ca="1" si="8"/>
        <v>93072.622839990159</v>
      </c>
      <c r="F61" s="728">
        <f t="shared" si="8"/>
        <v>3348.2189030786085</v>
      </c>
      <c r="G61" s="728">
        <f t="shared" ca="1" si="8"/>
        <v>32307.901739290857</v>
      </c>
      <c r="H61" s="728">
        <f t="shared" si="8"/>
        <v>49432.962035004901</v>
      </c>
      <c r="I61" s="728">
        <f t="shared" si="8"/>
        <v>7340.6018898564807</v>
      </c>
      <c r="J61" s="728">
        <f t="shared" si="8"/>
        <v>0</v>
      </c>
      <c r="K61" s="728">
        <f t="shared" si="8"/>
        <v>3624.7727399017367</v>
      </c>
      <c r="L61" s="728">
        <f t="shared" si="8"/>
        <v>0</v>
      </c>
      <c r="M61" s="728">
        <f t="shared" ca="1" si="8"/>
        <v>0</v>
      </c>
      <c r="N61" s="728">
        <f t="shared" si="8"/>
        <v>0</v>
      </c>
      <c r="O61" s="728">
        <f t="shared" ca="1" si="8"/>
        <v>0</v>
      </c>
      <c r="P61" s="728">
        <f t="shared" si="8"/>
        <v>0</v>
      </c>
      <c r="Q61" s="728">
        <f t="shared" si="8"/>
        <v>0</v>
      </c>
      <c r="R61" s="728">
        <f ca="1">R46+R52+R56</f>
        <v>249028.53951988116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0.1750050995752884</v>
      </c>
      <c r="D63" s="772">
        <f t="shared" ca="1" si="9"/>
        <v>0</v>
      </c>
      <c r="E63" s="997">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34193.681244038504</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7266.5705307094158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15412.5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18132.352941176472</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14364</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35910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71236.751774747914</v>
      </c>
      <c r="C78" s="743">
        <f>SUM(C72:C77)</f>
        <v>0</v>
      </c>
      <c r="D78" s="744">
        <f t="shared" ref="D78:H78" si="10">SUM(D76:D77)</f>
        <v>0</v>
      </c>
      <c r="E78" s="744">
        <f t="shared" si="10"/>
        <v>0</v>
      </c>
      <c r="F78" s="744">
        <f t="shared" si="10"/>
        <v>0</v>
      </c>
      <c r="G78" s="744">
        <f t="shared" si="10"/>
        <v>0</v>
      </c>
      <c r="H78" s="744">
        <f t="shared" si="10"/>
        <v>0</v>
      </c>
      <c r="I78" s="744">
        <f>SUM(I76:I77)</f>
        <v>0</v>
      </c>
      <c r="J78" s="744">
        <f>SUM(J76:J77)</f>
        <v>54042.352941176476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22017.857142857145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25903.361344537818</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22017.857142857145</v>
      </c>
      <c r="C90" s="743">
        <f>SUM(C87:C89)</f>
        <v>0</v>
      </c>
      <c r="D90" s="743">
        <f t="shared" ref="D90:H90" si="12">SUM(D87:D89)</f>
        <v>0</v>
      </c>
      <c r="E90" s="743">
        <f t="shared" si="12"/>
        <v>0</v>
      </c>
      <c r="F90" s="743">
        <f t="shared" si="12"/>
        <v>0</v>
      </c>
      <c r="G90" s="743">
        <f t="shared" si="12"/>
        <v>0</v>
      </c>
      <c r="H90" s="743">
        <f t="shared" si="12"/>
        <v>0</v>
      </c>
      <c r="I90" s="743">
        <f>SUM(I87:I89)</f>
        <v>0</v>
      </c>
      <c r="J90" s="743">
        <f>SUM(J87:J89)</f>
        <v>25903.361344537818</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34193.681244038504</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7266.5705307094158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15412.5</v>
      </c>
      <c r="C8" s="557">
        <f>B101</f>
        <v>0</v>
      </c>
      <c r="D8" s="985"/>
      <c r="E8" s="985">
        <f>E101</f>
        <v>0</v>
      </c>
      <c r="F8" s="986"/>
      <c r="G8" s="558"/>
      <c r="H8" s="985">
        <f>I101</f>
        <v>0</v>
      </c>
      <c r="I8" s="985">
        <f>G101+F101</f>
        <v>0</v>
      </c>
      <c r="J8" s="985">
        <f>H101+D101+C101</f>
        <v>18132.352941176472</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14364</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35910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71236.751774747914</v>
      </c>
      <c r="C10" s="569">
        <f t="shared" ref="C10:L10" si="0">SUM(C8:C9)</f>
        <v>0</v>
      </c>
      <c r="D10" s="569">
        <f t="shared" si="0"/>
        <v>0</v>
      </c>
      <c r="E10" s="569">
        <f t="shared" si="0"/>
        <v>0</v>
      </c>
      <c r="F10" s="569">
        <f t="shared" si="0"/>
        <v>0</v>
      </c>
      <c r="G10" s="569">
        <f t="shared" si="0"/>
        <v>0</v>
      </c>
      <c r="H10" s="569">
        <f t="shared" si="0"/>
        <v>0</v>
      </c>
      <c r="I10" s="569">
        <f t="shared" si="0"/>
        <v>0</v>
      </c>
      <c r="J10" s="569">
        <f t="shared" si="0"/>
        <v>54042.352941176476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22017.857142857145</v>
      </c>
      <c r="C17" s="581">
        <f>B102</f>
        <v>0</v>
      </c>
      <c r="D17" s="582"/>
      <c r="E17" s="582">
        <f>E102</f>
        <v>0</v>
      </c>
      <c r="F17" s="583"/>
      <c r="G17" s="584"/>
      <c r="H17" s="581">
        <f>I102</f>
        <v>0</v>
      </c>
      <c r="I17" s="582">
        <f>G102+F102</f>
        <v>0</v>
      </c>
      <c r="J17" s="582">
        <f>H102+D102+C102</f>
        <v>25903.361344537818</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22017.857142857145</v>
      </c>
      <c r="C20" s="568">
        <f>SUM(C17:C19)</f>
        <v>0</v>
      </c>
      <c r="D20" s="568">
        <f t="shared" ref="D20:L20" si="1">SUM(D17:D19)</f>
        <v>0</v>
      </c>
      <c r="E20" s="568">
        <f t="shared" si="1"/>
        <v>0</v>
      </c>
      <c r="F20" s="568">
        <f t="shared" si="1"/>
        <v>0</v>
      </c>
      <c r="G20" s="568">
        <f t="shared" si="1"/>
        <v>0</v>
      </c>
      <c r="H20" s="568">
        <f t="shared" si="1"/>
        <v>0</v>
      </c>
      <c r="I20" s="568">
        <f t="shared" si="1"/>
        <v>0</v>
      </c>
      <c r="J20" s="568">
        <f t="shared" si="1"/>
        <v>25903.361344537818</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33011</v>
      </c>
      <c r="C28" s="788">
        <v>8900</v>
      </c>
      <c r="D28" s="641" t="s">
        <v>963</v>
      </c>
      <c r="E28" s="640" t="s">
        <v>964</v>
      </c>
      <c r="F28" s="640" t="s">
        <v>965</v>
      </c>
      <c r="G28" s="640" t="s">
        <v>966</v>
      </c>
      <c r="H28" s="640" t="s">
        <v>967</v>
      </c>
      <c r="I28" s="640" t="s">
        <v>964</v>
      </c>
      <c r="J28" s="787">
        <v>37824</v>
      </c>
      <c r="K28" s="787">
        <v>40350</v>
      </c>
      <c r="L28" s="640" t="s">
        <v>968</v>
      </c>
      <c r="M28" s="640">
        <v>1340</v>
      </c>
      <c r="N28" s="640">
        <v>6030</v>
      </c>
      <c r="O28" s="640">
        <v>8614.2857142857138</v>
      </c>
      <c r="P28" s="640">
        <v>0</v>
      </c>
      <c r="Q28" s="640">
        <v>17228.571428571431</v>
      </c>
      <c r="R28" s="640">
        <v>0</v>
      </c>
      <c r="S28" s="640">
        <v>0</v>
      </c>
      <c r="T28" s="640">
        <v>0</v>
      </c>
      <c r="U28" s="640">
        <v>0</v>
      </c>
      <c r="V28" s="640">
        <v>0</v>
      </c>
      <c r="W28" s="640">
        <v>0</v>
      </c>
      <c r="X28" s="640">
        <v>1600</v>
      </c>
      <c r="Y28" s="640" t="s">
        <v>50</v>
      </c>
      <c r="Z28" s="642" t="s">
        <v>156</v>
      </c>
    </row>
    <row r="29" spans="1:26" s="594" customFormat="1" ht="25.5">
      <c r="A29" s="593"/>
      <c r="B29" s="788">
        <v>33011</v>
      </c>
      <c r="C29" s="788">
        <v>8900</v>
      </c>
      <c r="D29" s="641" t="s">
        <v>969</v>
      </c>
      <c r="E29" s="640" t="s">
        <v>970</v>
      </c>
      <c r="F29" s="640" t="s">
        <v>971</v>
      </c>
      <c r="G29" s="640" t="s">
        <v>966</v>
      </c>
      <c r="H29" s="640" t="s">
        <v>967</v>
      </c>
      <c r="I29" s="640" t="s">
        <v>970</v>
      </c>
      <c r="J29" s="787">
        <v>40199</v>
      </c>
      <c r="K29" s="787">
        <v>39360</v>
      </c>
      <c r="L29" s="640" t="s">
        <v>968</v>
      </c>
      <c r="M29" s="640">
        <v>2085</v>
      </c>
      <c r="N29" s="640">
        <v>9382.5</v>
      </c>
      <c r="O29" s="640">
        <v>13403.571428571429</v>
      </c>
      <c r="P29" s="640">
        <v>0</v>
      </c>
      <c r="Q29" s="640">
        <v>26807.142857142859</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3425</v>
      </c>
      <c r="N58" s="598">
        <f>SUM(N28:N57)</f>
        <v>15412.5</v>
      </c>
      <c r="O58" s="598">
        <f t="shared" ref="O58:W58" si="2">SUM(O28:O57)</f>
        <v>22017.857142857145</v>
      </c>
      <c r="P58" s="598">
        <f t="shared" si="2"/>
        <v>0</v>
      </c>
      <c r="Q58" s="598">
        <f t="shared" si="2"/>
        <v>44035.71428571429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1340</v>
      </c>
      <c r="N60" s="598">
        <f ca="1">SUMIF($Z$28:AD57,"tertiair",N28:N57)</f>
        <v>6030</v>
      </c>
      <c r="O60" s="598">
        <f ca="1">SUMIF($Z$28:AE57,"tertiair",O28:O57)</f>
        <v>8614.2857142857138</v>
      </c>
      <c r="P60" s="598">
        <f ca="1">SUMIF($Z$28:AF57,"tertiair",P28:P57)</f>
        <v>0</v>
      </c>
      <c r="Q60" s="598">
        <f ca="1">SUMIF($Z$28:AG57,"tertiair",Q28:Q57)</f>
        <v>17228.571428571431</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2085</v>
      </c>
      <c r="N61" s="603">
        <f t="shared" si="4"/>
        <v>9382.5</v>
      </c>
      <c r="O61" s="603">
        <f t="shared" si="4"/>
        <v>13403.571428571429</v>
      </c>
      <c r="P61" s="603">
        <f t="shared" si="4"/>
        <v>0</v>
      </c>
      <c r="Q61" s="603">
        <f t="shared" si="4"/>
        <v>26807.142857142859</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33011</v>
      </c>
      <c r="C64" s="788">
        <v>8900</v>
      </c>
      <c r="D64" s="643" t="s">
        <v>972</v>
      </c>
      <c r="E64" s="643" t="s">
        <v>973</v>
      </c>
      <c r="F64" s="643" t="s">
        <v>974</v>
      </c>
      <c r="G64" s="643" t="s">
        <v>975</v>
      </c>
      <c r="H64" s="643" t="s">
        <v>976</v>
      </c>
      <c r="I64" s="643" t="s">
        <v>977</v>
      </c>
      <c r="J64" s="787">
        <v>40179</v>
      </c>
      <c r="K64" s="787">
        <v>40218</v>
      </c>
      <c r="L64" s="643" t="s">
        <v>978</v>
      </c>
      <c r="M64" s="643">
        <v>3192</v>
      </c>
      <c r="N64" s="643">
        <v>14364</v>
      </c>
      <c r="O64" s="643">
        <v>0</v>
      </c>
      <c r="P64" s="643">
        <v>0</v>
      </c>
      <c r="Q64" s="643">
        <v>0</v>
      </c>
      <c r="R64" s="643">
        <v>0</v>
      </c>
      <c r="S64" s="643">
        <v>0</v>
      </c>
      <c r="T64" s="643">
        <v>0</v>
      </c>
      <c r="U64" s="643">
        <v>0</v>
      </c>
      <c r="V64" s="643">
        <v>35910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3192</v>
      </c>
      <c r="N89" s="598">
        <f t="shared" ref="N89:W89" si="5">SUM(N64:N88)</f>
        <v>14364</v>
      </c>
      <c r="O89" s="598">
        <f t="shared" si="5"/>
        <v>0</v>
      </c>
      <c r="P89" s="598">
        <f t="shared" si="5"/>
        <v>0</v>
      </c>
      <c r="Q89" s="598">
        <f t="shared" si="5"/>
        <v>0</v>
      </c>
      <c r="R89" s="598">
        <f t="shared" si="5"/>
        <v>0</v>
      </c>
      <c r="S89" s="598">
        <f t="shared" si="5"/>
        <v>0</v>
      </c>
      <c r="T89" s="598">
        <f t="shared" si="5"/>
        <v>0</v>
      </c>
      <c r="U89" s="598">
        <f t="shared" si="5"/>
        <v>0</v>
      </c>
      <c r="V89" s="598">
        <f t="shared" si="5"/>
        <v>35910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3192</v>
      </c>
      <c r="N91" s="598">
        <f t="shared" si="7"/>
        <v>14364</v>
      </c>
      <c r="O91" s="598">
        <f t="shared" si="7"/>
        <v>0</v>
      </c>
      <c r="P91" s="598">
        <f t="shared" si="7"/>
        <v>0</v>
      </c>
      <c r="Q91" s="598">
        <f t="shared" si="7"/>
        <v>0</v>
      </c>
      <c r="R91" s="598">
        <f t="shared" si="7"/>
        <v>0</v>
      </c>
      <c r="S91" s="598">
        <f t="shared" si="7"/>
        <v>0</v>
      </c>
      <c r="T91" s="598">
        <f t="shared" si="7"/>
        <v>0</v>
      </c>
      <c r="U91" s="598">
        <f t="shared" si="7"/>
        <v>0</v>
      </c>
      <c r="V91" s="598">
        <f t="shared" si="7"/>
        <v>35910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18132.352941176472</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25903.361344537818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58681.419414044627</v>
      </c>
      <c r="C4" s="460">
        <f>huishoudens!C8</f>
        <v>0</v>
      </c>
      <c r="D4" s="460">
        <f>huishoudens!D8</f>
        <v>135323.51977129051</v>
      </c>
      <c r="E4" s="460">
        <f>huishoudens!E8</f>
        <v>10811.08531975458</v>
      </c>
      <c r="F4" s="460">
        <f>huishoudens!F8</f>
        <v>30114.741210141769</v>
      </c>
      <c r="G4" s="460">
        <f>huishoudens!G8</f>
        <v>0</v>
      </c>
      <c r="H4" s="460">
        <f>huishoudens!H8</f>
        <v>0</v>
      </c>
      <c r="I4" s="460">
        <f>huishoudens!I8</f>
        <v>0</v>
      </c>
      <c r="J4" s="460">
        <f>huishoudens!J8</f>
        <v>7839.8970161150783</v>
      </c>
      <c r="K4" s="460">
        <f>huishoudens!K8</f>
        <v>0</v>
      </c>
      <c r="L4" s="460">
        <f>huishoudens!L8</f>
        <v>0</v>
      </c>
      <c r="M4" s="460">
        <f>huishoudens!M8</f>
        <v>0</v>
      </c>
      <c r="N4" s="460">
        <f>huishoudens!N8</f>
        <v>26190.520708148408</v>
      </c>
      <c r="O4" s="460">
        <f>huishoudens!O8</f>
        <v>164.15</v>
      </c>
      <c r="P4" s="461">
        <f>huishoudens!P8</f>
        <v>400.4</v>
      </c>
      <c r="Q4" s="462">
        <f>SUM(B4:P4)</f>
        <v>269525.73343949503</v>
      </c>
    </row>
    <row r="5" spans="1:17">
      <c r="A5" s="459" t="s">
        <v>156</v>
      </c>
      <c r="B5" s="460">
        <f ca="1">tertiair!B16</f>
        <v>99344.504451052184</v>
      </c>
      <c r="C5" s="460">
        <f ca="1">tertiair!C16</f>
        <v>8614.2857142857138</v>
      </c>
      <c r="D5" s="460">
        <f ca="1">tertiair!D16</f>
        <v>79700.202332659581</v>
      </c>
      <c r="E5" s="460">
        <f>tertiair!E16</f>
        <v>1517.0542737994137</v>
      </c>
      <c r="F5" s="460">
        <f ca="1">tertiair!F16</f>
        <v>15399.626322272392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204597.86642740262</v>
      </c>
    </row>
    <row r="6" spans="1:17">
      <c r="A6" s="459" t="s">
        <v>194</v>
      </c>
      <c r="B6" s="460">
        <f>'openbare verlichting'!B8</f>
        <v>3220.174</v>
      </c>
      <c r="C6" s="460"/>
      <c r="D6" s="460"/>
      <c r="E6" s="460"/>
      <c r="F6" s="460"/>
      <c r="G6" s="460"/>
      <c r="H6" s="460"/>
      <c r="I6" s="460"/>
      <c r="J6" s="460"/>
      <c r="K6" s="460"/>
      <c r="L6" s="460"/>
      <c r="M6" s="460"/>
      <c r="N6" s="460"/>
      <c r="O6" s="460"/>
      <c r="P6" s="461"/>
      <c r="Q6" s="459">
        <f t="shared" si="0"/>
        <v>3220.174</v>
      </c>
    </row>
    <row r="7" spans="1:17">
      <c r="A7" s="459" t="s">
        <v>112</v>
      </c>
      <c r="B7" s="460">
        <f>landbouw!B8</f>
        <v>9796.912704136379</v>
      </c>
      <c r="C7" s="460">
        <f>landbouw!C8</f>
        <v>13403.571428571429</v>
      </c>
      <c r="D7" s="460">
        <f>landbouw!D8</f>
        <v>587.23872183432695</v>
      </c>
      <c r="E7" s="460">
        <f>landbouw!E8</f>
        <v>102.59539078282496</v>
      </c>
      <c r="F7" s="460">
        <f>landbouw!F8</f>
        <v>41938.23044639187</v>
      </c>
      <c r="G7" s="460">
        <f>landbouw!G8</f>
        <v>0</v>
      </c>
      <c r="H7" s="460">
        <f>landbouw!H8</f>
        <v>0</v>
      </c>
      <c r="I7" s="460">
        <f>landbouw!I8</f>
        <v>0</v>
      </c>
      <c r="J7" s="460">
        <f>landbouw!J8</f>
        <v>874.95211570597542</v>
      </c>
      <c r="K7" s="460">
        <f>landbouw!K8</f>
        <v>0</v>
      </c>
      <c r="L7" s="460">
        <f>landbouw!L8</f>
        <v>0</v>
      </c>
      <c r="M7" s="460">
        <f>landbouw!M8</f>
        <v>0</v>
      </c>
      <c r="N7" s="460">
        <f>landbouw!N8</f>
        <v>0</v>
      </c>
      <c r="O7" s="460">
        <f>landbouw!O8</f>
        <v>0</v>
      </c>
      <c r="P7" s="461">
        <f>landbouw!P8</f>
        <v>0</v>
      </c>
      <c r="Q7" s="459">
        <f t="shared" si="0"/>
        <v>66703.50080742281</v>
      </c>
    </row>
    <row r="8" spans="1:17">
      <c r="A8" s="459" t="s">
        <v>655</v>
      </c>
      <c r="B8" s="460">
        <f>industrie!B18</f>
        <v>166606.73884490249</v>
      </c>
      <c r="C8" s="460">
        <f>industrie!C18</f>
        <v>0</v>
      </c>
      <c r="D8" s="460">
        <f>industrie!D18</f>
        <v>235990.00479420449</v>
      </c>
      <c r="E8" s="460">
        <f>industrie!E18</f>
        <v>1414.8450413865783</v>
      </c>
      <c r="F8" s="460">
        <f>industrie!F18</f>
        <v>33550.779321908776</v>
      </c>
      <c r="G8" s="460">
        <f>industrie!G18</f>
        <v>0</v>
      </c>
      <c r="H8" s="460">
        <f>industrie!H18</f>
        <v>0</v>
      </c>
      <c r="I8" s="460">
        <f>industrie!I18</f>
        <v>0</v>
      </c>
      <c r="J8" s="460">
        <f>industrie!J18</f>
        <v>1524.6218848505193</v>
      </c>
      <c r="K8" s="460">
        <f>industrie!K18</f>
        <v>0</v>
      </c>
      <c r="L8" s="460">
        <f>industrie!L18</f>
        <v>0</v>
      </c>
      <c r="M8" s="460">
        <f>industrie!M18</f>
        <v>0</v>
      </c>
      <c r="N8" s="460">
        <f>industrie!N18</f>
        <v>2873.8251479710525</v>
      </c>
      <c r="O8" s="460">
        <f>industrie!O18</f>
        <v>0</v>
      </c>
      <c r="P8" s="461">
        <f>industrie!P18</f>
        <v>0</v>
      </c>
      <c r="Q8" s="459">
        <f t="shared" si="0"/>
        <v>441960.81503522384</v>
      </c>
    </row>
    <row r="9" spans="1:17" s="465" customFormat="1">
      <c r="A9" s="463" t="s">
        <v>573</v>
      </c>
      <c r="B9" s="464">
        <f>transport!B14</f>
        <v>1.8021231751114528</v>
      </c>
      <c r="C9" s="464">
        <f>transport!C14</f>
        <v>0</v>
      </c>
      <c r="D9" s="464">
        <f>transport!D14</f>
        <v>8.8375648800054289</v>
      </c>
      <c r="E9" s="464">
        <f>transport!E14</f>
        <v>904.28298343346898</v>
      </c>
      <c r="F9" s="464">
        <f>transport!F14</f>
        <v>0</v>
      </c>
      <c r="G9" s="464">
        <f>transport!G14</f>
        <v>181149.1170562662</v>
      </c>
      <c r="H9" s="464">
        <f>transport!H14</f>
        <v>29480.328874925624</v>
      </c>
      <c r="I9" s="464">
        <f>transport!I14</f>
        <v>0</v>
      </c>
      <c r="J9" s="464">
        <f>transport!J14</f>
        <v>0</v>
      </c>
      <c r="K9" s="464">
        <f>transport!K14</f>
        <v>0</v>
      </c>
      <c r="L9" s="464">
        <f>transport!L14</f>
        <v>0</v>
      </c>
      <c r="M9" s="464">
        <f>transport!M14</f>
        <v>9186.3446633807634</v>
      </c>
      <c r="N9" s="464">
        <f>transport!N14</f>
        <v>0</v>
      </c>
      <c r="O9" s="464">
        <f>transport!O14</f>
        <v>0</v>
      </c>
      <c r="P9" s="464">
        <f>transport!P14</f>
        <v>0</v>
      </c>
      <c r="Q9" s="463">
        <f>SUM(B9:P9)</f>
        <v>220730.71326606115</v>
      </c>
    </row>
    <row r="10" spans="1:17">
      <c r="A10" s="459" t="s">
        <v>563</v>
      </c>
      <c r="B10" s="460">
        <f>transport!B54</f>
        <v>0</v>
      </c>
      <c r="C10" s="460">
        <f>transport!C54</f>
        <v>0</v>
      </c>
      <c r="D10" s="460">
        <f>transport!D54</f>
        <v>0</v>
      </c>
      <c r="E10" s="460">
        <f>transport!E54</f>
        <v>0</v>
      </c>
      <c r="F10" s="460">
        <f>transport!F54</f>
        <v>0</v>
      </c>
      <c r="G10" s="460">
        <f>transport!G54</f>
        <v>3993.0628501191809</v>
      </c>
      <c r="H10" s="460">
        <f>transport!H54</f>
        <v>0</v>
      </c>
      <c r="I10" s="460">
        <f>transport!I54</f>
        <v>0</v>
      </c>
      <c r="J10" s="460">
        <f>transport!J54</f>
        <v>0</v>
      </c>
      <c r="K10" s="460">
        <f>transport!K54</f>
        <v>0</v>
      </c>
      <c r="L10" s="460">
        <f>transport!L54</f>
        <v>0</v>
      </c>
      <c r="M10" s="460">
        <f>transport!M54</f>
        <v>170.20692153259856</v>
      </c>
      <c r="N10" s="460">
        <f>transport!N54</f>
        <v>0</v>
      </c>
      <c r="O10" s="460">
        <f>transport!O54</f>
        <v>0</v>
      </c>
      <c r="P10" s="461">
        <f>transport!P54</f>
        <v>0</v>
      </c>
      <c r="Q10" s="459">
        <f t="shared" si="0"/>
        <v>4163.2697716517796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4632.5277159819298</v>
      </c>
      <c r="C14" s="467"/>
      <c r="D14" s="467">
        <f>'SEAP template'!E25</f>
        <v>9145.7554289437703</v>
      </c>
      <c r="E14" s="467"/>
      <c r="F14" s="467"/>
      <c r="G14" s="467"/>
      <c r="H14" s="467"/>
      <c r="I14" s="467"/>
      <c r="J14" s="467"/>
      <c r="K14" s="467"/>
      <c r="L14" s="467"/>
      <c r="M14" s="467"/>
      <c r="N14" s="467"/>
      <c r="O14" s="467"/>
      <c r="P14" s="468"/>
      <c r="Q14" s="459">
        <f t="shared" si="0"/>
        <v>13778.283144925699</v>
      </c>
    </row>
    <row r="15" spans="1:17" s="472" customFormat="1">
      <c r="A15" s="469" t="s">
        <v>567</v>
      </c>
      <c r="B15" s="470">
        <f ca="1">SUM(B4:B14)</f>
        <v>342284.07925329276</v>
      </c>
      <c r="C15" s="470">
        <f t="shared" ref="C15:Q15" ca="1" si="1">SUM(C4:C14)</f>
        <v>22017.857142857145</v>
      </c>
      <c r="D15" s="470">
        <f t="shared" ca="1" si="1"/>
        <v>460755.55861381273</v>
      </c>
      <c r="E15" s="470">
        <f t="shared" si="1"/>
        <v>14749.863009156867</v>
      </c>
      <c r="F15" s="470">
        <f t="shared" ca="1" si="1"/>
        <v>121003.37730071481</v>
      </c>
      <c r="G15" s="470">
        <f t="shared" si="1"/>
        <v>185142.17990638537</v>
      </c>
      <c r="H15" s="470">
        <f t="shared" si="1"/>
        <v>29480.328874925624</v>
      </c>
      <c r="I15" s="470">
        <f t="shared" si="1"/>
        <v>0</v>
      </c>
      <c r="J15" s="470">
        <f t="shared" si="1"/>
        <v>10239.471016671574</v>
      </c>
      <c r="K15" s="470">
        <f t="shared" si="1"/>
        <v>0</v>
      </c>
      <c r="L15" s="470">
        <f t="shared" ca="1" si="1"/>
        <v>0</v>
      </c>
      <c r="M15" s="470">
        <f t="shared" si="1"/>
        <v>9356.5515849133626</v>
      </c>
      <c r="N15" s="470">
        <f t="shared" ca="1" si="1"/>
        <v>29064.34585611946</v>
      </c>
      <c r="O15" s="470">
        <f t="shared" si="1"/>
        <v>167.27666666666667</v>
      </c>
      <c r="P15" s="470">
        <f t="shared" si="1"/>
        <v>419.46666666666664</v>
      </c>
      <c r="Q15" s="470">
        <f t="shared" ca="1" si="1"/>
        <v>1224680.355892183</v>
      </c>
    </row>
    <row r="17" spans="1:17">
      <c r="A17" s="473" t="s">
        <v>568</v>
      </c>
      <c r="B17" s="777">
        <f ca="1">huishoudens!B10</f>
        <v>0.17500509957528843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10269.547647774143</v>
      </c>
      <c r="C22" s="460">
        <f t="shared" ref="C22:C32" ca="1" si="3">C4*$C$17</f>
        <v>0</v>
      </c>
      <c r="D22" s="460">
        <f t="shared" ref="D22:D32" si="4">D4*$D$17</f>
        <v>27335.350993800683</v>
      </c>
      <c r="E22" s="460">
        <f t="shared" ref="E22:E32" si="5">E4*$E$17</f>
        <v>2454.1163675842899</v>
      </c>
      <c r="F22" s="460">
        <f t="shared" ref="F22:F32" si="6">F4*$F$17</f>
        <v>8040.6359031078528</v>
      </c>
      <c r="G22" s="460">
        <f t="shared" ref="G22:G32" si="7">G4*$G$17</f>
        <v>0</v>
      </c>
      <c r="H22" s="460">
        <f t="shared" ref="H22:H32" si="8">H4*$H$17</f>
        <v>0</v>
      </c>
      <c r="I22" s="460">
        <f t="shared" ref="I22:I32" si="9">I4*$I$17</f>
        <v>0</v>
      </c>
      <c r="J22" s="460">
        <f t="shared" ref="J22:J32" si="10">J4*$J$17</f>
        <v>2775.3235437047374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50874.974455971707</v>
      </c>
    </row>
    <row r="23" spans="1:17">
      <c r="A23" s="459" t="s">
        <v>156</v>
      </c>
      <c r="B23" s="460">
        <f t="shared" ca="1" si="2"/>
        <v>17385.794893714072</v>
      </c>
      <c r="C23" s="460">
        <f t="shared" ca="1" si="3"/>
        <v>0</v>
      </c>
      <c r="D23" s="460">
        <f t="shared" ca="1" si="4"/>
        <v>16099.440871197236</v>
      </c>
      <c r="E23" s="460">
        <f t="shared" si="5"/>
        <v>344.37132015246692</v>
      </c>
      <c r="F23" s="460">
        <f t="shared" ca="1" si="6"/>
        <v>4111.7002280467286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37941.307313110505</v>
      </c>
    </row>
    <row r="24" spans="1:17">
      <c r="A24" s="459" t="s">
        <v>194</v>
      </c>
      <c r="B24" s="460">
        <f t="shared" ca="1" si="2"/>
        <v>563.54687151975486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563.54687151975486</v>
      </c>
    </row>
    <row r="25" spans="1:17">
      <c r="A25" s="459" t="s">
        <v>112</v>
      </c>
      <c r="B25" s="460">
        <f t="shared" ca="1" si="2"/>
        <v>1714.5096833177952</v>
      </c>
      <c r="C25" s="460">
        <f t="shared" ca="1" si="3"/>
        <v>0</v>
      </c>
      <c r="D25" s="460">
        <f t="shared" si="4"/>
        <v>118.62222181053406</v>
      </c>
      <c r="E25" s="460">
        <f t="shared" si="5"/>
        <v>23.289153707701267</v>
      </c>
      <c r="F25" s="460">
        <f t="shared" si="6"/>
        <v>11197.507529186631</v>
      </c>
      <c r="G25" s="460">
        <f t="shared" si="7"/>
        <v>0</v>
      </c>
      <c r="H25" s="460">
        <f t="shared" si="8"/>
        <v>0</v>
      </c>
      <c r="I25" s="460">
        <f t="shared" si="9"/>
        <v>0</v>
      </c>
      <c r="J25" s="460">
        <f t="shared" si="10"/>
        <v>309.73304895991527</v>
      </c>
      <c r="K25" s="460">
        <f t="shared" si="11"/>
        <v>0</v>
      </c>
      <c r="L25" s="460">
        <f t="shared" si="12"/>
        <v>0</v>
      </c>
      <c r="M25" s="460">
        <f t="shared" si="13"/>
        <v>0</v>
      </c>
      <c r="N25" s="460">
        <f t="shared" si="14"/>
        <v>0</v>
      </c>
      <c r="O25" s="460">
        <f t="shared" si="15"/>
        <v>0</v>
      </c>
      <c r="P25" s="461">
        <f t="shared" si="16"/>
        <v>0</v>
      </c>
      <c r="Q25" s="459">
        <f t="shared" ca="1" si="17"/>
        <v>13363.661636982577</v>
      </c>
    </row>
    <row r="26" spans="1:17">
      <c r="A26" s="459" t="s">
        <v>655</v>
      </c>
      <c r="B26" s="460">
        <f t="shared" ca="1" si="2"/>
        <v>29157.028921466233</v>
      </c>
      <c r="C26" s="460">
        <f t="shared" ca="1" si="3"/>
        <v>0</v>
      </c>
      <c r="D26" s="460">
        <f t="shared" si="4"/>
        <v>47669.980968429307</v>
      </c>
      <c r="E26" s="460">
        <f t="shared" si="5"/>
        <v>321.16982439475328</v>
      </c>
      <c r="F26" s="460">
        <f t="shared" si="6"/>
        <v>8958.0580789496435</v>
      </c>
      <c r="G26" s="460">
        <f t="shared" si="7"/>
        <v>0</v>
      </c>
      <c r="H26" s="460">
        <f t="shared" si="8"/>
        <v>0</v>
      </c>
      <c r="I26" s="460">
        <f t="shared" si="9"/>
        <v>0</v>
      </c>
      <c r="J26" s="460">
        <f t="shared" si="10"/>
        <v>539.71614723708376</v>
      </c>
      <c r="K26" s="460">
        <f t="shared" si="11"/>
        <v>0</v>
      </c>
      <c r="L26" s="460">
        <f t="shared" si="12"/>
        <v>0</v>
      </c>
      <c r="M26" s="460">
        <f t="shared" si="13"/>
        <v>0</v>
      </c>
      <c r="N26" s="460">
        <f t="shared" si="14"/>
        <v>0</v>
      </c>
      <c r="O26" s="460">
        <f t="shared" si="15"/>
        <v>0</v>
      </c>
      <c r="P26" s="461">
        <f t="shared" si="16"/>
        <v>0</v>
      </c>
      <c r="Q26" s="459">
        <f t="shared" ca="1" si="17"/>
        <v>86645.953940477004</v>
      </c>
    </row>
    <row r="27" spans="1:17" s="465" customFormat="1">
      <c r="A27" s="463" t="s">
        <v>573</v>
      </c>
      <c r="B27" s="771">
        <f t="shared" ca="1" si="2"/>
        <v>0.31538074570731472</v>
      </c>
      <c r="C27" s="464">
        <f t="shared" ca="1" si="3"/>
        <v>0</v>
      </c>
      <c r="D27" s="464">
        <f t="shared" si="4"/>
        <v>1.7851881057610968</v>
      </c>
      <c r="E27" s="464">
        <f t="shared" si="5"/>
        <v>205.27223723939747</v>
      </c>
      <c r="F27" s="464">
        <f t="shared" si="6"/>
        <v>0</v>
      </c>
      <c r="G27" s="464">
        <f t="shared" si="7"/>
        <v>48366.814254023077</v>
      </c>
      <c r="H27" s="464">
        <f t="shared" si="8"/>
        <v>7340.6018898564807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55914.788949970425</v>
      </c>
    </row>
    <row r="28" spans="1:17">
      <c r="A28" s="459" t="s">
        <v>563</v>
      </c>
      <c r="B28" s="460">
        <f t="shared" ca="1" si="2"/>
        <v>0</v>
      </c>
      <c r="C28" s="460">
        <f t="shared" ca="1" si="3"/>
        <v>0</v>
      </c>
      <c r="D28" s="460">
        <f t="shared" si="4"/>
        <v>0</v>
      </c>
      <c r="E28" s="460">
        <f t="shared" si="5"/>
        <v>0</v>
      </c>
      <c r="F28" s="460">
        <f t="shared" si="6"/>
        <v>0</v>
      </c>
      <c r="G28" s="460">
        <f t="shared" si="7"/>
        <v>1066.1477809818214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1066.1477809818214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810.71597422070113</v>
      </c>
      <c r="C32" s="460">
        <f t="shared" ca="1" si="3"/>
        <v>0</v>
      </c>
      <c r="D32" s="460">
        <f t="shared" si="4"/>
        <v>1847.4425966466417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2658.1585708673429</v>
      </c>
    </row>
    <row r="33" spans="1:17" s="472" customFormat="1">
      <c r="A33" s="469" t="s">
        <v>567</v>
      </c>
      <c r="B33" s="470">
        <f ca="1">SUM(B22:B32)</f>
        <v>59901.459372758407</v>
      </c>
      <c r="C33" s="470">
        <f t="shared" ref="C33:Q33" ca="1" si="19">SUM(C22:C32)</f>
        <v>0</v>
      </c>
      <c r="D33" s="470">
        <f t="shared" ca="1" si="19"/>
        <v>93072.622839990145</v>
      </c>
      <c r="E33" s="470">
        <f t="shared" si="19"/>
        <v>3348.2189030786085</v>
      </c>
      <c r="F33" s="470">
        <f t="shared" ca="1" si="19"/>
        <v>32307.901739290857</v>
      </c>
      <c r="G33" s="470">
        <f t="shared" si="19"/>
        <v>49432.962035004901</v>
      </c>
      <c r="H33" s="470">
        <f t="shared" si="19"/>
        <v>7340.6018898564807</v>
      </c>
      <c r="I33" s="470">
        <f t="shared" si="19"/>
        <v>0</v>
      </c>
      <c r="J33" s="470">
        <f t="shared" si="19"/>
        <v>3624.7727399017367</v>
      </c>
      <c r="K33" s="470">
        <f t="shared" si="19"/>
        <v>0</v>
      </c>
      <c r="L33" s="470">
        <f t="shared" ca="1" si="19"/>
        <v>0</v>
      </c>
      <c r="M33" s="470">
        <f t="shared" si="19"/>
        <v>0</v>
      </c>
      <c r="N33" s="470">
        <f t="shared" ca="1" si="19"/>
        <v>0</v>
      </c>
      <c r="O33" s="470">
        <f t="shared" si="19"/>
        <v>0</v>
      </c>
      <c r="P33" s="470">
        <f t="shared" si="19"/>
        <v>0</v>
      </c>
      <c r="Q33" s="470">
        <f t="shared" ca="1" si="19"/>
        <v>249028.53951988113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34193.681244038504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7266.5705307094158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15412.5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18132.352941176472</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14364</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35910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71236.751774747914</v>
      </c>
      <c r="C10" s="1032">
        <f>SUM(C4:C9)</f>
        <v>0</v>
      </c>
      <c r="D10" s="1032">
        <f t="shared" ref="D10:H10" si="0">SUM(D8:D9)</f>
        <v>0</v>
      </c>
      <c r="E10" s="1032">
        <f t="shared" si="0"/>
        <v>0</v>
      </c>
      <c r="F10" s="1032">
        <f t="shared" si="0"/>
        <v>0</v>
      </c>
      <c r="G10" s="1032">
        <f t="shared" si="0"/>
        <v>0</v>
      </c>
      <c r="H10" s="1032">
        <f t="shared" si="0"/>
        <v>0</v>
      </c>
      <c r="I10" s="1032">
        <f>SUM(I8:I9)</f>
        <v>0</v>
      </c>
      <c r="J10" s="1032">
        <f>SUM(J8:J9)</f>
        <v>54042.352941176476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0.17500509957528843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22017.857142857145</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25903.361344537818</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22017.857142857145</v>
      </c>
      <c r="C20" s="1032">
        <f>SUM(C17:C19)</f>
        <v>0</v>
      </c>
      <c r="D20" s="1032">
        <f t="shared" ref="D20:H20" si="2">SUM(D17:D19)</f>
        <v>0</v>
      </c>
      <c r="E20" s="1032">
        <f t="shared" si="2"/>
        <v>0</v>
      </c>
      <c r="F20" s="1032">
        <f t="shared" si="2"/>
        <v>0</v>
      </c>
      <c r="G20" s="1032">
        <f t="shared" si="2"/>
        <v>0</v>
      </c>
      <c r="H20" s="1032">
        <f t="shared" si="2"/>
        <v>0</v>
      </c>
      <c r="I20" s="1032">
        <f>SUM(I17:I19)</f>
        <v>0</v>
      </c>
      <c r="J20" s="1032">
        <f>SUM(J17:J19)</f>
        <v>25903.361344537818</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0.17500509957528843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2019-06-29T16:05:21Z</dcterms:modified>
</cp:coreProperties>
</file>