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I9" s="1"/>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O19"/>
  <c r="B10"/>
  <c r="I101"/>
  <c r="H8" s="1"/>
  <c r="H10" s="1"/>
  <c r="E101"/>
  <c r="E8" s="1"/>
  <c r="E10" s="1"/>
  <c r="H101"/>
  <c r="D101"/>
  <c r="G101"/>
  <c r="C101"/>
  <c r="F101"/>
  <c r="B101"/>
  <c r="C8" s="1"/>
  <c r="D76" i="14" s="1"/>
  <c r="H102" i="18"/>
  <c r="D102"/>
  <c r="B102"/>
  <c r="C17" s="1"/>
  <c r="O32" i="48"/>
  <c r="D14"/>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H20"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C29" i="14"/>
  <c r="Q54"/>
  <c r="P54"/>
  <c r="P56" s="1"/>
  <c r="L54"/>
  <c r="L56" s="1"/>
  <c r="J54"/>
  <c r="I54"/>
  <c r="H54"/>
  <c r="H56" s="1"/>
  <c r="Q24"/>
  <c r="P24"/>
  <c r="N24"/>
  <c r="N26" s="1"/>
  <c r="L24"/>
  <c r="J24"/>
  <c r="I24"/>
  <c r="I26" s="1"/>
  <c r="H24"/>
  <c r="Q50"/>
  <c r="P50"/>
  <c r="O50"/>
  <c r="M50"/>
  <c r="L50"/>
  <c r="K50"/>
  <c r="J50"/>
  <c r="G50"/>
  <c r="D50"/>
  <c r="Q49"/>
  <c r="Q52" s="1"/>
  <c r="P49"/>
  <c r="Q20"/>
  <c r="P20"/>
  <c r="O20"/>
  <c r="M20"/>
  <c r="L20"/>
  <c r="L22" s="1"/>
  <c r="K20"/>
  <c r="J20"/>
  <c r="J22" s="1"/>
  <c r="G20"/>
  <c r="D20"/>
  <c r="D22" s="1"/>
  <c r="Q19"/>
  <c r="P19"/>
  <c r="O19"/>
  <c r="M19"/>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R25" s="1"/>
  <c r="R90"/>
  <c r="L90"/>
  <c r="R78"/>
  <c r="F78"/>
  <c r="J56"/>
  <c r="E55"/>
  <c r="Q56"/>
  <c r="I56"/>
  <c r="R44"/>
  <c r="P26"/>
  <c r="L26"/>
  <c r="H26"/>
  <c r="E25"/>
  <c r="Q26"/>
  <c r="J26"/>
  <c r="R12"/>
  <c r="D5" i="17"/>
  <c r="E20" i="18" l="1"/>
  <c r="F87" i="14"/>
  <c r="F17" i="55" s="1"/>
  <c r="F20" s="1"/>
  <c r="D8"/>
  <c r="L78" i="14"/>
  <c r="L8" i="55"/>
  <c r="G78" i="14"/>
  <c r="G9" i="55"/>
  <c r="O78" i="14"/>
  <c r="O9" i="55"/>
  <c r="O10" s="1"/>
  <c r="C77" i="14"/>
  <c r="C9" i="55" s="1"/>
  <c r="F9"/>
  <c r="F10" s="1"/>
  <c r="N78" i="14"/>
  <c r="N9" i="55"/>
  <c r="K10"/>
  <c r="Q22" i="14"/>
  <c r="P32" i="48"/>
  <c r="G102" i="18"/>
  <c r="E20" i="55"/>
  <c r="O20"/>
  <c r="H90" i="14"/>
  <c r="K22"/>
  <c r="G10" i="55"/>
  <c r="C102" i="18"/>
  <c r="J17" s="1"/>
  <c r="D10" i="55"/>
  <c r="L10"/>
  <c r="K20"/>
  <c r="B14" i="48"/>
  <c r="Q14" s="1"/>
  <c r="F102" i="18"/>
  <c r="F90" i="14"/>
  <c r="F18" i="55"/>
  <c r="N90" i="14"/>
  <c r="N18" i="55"/>
  <c r="N20" s="1"/>
  <c r="E90" i="14"/>
  <c r="E18" i="55"/>
  <c r="M22" i="14"/>
  <c r="N10" i="55"/>
  <c r="O28" i="48"/>
  <c r="O25"/>
  <c r="I102" i="18"/>
  <c r="H17" s="1"/>
  <c r="G22" i="14"/>
  <c r="O22"/>
  <c r="P22"/>
  <c r="M76"/>
  <c r="M8" i="55" s="1"/>
  <c r="M10" s="1"/>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17" i="18"/>
  <c r="I8"/>
  <c r="O27" i="48"/>
  <c r="O31"/>
  <c r="P27"/>
  <c r="P28"/>
  <c r="P29"/>
  <c r="Q11"/>
  <c r="Q12"/>
  <c r="O30"/>
  <c r="Q77" i="14"/>
  <c r="D78"/>
  <c r="K90"/>
  <c r="Q76" l="1"/>
  <c r="P8" i="55" s="1"/>
  <c r="P9"/>
  <c r="H20" i="18"/>
  <c r="M87" i="14"/>
  <c r="O17" i="18"/>
  <c r="O20" s="1"/>
  <c r="I10"/>
  <c r="I76" i="14"/>
  <c r="I8" i="55" s="1"/>
  <c r="I10" s="1"/>
  <c r="J20" i="18"/>
  <c r="J87" i="14"/>
  <c r="I20" i="18"/>
  <c r="I87" i="14"/>
  <c r="I17" i="55" s="1"/>
  <c r="I20" s="1"/>
  <c r="O8" i="18"/>
  <c r="O10" s="1"/>
  <c r="J10"/>
  <c r="J76" i="14"/>
  <c r="Q87"/>
  <c r="D90"/>
  <c r="Q90" l="1"/>
  <c r="B17" i="6" s="1"/>
  <c r="P17" i="55"/>
  <c r="P20" s="1"/>
  <c r="Q78" i="14"/>
  <c r="B9" i="6" s="1"/>
  <c r="J90" i="14"/>
  <c r="J17" i="55"/>
  <c r="J20" s="1"/>
  <c r="M90" i="14"/>
  <c r="M17" i="55"/>
  <c r="M20" s="1"/>
  <c r="J78" i="14"/>
  <c r="J8" i="55"/>
  <c r="J10" s="1"/>
  <c r="P10"/>
  <c r="I78" i="14"/>
  <c r="C76"/>
  <c r="B76"/>
  <c r="I90"/>
  <c r="B87"/>
  <c r="C87"/>
  <c r="H14" i="15"/>
  <c r="H16" s="1"/>
  <c r="G14"/>
  <c r="G16" s="1"/>
  <c r="H5" i="48" l="1"/>
  <c r="I10" i="14"/>
  <c r="I16" s="1"/>
  <c r="B78"/>
  <c r="B4" i="6" s="1"/>
  <c r="B8" i="55"/>
  <c r="B10" s="1"/>
  <c r="G5" i="48"/>
  <c r="H10" i="14"/>
  <c r="H16" s="1"/>
  <c r="C78"/>
  <c r="C8" i="55"/>
  <c r="C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29"/>
  <c r="F24"/>
  <c r="F31"/>
  <c r="F30"/>
  <c r="B7"/>
  <c r="C24" i="14"/>
  <c r="C26" s="1"/>
  <c r="E32" i="48"/>
  <c r="E30"/>
  <c r="E24"/>
  <c r="E28"/>
  <c r="E29"/>
  <c r="E31"/>
  <c r="M32"/>
  <c r="M26"/>
  <c r="M30"/>
  <c r="M24"/>
  <c r="M25"/>
  <c r="M29"/>
  <c r="M22"/>
  <c r="L10" i="14"/>
  <c r="L16" s="1"/>
  <c r="L27" s="1"/>
  <c r="K5" i="48"/>
  <c r="D22"/>
  <c r="D32"/>
  <c r="D29"/>
  <c r="D30"/>
  <c r="D24"/>
  <c r="D28"/>
  <c r="D31"/>
  <c r="L30"/>
  <c r="L24"/>
  <c r="L32"/>
  <c r="L29"/>
  <c r="L22"/>
  <c r="L28"/>
  <c r="L27"/>
  <c r="L31"/>
  <c r="P5"/>
  <c r="P23" s="1"/>
  <c r="Q10" i="14"/>
  <c r="N10"/>
  <c r="N16" s="1"/>
  <c r="M5" i="48"/>
  <c r="N32"/>
  <c r="N27"/>
  <c r="N29"/>
  <c r="N24"/>
  <c r="N31"/>
  <c r="N30"/>
  <c r="N28"/>
  <c r="K30"/>
  <c r="K32"/>
  <c r="K31"/>
  <c r="K29"/>
  <c r="K27"/>
  <c r="K25"/>
  <c r="K26"/>
  <c r="K28"/>
  <c r="K24"/>
  <c r="K22"/>
  <c r="B10"/>
  <c r="C19" i="14"/>
  <c r="J10"/>
  <c r="J16" s="1"/>
  <c r="J27" s="1"/>
  <c r="I5" i="48"/>
  <c r="J32"/>
  <c r="J29"/>
  <c r="J27"/>
  <c r="J31"/>
  <c r="J24"/>
  <c r="J30"/>
  <c r="J28"/>
  <c r="P4"/>
  <c r="Q11" i="14"/>
  <c r="B8" i="9"/>
  <c r="B6" i="48" s="1"/>
  <c r="Q6" s="1"/>
  <c r="B4"/>
  <c r="C11" i="14"/>
  <c r="P11"/>
  <c r="O4" i="48"/>
  <c r="I31"/>
  <c r="I32"/>
  <c r="I30"/>
  <c r="I24"/>
  <c r="I28"/>
  <c r="I26"/>
  <c r="I29"/>
  <c r="I25"/>
  <c r="I22"/>
  <c r="I27"/>
  <c r="H12" i="22"/>
  <c r="H14" s="1"/>
  <c r="H13" i="48"/>
  <c r="H31" s="1"/>
  <c r="I18" i="14"/>
  <c r="D4" i="48"/>
  <c r="E11" i="14"/>
  <c r="H30" i="48"/>
  <c r="H32"/>
  <c r="H26"/>
  <c r="H25"/>
  <c r="H22"/>
  <c r="H24"/>
  <c r="H29"/>
  <c r="H28"/>
  <c r="H23"/>
  <c r="C4"/>
  <c r="D11" i="14"/>
  <c r="G30" i="48"/>
  <c r="G32"/>
  <c r="G24"/>
  <c r="G22"/>
  <c r="G26"/>
  <c r="G29"/>
  <c r="G25"/>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0" i="14"/>
  <c r="O5" i="48"/>
  <c r="O23" s="1"/>
  <c r="M13"/>
  <c r="M31" s="1"/>
  <c r="N18" i="14"/>
  <c r="M23" i="48"/>
  <c r="G12" i="22"/>
  <c r="G13" i="48"/>
  <c r="H18" i="14"/>
  <c r="O22" i="48"/>
  <c r="G11" i="14"/>
  <c r="F4" i="48"/>
  <c r="F22" s="1"/>
  <c r="G31" i="20"/>
  <c r="H48" i="14" s="1"/>
  <c r="J46"/>
  <c r="J61" s="1"/>
  <c r="Q16"/>
  <c r="Q27" s="1"/>
  <c r="N46"/>
  <c r="K33" i="48"/>
  <c r="D16" i="15"/>
  <c r="D5" i="48" s="1"/>
  <c r="L46" i="14"/>
  <c r="L61" s="1"/>
  <c r="L63" s="1"/>
  <c r="P22" i="16"/>
  <c r="Q43" i="14" s="1"/>
  <c r="Q13"/>
  <c r="P8" i="48"/>
  <c r="P26" s="1"/>
  <c r="P15"/>
  <c r="P22"/>
  <c r="P33" s="1"/>
  <c r="I23"/>
  <c r="I15"/>
  <c r="K15"/>
  <c r="K23"/>
  <c r="I33"/>
  <c r="J63" i="14"/>
  <c r="I52"/>
  <c r="I61"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E9"/>
  <c r="E27" s="1"/>
  <c r="F20" i="14"/>
  <c r="F22" s="1"/>
  <c r="Q13" i="48"/>
  <c r="G31"/>
  <c r="E20" i="14"/>
  <c r="E22" s="1"/>
  <c r="D9" i="48"/>
  <c r="D27" s="1"/>
  <c r="O8"/>
  <c r="O26" s="1"/>
  <c r="O33" s="1"/>
  <c r="P13" i="14"/>
  <c r="P16" s="1"/>
  <c r="P27" s="1"/>
  <c r="O11"/>
  <c r="N4" i="48"/>
  <c r="N22" s="1"/>
  <c r="J4"/>
  <c r="J22" s="1"/>
  <c r="K11" i="14"/>
  <c r="H20"/>
  <c r="H22" s="1"/>
  <c r="H27" s="1"/>
  <c r="G9" i="48"/>
  <c r="C20" i="14"/>
  <c r="B9" i="48"/>
  <c r="R18" i="14"/>
  <c r="D20" i="15"/>
  <c r="E40" i="14" s="1"/>
  <c r="N19"/>
  <c r="M10" i="48"/>
  <c r="M28" s="1"/>
  <c r="E12" i="13"/>
  <c r="F41" i="14" s="1"/>
  <c r="E4" i="48"/>
  <c r="F11" i="14"/>
  <c r="R11" s="1"/>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P63" l="1"/>
  <c r="E22" i="48"/>
  <c r="Q4"/>
  <c r="G28"/>
  <c r="Q10"/>
  <c r="R19" i="14"/>
  <c r="M18" i="22"/>
  <c r="N50" i="14" s="1"/>
  <c r="N52" s="1"/>
  <c r="N61" s="1"/>
  <c r="M9" i="48"/>
  <c r="N20" i="14"/>
  <c r="N22" s="1"/>
  <c r="N27" s="1"/>
  <c r="G27" i="48"/>
  <c r="G33" s="1"/>
  <c r="G15"/>
  <c r="H63" i="14"/>
  <c r="D15" i="48"/>
  <c r="C22" i="14"/>
  <c r="Q9" i="48"/>
  <c r="J5"/>
  <c r="K10" i="14"/>
  <c r="E20" i="15"/>
  <c r="F40" i="14" s="1"/>
  <c r="E5" i="48"/>
  <c r="F10" i="14"/>
  <c r="L15" i="48"/>
  <c r="Q7"/>
  <c r="R24" i="14"/>
  <c r="R26" s="1"/>
  <c r="J18" i="16"/>
  <c r="N18"/>
  <c r="E18"/>
  <c r="F18"/>
  <c r="F22" s="1"/>
  <c r="G43" i="14" s="1"/>
  <c r="M27" i="48" l="1"/>
  <c r="M33" s="1"/>
  <c r="M15"/>
  <c r="N63" i="14"/>
  <c r="R20"/>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<sst xmlns="http://schemas.openxmlformats.org/spreadsheetml/2006/main" count="2502" uniqueCount="970">
  <si>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</si>
  <si>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</si>
  <si>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</si>
  <si>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</si>
  <si>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</si>
  <si>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</si>
  <si>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</si>
  <si>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</si>
  <si>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</si>
  <si>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</si>
  <si>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</si>
  <si>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</si>
  <si>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</si>
  <si>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</si>
  <si>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</si>
  <si>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</si>
  <si>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</si>
  <si>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</si>
  <si>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</si>
  <si>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</si>
  <si>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</si>
  <si>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</si>
  <si>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</si>
  <si>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</si>
  <si>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</si>
  <si>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</si>
  <si>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</si>
  <si>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</si>
  <si>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</si>
  <si>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</si>
  <si>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</si>
  <si>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</si>
  <si>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</si>
  <si>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</si>
  <si>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</si>
  <si>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</si>
  <si>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</si>
  <si>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</si>
  <si>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</si>
  <si>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</si>
  <si>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</si>
  <si>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</si>
  <si>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</si>
  <si>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</si>
  <si>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</si>
  <si>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</si>
  <si>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</si>
  <si>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</si>
  <si>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</si>
  <si>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</si>
  <si>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</si>
  <si>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</si>
  <si>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</si>
  <si>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</si>
  <si>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</si>
  <si>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</si>
  <si>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</si>
  <si>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</si>
  <si>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</si>
  <si>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</si>
  <si>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</si>
  <si>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</si>
  <si>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</si>
  <si>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</si>
  <si>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</si>
  <si>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</si>
  <si>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</si>
  <si>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</si>
  <si>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</si>
  <si>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</si>
  <si>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</si>
  <si>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</si>
  <si>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</si>
  <si>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</si>
  <si>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</si>
  <si>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</si>
  <si>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</si>
  <si>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</si>
  <si>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</si>
  <si>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</si>
  <si>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</si>
  <si>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</si>
  <si>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</si>
  <si>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</si>
  <si>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</si>
  <si>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</si>
  <si>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</si>
  <si>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</si>
  <si>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</si>
  <si>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</si>
  <si>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</si>
  <si>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</si>
  <si>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</si>
  <si>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</si>
  <si>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</si>
  <si>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</si>
  <si>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</si>
  <si>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</si>
  <si>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</si>
  <si>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</si>
  <si>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</si>
  <si>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</si>
  <si>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</si>
  <si>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</si>
  <si>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</si>
  <si>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</si>
  <si>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</si>
  <si>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</si>
  <si>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</si>
  <si>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</si>
  <si>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</si>
  <si>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</si>
  <si>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</si>
  <si>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</si>
  <si>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</si>
  <si>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</si>
  <si>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</si>
  <si>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</si>
  <si>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</si>
  <si>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</si>
  <si>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</si>
  <si>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</si>
  <si>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</si>
  <si>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</si>
  <si>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</si>
  <si>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</si>
  <si>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</si>
  <si>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</si>
  <si>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</si>
  <si>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</si>
  <si>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</si>
  <si>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</si>
  <si>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</si>
  <si>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</si>
  <si>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</si>
  <si>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</si>
  <si>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</si>
  <si>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</si>
  <si>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</si>
  <si>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</si>
  <si>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</si>
  <si>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</si>
  <si>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</si>
  <si>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</si>
  <si>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</si>
  <si>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</si>
  <si>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</si>
  <si>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</si>
  <si>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</si>
  <si>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</si>
  <si>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</si>
  <si>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</si>
  <si>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</si>
  <si>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</si>
  <si>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</si>
  <si>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</si>
  <si>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</si>
  <si>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</si>
  <si>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</si>
  <si>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</si>
  <si>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</si>
  <si>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</si>
  <si>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</si>
  <si>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</si>
  <si>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</si>
  <si>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</si>
  <si>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</si>
  <si>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</si>
  <si>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</si>
  <si>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</si>
  <si>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</si>
  <si>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</si>
  <si>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</si>
  <si>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</si>
  <si>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</si>
  <si>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</si>
  <si>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</si>
  <si>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</si>
  <si>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</si>
  <si>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</si>
  <si>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</si>
  <si>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</si>
  <si>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</si>
  <si>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</si>
  <si>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</si>
  <si>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</si>
  <si>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</si>
  <si>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</si>
  <si>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</si>
  <si>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</si>
  <si>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</si>
  <si>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</si>
  <si>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</si>
  <si>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</si>
  <si>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</si>
  <si>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</si>
  <si>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</si>
  <si>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</si>
  <si>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</si>
  <si>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</si>
  <si>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</si>
  <si>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</si>
  <si>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</si>
  <si>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</si>
  <si>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</si>
  <si>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</si>
  <si>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</si>
  <si>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</si>
  <si>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</si>
  <si>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</si>
  <si>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</si>
  <si>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</si>
  <si>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</si>
  <si>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</si>
  <si>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</si>
  <si>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</si>
  <si>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</si>
  <si>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</si>
  <si>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</si>
  <si>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</si>
  <si>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</si>
  <si>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</si>
  <si>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</si>
  <si>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</si>
  <si>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</si>
  <si>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</si>
  <si>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</si>
  <si>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</si>
  <si>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</si>
  <si>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</si>
  <si>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</si>
  <si>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</si>
  <si>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</si>
  <si>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</si>
  <si>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</si>
  <si>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</si>
  <si>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</si>
  <si>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</si>
  <si>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</si>
  <si>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</si>
  <si>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</si>
  <si>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</si>
  <si>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</si>
  <si>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</si>
  <si>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</si>
  <si>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</si>
  <si>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</si>
  <si>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</si>
  <si>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</si>
  <si>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</si>
  <si>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</si>
  <si>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</si>
  <si>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</si>
  <si>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</si>
  <si>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</si>
  <si>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</si>
  <si>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</si>
  <si>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</si>
  <si>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</si>
  <si>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</si>
  <si>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</si>
  <si>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</si>
  <si>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</si>
  <si>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</si>
  <si>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</si>
  <si>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</si>
  <si>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</si>
  <si>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</si>
  <si>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</si>
  <si>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</si>
  <si>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</si>
  <si>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</si>
  <si>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</si>
  <si>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</si>
  <si>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</si>
  <si>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</si>
  <si>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</si>
  <si>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</si>
  <si>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</si>
  <si>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</si>
  <si>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</si>
  <si>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</si>
  <si>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</si>
  <si>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</si>
  <si>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</si>
  <si>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</si>
  <si>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</si>
  <si>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</si>
  <si>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</si>
  <si>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</si>
  <si>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</si>
  <si>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</si>
  <si>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</si>
  <si>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</si>
  <si>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</si>
  <si>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</si>
  <si>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</si>
  <si>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</si>
  <si>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</si>
  <si>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</si>
  <si>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</si>
  <si>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</si>
  <si>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</si>
  <si>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</si>
  <si>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</si>
  <si>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</si>
  <si>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</si>
  <si>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</si>
  <si>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</si>
  <si>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</si>
  <si>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</si>
  <si>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</si>
  <si>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</si>
  <si>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</si>
  <si>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</si>
  <si>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</si>
  <si>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</si>
  <si>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</si>
  <si>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</si>
  <si>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</si>
  <si>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</si>
  <si>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</si>
  <si>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</si>
  <si>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</si>
  <si>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</si>
  <si>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</si>
  <si>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</si>
  <si>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</si>
  <si>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</si>
  <si>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</si>
  <si>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</si>
  <si>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</si>
  <si>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</si>
  <si>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</si>
  <si>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</si>
  <si>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</si>
  <si>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</si>
  <si>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</si>
  <si>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</si>
  <si>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</si>
  <si>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</si>
  <si>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</si>
  <si>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</si>
  <si>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</si>
  <si>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</si>
  <si>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</si>
  <si>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</si>
  <si>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</si>
  <si>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</si>
  <si>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</si>
  <si>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</si>
  <si>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</si>
  <si>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</si>
  <si>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</si>
  <si>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</si>
  <si>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</si>
  <si>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</si>
  <si>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</si>
  <si>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</si>
  <si>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</si>
  <si>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</si>
  <si>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</si>
  <si>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</si>
  <si>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</si>
  <si>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</si>
  <si>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</si>
  <si>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</si>
  <si>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</si>
  <si>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</si>
  <si>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</si>
  <si>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</si>
  <si>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</si>
  <si>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</si>
  <si>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</si>
  <si>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</si>
  <si>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</si>
  <si>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</si>
  <si>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</si>
  <si>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</si>
  <si>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</si>
  <si>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</si>
  <si>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</si>
  <si>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</si>
  <si>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</si>
  <si>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</si>
  <si>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</si>
  <si>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</si>
  <si>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</si>
  <si>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</si>
  <si>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</si>
  <si>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</si>
  <si>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</si>
  <si>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</si>
  <si>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</si>
  <si>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</si>
  <si>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</si>
  <si>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</si>
  <si>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</si>
  <si>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</si>
  <si>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</si>
  <si>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</si>
  <si>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</si>
  <si>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</si>
  <si>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</si>
  <si>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</si>
  <si>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</si>
  <si>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</si>
  <si>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</si>
  <si>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</si>
  <si>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</si>
  <si>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</si>
  <si>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</si>
  <si>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</si>
  <si>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</si>
  <si>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</si>
  <si>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</si>
  <si>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</si>
  <si>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</si>
  <si>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</si>
  <si>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</si>
  <si>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</si>
  <si>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</si>
  <si>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</si>
  <si>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</si>
  <si>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</si>
  <si>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</si>
  <si>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</si>
  <si>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</si>
  <si>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</si>
  <si>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</si>
  <si>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</si>
  <si>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</si>
  <si>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</si>
  <si>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</si>
  <si>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</si>
  <si>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</si>
  <si>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</si>
  <si>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</si>
  <si>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</si>
  <si>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</si>
  <si>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</si>
  <si>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</si>
  <si>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</si>
  <si>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</si>
  <si>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</si>
  <si>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</si>
  <si>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</si>
  <si>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</si>
  <si>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</si>
  <si>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</si>
  <si>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</si>
  <si>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</si>
  <si>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</si>
  <si>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</si>
  <si>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</si>
  <si>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</si>
  <si>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</si>
  <si>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</si>
  <si>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</si>
  <si>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</si>
  <si>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</si>
  <si>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</si>
  <si>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</si>
  <si>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</si>
  <si>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</si>
  <si>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</si>
  <si>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</si>
  <si>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</si>
  <si>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</si>
  <si>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</si>
  <si>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</si>
  <si>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</si>
  <si>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</si>
  <si>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</si>
  <si>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</si>
  <si>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</si>
  <si>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</si>
  <si>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</si>
  <si>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</si>
  <si>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</si>
  <si>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</si>
  <si>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</si>
  <si>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</si>
  <si>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</si>
  <si>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</si>
  <si>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</si>
  <si>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</si>
  <si>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</si>
  <si>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</si>
  <si>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</si>
  <si>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</si>
  <si>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</si>
  <si>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</si>
  <si>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</si>
  <si>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</si>
  <si>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</si>
  <si>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</si>
  <si>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</si>
  <si>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</si>
  <si>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</si>
  <si>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</si>
  <si>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</si>
  <si>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</si>
  <si>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</si>
  <si>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</si>
  <si>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</si>
  <si>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</si>
  <si>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</si>
  <si>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</si>
  <si>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</si>
  <si>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</si>
  <si>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</si>
  <si>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</si>
  <si>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</si>
  <si>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</si>
  <si>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</si>
  <si>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</si>
  <si>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</si>
  <si>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</si>
  <si>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</si>
  <si>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</si>
  <si>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</si>
  <si>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</si>
  <si>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</si>
  <si>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</si>
  <si>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</si>
  <si>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</si>
  <si>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</si>
  <si>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</si>
  <si>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</si>
  <si>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</si>
  <si>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</si>
  <si>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</si>
  <si>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</si>
  <si>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</si>
  <si>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</si>
  <si>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</si>
  <si>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</si>
  <si>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</si>
  <si>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</si>
  <si>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</si>
  <si>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</si>
  <si>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</si>
  <si>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</si>
  <si>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</si>
  <si>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</si>
  <si>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</si>
  <si>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</si>
  <si>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</si>
  <si>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</si>
  <si>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</si>
  <si>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</si>
  <si>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</si>
  <si>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</si>
  <si>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</si>
  <si>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</si>
  <si>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</si>
  <si>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</si>
  <si>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</si>
  <si>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</si>
  <si>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</si>
  <si>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</si>
  <si>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</si>
  <si>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</si>
  <si>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</si>
  <si>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</si>
  <si>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</si>
  <si>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</si>
  <si>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</si>
  <si>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</si>
  <si>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</si>
  <si>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</si>
  <si>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</si>
  <si>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</si>
  <si>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</si>
  <si>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</si>
  <si>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</si>
  <si>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</si>
  <si>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</si>
  <si>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</si>
  <si>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</si>
  <si>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</si>
  <si>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</si>
  <si>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</si>
  <si>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</si>
  <si>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</si>
  <si>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</si>
  <si>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</si>
  <si>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</si>
  <si>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</si>
  <si>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</si>
  <si>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</si>
  <si>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</si>
  <si>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</si>
  <si>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</si>
  <si>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</si>
  <si>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</si>
  <si>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</si>
  <si>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</si>
  <si>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</si>
  <si>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</si>
  <si>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</si>
  <si>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</si>
  <si>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</si>
  <si>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</si>
  <si>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</si>
  <si>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</si>
  <si>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</si>
  <si>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</si>
  <si>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</si>
  <si>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</si>
  <si>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</si>
  <si>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</si>
  <si>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</si>
  <si>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</si>
  <si>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</si>
  <si>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</si>
  <si>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</si>
  <si>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</si>
  <si>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</si>
  <si>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</si>
  <si>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</si>
  <si>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</si>
  <si>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</si>
  <si>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</si>
  <si>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</si>
  <si>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</si>
  <si>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</si>
  <si>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</si>
  <si>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</si>
  <si>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</si>
  <si>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</si>
  <si>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</si>
  <si>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</si>
  <si>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</si>
  <si>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</si>
  <si>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</si>
  <si>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</si>
  <si>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</si>
  <si>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</si>
  <si>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</si>
  <si>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</si>
  <si>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</si>
  <si>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</si>
  <si>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</si>
  <si>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</si>
  <si>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</si>
  <si>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</si>
  <si>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</si>
  <si>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</si>
  <si>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</si>
  <si>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</si>
  <si>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</si>
  <si>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</si>
  <si>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</si>
  <si>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</si>
  <si>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</si>
  <si>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</si>
  <si>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</si>
  <si>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</si>
  <si>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</si>
  <si>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</si>
  <si>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</si>
  <si>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</si>
  <si>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</si>
  <si>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</si>
  <si>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</si>
  <si>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</si>
  <si>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</si>
  <si>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</si>
  <si>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</si>
  <si>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</si>
  <si>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</si>
  <si>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</si>
  <si>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</si>
  <si>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</si>
  <si>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</si>
  <si>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</si>
  <si>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</si>
  <si>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</si>
  <si>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</si>
  <si>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</si>
  <si>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</si>
  <si>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</si>
  <si>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</si>
  <si>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</si>
  <si>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</si>
  <si>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</si>
  <si>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</si>
  <si>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</si>
  <si>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</si>
  <si>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</si>
  <si>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</si>
  <si>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</si>
  <si>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</si>
  <si>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</si>
  <si>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</si>
  <si>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</si>
  <si>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</si>
  <si>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</si>
  <si>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</si>
  <si>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</si>
  <si>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</si>
  <si>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</si>
  <si>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</si>
  <si>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</si>
  <si>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</si>
  <si>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</si>
  <si>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</si>
  <si>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</si>
  <si>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</si>
  <si>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</si>
  <si>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</si>
  <si>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</si>
  <si>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</si>
  <si>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</si>
  <si>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</si>
  <si>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</si>
  <si>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</si>
  <si>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</si>
  <si>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</si>
  <si>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</si>
  <si>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</si>
  <si>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</si>
  <si>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</si>
  <si>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</si>
  <si>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</si>
  <si>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</si>
  <si>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</si>
  <si>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</si>
  <si>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</si>
  <si>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</si>
  <si>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</si>
  <si>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</si>
  <si>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</si>
  <si>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</si>
  <si>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</si>
  <si>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</si>
  <si>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</si>
  <si>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</si>
  <si>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</si>
  <si>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</si>
  <si>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</si>
  <si>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</si>
  <si>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</si>
  <si>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</si>
  <si>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</si>
  <si>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</si>
  <si>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</si>
  <si>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</si>
  <si>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</si>
  <si>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</si>
  <si>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</si>
  <si>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</si>
  <si>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</si>
  <si>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</si>
  <si>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</si>
  <si>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</si>
  <si>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</si>
  <si>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</si>
  <si>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</si>
  <si>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</si>
  <si>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</si>
  <si>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</si>
  <si>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</si>
  <si>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</si>
  <si>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</si>
  <si>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</si>
  <si>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</si>
  <si>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</si>
  <si>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</si>
  <si>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</si>
  <si>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</si>
  <si>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</si>
  <si>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</si>
  <si>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</si>
  <si>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</si>
  <si>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</si>
  <si>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</si>
  <si>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</si>
  <si>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</si>
  <si>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</si>
  <si>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</si>
  <si>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</si>
  <si>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</si>
  <si>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</si>
  <si>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</si>
  <si>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</si>
  <si>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</si>
  <si>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</si>
  <si>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</si>
  <si>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</si>
  <si>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</si>
  <si>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</si>
  <si>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</si>
  <si>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</si>
  <si>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</si>
  <si>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</si>
  <si>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</si>
  <si>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</si>
  <si>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</si>
  <si>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</si>
  <si>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</si>
  <si>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</si>
  <si>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</si>
  <si>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</si>
  <si>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</si>
  <si>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</si>
  <si>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</si>
  <si>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</si>
  <si>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</si>
  <si>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</si>
  <si>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</si>
  <si>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</si>
  <si>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</si>
  <si>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</si>
  <si>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</si>
  <si>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</si>
  <si>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</si>
  <si>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</si>
  <si>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</si>
  <si>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</si>
  <si>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</si>
  <si>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</si>
  <si>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</si>
  <si>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</si>
  <si>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</si>
  <si>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</si>
  <si>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</si>
  <si>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</si>
  <si>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</si>
  <si>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</si>
  <si>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</si>
  <si>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</si>
  <si>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</si>
  <si>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</si>
  <si>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</si>
  <si>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</si>
  <si>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</si>
  <si>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</si>
  <si>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</si>
  <si>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</si>
  <si>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</si>
  <si>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</si>
  <si>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</si>
  <si>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</si>
  <si>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</si>
  <si>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</si>
  <si>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</si>
  <si>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</si>
  <si>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</si>
  <si>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</si>
  <si>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</si>
  <si>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</si>
  <si>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</si>
  <si>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</si>
  <si>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</si>
  <si>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</si>
  <si>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</si>
  <si>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</si>
  <si>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</si>
  <si>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</si>
  <si>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</si>
  <si>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</si>
  <si>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</si>
  <si>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</si>
  <si>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</si>
  <si>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</si>
  <si>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</si>
  <si>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</si>
  <si>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</si>
  <si>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</si>
  <si>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</si>
  <si>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</si>
  <si>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</si>
  <si>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</si>
  <si>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</si>
  <si>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</si>
  <si>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</si>
  <si>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</si>
  <si>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</si>
  <si>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</si>
  <si>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</si>
  <si>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</si>
  <si>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</si>
  <si>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</si>
  <si>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</si>
  <si>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</si>
  <si>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</si>
  <si>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</si>
  <si>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</si>
  <si>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</si>
  <si>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</si>
  <si>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</si>
  <si>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</si>
  <si>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</si>
  <si>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</si>
  <si>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</si>
  <si>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</si>
  <si>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</si>
  <si>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</si>
  <si>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</si>
  <si>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</si>
  <si>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</si>
  <si>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</si>
  <si>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</si>
  <si>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</si>
  <si>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</si>
  <si>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</si>
  <si>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</si>
  <si>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</si>
  <si>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</si>
  <si>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</si>
  <si>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</si>
  <si>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</si>
  <si>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</si>
  <si>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</si>
  <si>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</si>
  <si>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</si>
  <si>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</si>
  <si>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</si>
  <si>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</si>
  <si>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</si>
  <si>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</si>
  <si>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</si>
  <si>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</si>
  <si>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</si>
  <si>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</si>
  <si>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</si>
  <si>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</si>
  <si>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</si>
  <si>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</si>
  <si>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</si>
  <si>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</si>
  <si>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</si>
  <si>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</si>
  <si>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</si>
  <si>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</si>
  <si>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</si>
  <si>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</si>
  <si>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</si>
  <si>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</si>
  <si>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</si>
  <si>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</si>
  <si>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</si>
  <si>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</si>
  <si>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</si>
  <si>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</si>
  <si>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</si>
  <si>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</si>
  <si>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</si>
  <si>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</si>
  <si>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</si>
  <si>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</si>
  <si>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32006</t>
  </si>
  <si>
    <t>HOUTHULST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</si>
  <si>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</si>
  <si>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</si>
  <si>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</si>
  <si>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</si>
  <si>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</si>
  <si>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</si>
  <si>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</si>
  <si>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SAP-Eneco Energie nv</t>
  </si>
  <si>
    <t>Zandvoortstraat C47 11, 2800 Mechelen</t>
  </si>
  <si>
    <t>BGS-0078 SAP-Eneco Energie-agr.verg</t>
  </si>
  <si>
    <t>biogas - hoofdzakelijk agrarische stromen</t>
  </si>
  <si>
    <t>niet WKK interne verbrandingsmotor (gas)</t>
  </si>
  <si>
    <t>Heulegoedstraat 9 , 8650 Houthulst</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</si>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</sst>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32006</v>
      </c>
      <c r="B6" s="396"/>
      <c r="C6" s="397"/>
    </row>
    <row r="7" spans="1:7" s="394" customFormat="1" ht="15.75" customHeight="1">
      <c r="A7" s="398" t="str">
        <f>txtMunicipality</f>
        <v>HOUTHULST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12659.836814208984</v>
      </c>
      <c r="D10" s="687">
        <f ca="1">tertiair!C16</f>
        <v>0</v>
      </c>
      <c r="E10" s="687">
        <f ca="1">tertiair!D16</f>
        <v>7313.9783939420031</v>
      </c>
      <c r="F10" s="687">
        <f>tertiair!E16</f>
        <v>132.4043885705965</v>
      </c>
      <c r="G10" s="687">
        <f ca="1">tertiair!F16</f>
        <v>2671.5413539618494</v>
      </c>
      <c r="H10" s="687">
        <f>tertiair!G16</f>
        <v>0</v>
      </c>
      <c r="I10" s="687">
        <f>tertiair!H16</f>
        <v>0</v>
      </c>
      <c r="J10" s="687">
        <f>tertiair!I16</f>
        <v>0</v>
      </c>
      <c r="K10" s="687">
        <f>tertiair!J16</f>
        <v>0</v>
      </c>
      <c r="L10" s="687">
        <f>tertiair!K16</f>
        <v>0</v>
      </c>
      <c r="M10" s="687">
        <f ca="1">tertiair!L16</f>
        <v>0</v>
      </c>
      <c r="N10" s="687">
        <f>tertiair!M16</f>
        <v>0</v>
      </c>
      <c r="O10" s="687">
        <f ca="1">tertiair!N16</f>
        <v>1345.3189748439379</v>
      </c>
      <c r="P10" s="687">
        <f>tertiair!O16</f>
        <v>0</v>
      </c>
      <c r="Q10" s="688">
        <f>tertiair!P16</f>
        <v>19.066666666666666</v>
      </c>
      <c r="R10" s="690">
        <f ca="1">SUM(C10:Q10)</f>
        <v>24142.146592194036</v>
      </c>
      <c r="S10" s="67"/>
    </row>
    <row r="11" spans="1:19" s="456" customFormat="1">
      <c r="A11" s="802" t="s">
        <v>225</v>
      </c>
      <c r="B11" s="807"/>
      <c r="C11" s="687">
        <f>huishoudens!B8</f>
        <v>16699.888496499316</v>
      </c>
      <c r="D11" s="687">
        <f>huishoudens!C8</f>
        <v>0</v>
      </c>
      <c r="E11" s="687">
        <f>huishoudens!D8</f>
        <v>16575.711608492165</v>
      </c>
      <c r="F11" s="687">
        <f>huishoudens!E8</f>
        <v>10876.616844439495</v>
      </c>
      <c r="G11" s="687">
        <f>huishoudens!F8</f>
        <v>25271.573925342713</v>
      </c>
      <c r="H11" s="687">
        <f>huishoudens!G8</f>
        <v>0</v>
      </c>
      <c r="I11" s="687">
        <f>huishoudens!H8</f>
        <v>0</v>
      </c>
      <c r="J11" s="687">
        <f>huishoudens!I8</f>
        <v>0</v>
      </c>
      <c r="K11" s="687">
        <f>huishoudens!J8</f>
        <v>6617.8713560839697</v>
      </c>
      <c r="L11" s="687">
        <f>huishoudens!K8</f>
        <v>0</v>
      </c>
      <c r="M11" s="687">
        <f>huishoudens!L8</f>
        <v>0</v>
      </c>
      <c r="N11" s="687">
        <f>huishoudens!M8</f>
        <v>0</v>
      </c>
      <c r="O11" s="687">
        <f>huishoudens!N8</f>
        <v>12403.399311229832</v>
      </c>
      <c r="P11" s="687">
        <f>huishoudens!O8</f>
        <v>48.463333333333338</v>
      </c>
      <c r="Q11" s="688">
        <f>huishoudens!P8</f>
        <v>57.2</v>
      </c>
      <c r="R11" s="690">
        <f>SUM(C11:Q11)</f>
        <v>88550.724875420812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5835.025867888884</v>
      </c>
      <c r="D13" s="687">
        <f>industrie!C18</f>
        <v>0</v>
      </c>
      <c r="E13" s="687">
        <f>industrie!D18</f>
        <v>3120.8305285475453</v>
      </c>
      <c r="F13" s="687">
        <f>industrie!E18</f>
        <v>71.791514102939743</v>
      </c>
      <c r="G13" s="687">
        <f>industrie!F18</f>
        <v>2590.0695983087253</v>
      </c>
      <c r="H13" s="687">
        <f>industrie!G18</f>
        <v>0</v>
      </c>
      <c r="I13" s="687">
        <f>industrie!H18</f>
        <v>0</v>
      </c>
      <c r="J13" s="687">
        <f>industrie!I18</f>
        <v>0</v>
      </c>
      <c r="K13" s="687">
        <f>industrie!J18</f>
        <v>22.979782310164254</v>
      </c>
      <c r="L13" s="687">
        <f>industrie!K18</f>
        <v>0</v>
      </c>
      <c r="M13" s="687">
        <f>industrie!L18</f>
        <v>0</v>
      </c>
      <c r="N13" s="687">
        <f>industrie!M18</f>
        <v>0</v>
      </c>
      <c r="O13" s="687">
        <f>industrie!N18</f>
        <v>242.08438071579201</v>
      </c>
      <c r="P13" s="687">
        <f>industrie!O18</f>
        <v>0</v>
      </c>
      <c r="Q13" s="688">
        <f>industrie!P18</f>
        <v>0</v>
      </c>
      <c r="R13" s="690">
        <f>SUM(C13:Q13)</f>
        <v>11882.781671874051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35194.751178597187</v>
      </c>
      <c r="D16" s="720">
        <f t="shared" ref="D16:R16" ca="1" si="0">SUM(D9:D15)</f>
        <v>0</v>
      </c>
      <c r="E16" s="720">
        <f t="shared" ca="1" si="0"/>
        <v>27010.52053098171</v>
      </c>
      <c r="F16" s="720">
        <f t="shared" si="0"/>
        <v>11080.81274711303</v>
      </c>
      <c r="G16" s="720">
        <f t="shared" ca="1" si="0"/>
        <v>30533.184877613287</v>
      </c>
      <c r="H16" s="720">
        <f t="shared" si="0"/>
        <v>0</v>
      </c>
      <c r="I16" s="720">
        <f t="shared" si="0"/>
        <v>0</v>
      </c>
      <c r="J16" s="720">
        <f t="shared" si="0"/>
        <v>0</v>
      </c>
      <c r="K16" s="720">
        <f t="shared" si="0"/>
        <v>6640.8511383941341</v>
      </c>
      <c r="L16" s="720">
        <f t="shared" si="0"/>
        <v>0</v>
      </c>
      <c r="M16" s="720">
        <f t="shared" ca="1" si="0"/>
        <v>0</v>
      </c>
      <c r="N16" s="720">
        <f t="shared" si="0"/>
        <v>0</v>
      </c>
      <c r="O16" s="720">
        <f t="shared" ca="1" si="0"/>
        <v>13990.802666789563</v>
      </c>
      <c r="P16" s="720">
        <f t="shared" si="0"/>
        <v>48.463333333333338</v>
      </c>
      <c r="Q16" s="720">
        <f t="shared" si="0"/>
        <v>76.266666666666666</v>
      </c>
      <c r="R16" s="720">
        <f t="shared" ca="1" si="0"/>
        <v>124575.6531394889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700.78042148207203</v>
      </c>
      <c r="I19" s="687">
        <f>transport!H54</f>
        <v>0</v>
      </c>
      <c r="J19" s="687">
        <f>transport!I54</f>
        <v>0</v>
      </c>
      <c r="K19" s="687">
        <f>transport!J54</f>
        <v>0</v>
      </c>
      <c r="L19" s="687">
        <f>transport!K54</f>
        <v>0</v>
      </c>
      <c r="M19" s="687">
        <f>transport!L54</f>
        <v>0</v>
      </c>
      <c r="N19" s="687">
        <f>transport!M54</f>
        <v>29.871224843661132</v>
      </c>
      <c r="O19" s="687">
        <f>transport!N54</f>
        <v>0</v>
      </c>
      <c r="P19" s="687">
        <f>transport!O54</f>
        <v>0</v>
      </c>
      <c r="Q19" s="688">
        <f>transport!P54</f>
        <v>0</v>
      </c>
      <c r="R19" s="690">
        <f>SUM(C19:Q19)</f>
        <v>730.65164632573317</v>
      </c>
      <c r="S19" s="67"/>
    </row>
    <row r="20" spans="1:19" s="456" customFormat="1">
      <c r="A20" s="802" t="s">
        <v>307</v>
      </c>
      <c r="B20" s="807"/>
      <c r="C20" s="687">
        <f>transport!B14</f>
        <v>0.41238893881212108</v>
      </c>
      <c r="D20" s="687">
        <f>transport!C14</f>
        <v>0</v>
      </c>
      <c r="E20" s="687">
        <f>transport!D14</f>
        <v>2.4009464372476335</v>
      </c>
      <c r="F20" s="687">
        <f>transport!E14</f>
        <v>237.06938024217976</v>
      </c>
      <c r="G20" s="687">
        <f>transport!F14</f>
        <v>0</v>
      </c>
      <c r="H20" s="687">
        <f>transport!G14</f>
        <v>37715.596584168161</v>
      </c>
      <c r="I20" s="687">
        <f>transport!H14</f>
        <v>7877.1805181483196</v>
      </c>
      <c r="J20" s="687">
        <f>transport!I14</f>
        <v>0</v>
      </c>
      <c r="K20" s="687">
        <f>transport!J14</f>
        <v>0</v>
      </c>
      <c r="L20" s="687">
        <f>transport!K14</f>
        <v>0</v>
      </c>
      <c r="M20" s="687">
        <f>transport!L14</f>
        <v>0</v>
      </c>
      <c r="N20" s="687">
        <f>transport!M14</f>
        <v>1993.0848251805203</v>
      </c>
      <c r="O20" s="687">
        <f>transport!N14</f>
        <v>0</v>
      </c>
      <c r="P20" s="687">
        <f>transport!O14</f>
        <v>0</v>
      </c>
      <c r="Q20" s="688">
        <f>transport!P14</f>
        <v>0</v>
      </c>
      <c r="R20" s="690">
        <f>SUM(C20:Q20)</f>
        <v>47825.744643115242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0.41238893881212108</v>
      </c>
      <c r="D22" s="805">
        <f t="shared" ref="D22:R22" si="1">SUM(D18:D21)</f>
        <v>0</v>
      </c>
      <c r="E22" s="805">
        <f t="shared" si="1"/>
        <v>2.4009464372476335</v>
      </c>
      <c r="F22" s="805">
        <f t="shared" si="1"/>
        <v>237.06938024217976</v>
      </c>
      <c r="G22" s="805">
        <f t="shared" si="1"/>
        <v>0</v>
      </c>
      <c r="H22" s="805">
        <f t="shared" si="1"/>
        <v>38416.377005650233</v>
      </c>
      <c r="I22" s="805">
        <f t="shared" si="1"/>
        <v>7877.1805181483196</v>
      </c>
      <c r="J22" s="805">
        <f t="shared" si="1"/>
        <v>0</v>
      </c>
      <c r="K22" s="805">
        <f t="shared" si="1"/>
        <v>0</v>
      </c>
      <c r="L22" s="805">
        <f t="shared" si="1"/>
        <v>0</v>
      </c>
      <c r="M22" s="805">
        <f t="shared" si="1"/>
        <v>0</v>
      </c>
      <c r="N22" s="805">
        <f t="shared" si="1"/>
        <v>2022.9560500241814</v>
      </c>
      <c r="O22" s="805">
        <f t="shared" si="1"/>
        <v>0</v>
      </c>
      <c r="P22" s="805">
        <f t="shared" si="1"/>
        <v>0</v>
      </c>
      <c r="Q22" s="805">
        <f t="shared" si="1"/>
        <v>0</v>
      </c>
      <c r="R22" s="805">
        <f t="shared" si="1"/>
        <v>48556.396289440978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4753.3703490562038</v>
      </c>
      <c r="D24" s="687">
        <f>+landbouw!C8</f>
        <v>0</v>
      </c>
      <c r="E24" s="687">
        <f>+landbouw!D8</f>
        <v>900.87648172238903</v>
      </c>
      <c r="F24" s="687">
        <f>+landbouw!E8</f>
        <v>49.778323358032203</v>
      </c>
      <c r="G24" s="687">
        <f>+landbouw!F8</f>
        <v>20348.036888355455</v>
      </c>
      <c r="H24" s="687">
        <f>+landbouw!G8</f>
        <v>0</v>
      </c>
      <c r="I24" s="687">
        <f>+landbouw!H8</f>
        <v>0</v>
      </c>
      <c r="J24" s="687">
        <f>+landbouw!I8</f>
        <v>0</v>
      </c>
      <c r="K24" s="687">
        <f>+landbouw!J8</f>
        <v>424.51857735598759</v>
      </c>
      <c r="L24" s="687">
        <f>+landbouw!K8</f>
        <v>0</v>
      </c>
      <c r="M24" s="687">
        <f>+landbouw!L8</f>
        <v>0</v>
      </c>
      <c r="N24" s="687">
        <f>+landbouw!M8</f>
        <v>0</v>
      </c>
      <c r="O24" s="687">
        <f>+landbouw!N8</f>
        <v>0</v>
      </c>
      <c r="P24" s="687">
        <f>+landbouw!O8</f>
        <v>0</v>
      </c>
      <c r="Q24" s="688">
        <f>+landbouw!P8</f>
        <v>0</v>
      </c>
      <c r="R24" s="690">
        <f>SUM(C24:Q24)</f>
        <v>26476.580619848064</v>
      </c>
      <c r="S24" s="67"/>
    </row>
    <row r="25" spans="1:19" s="456" customFormat="1" ht="15" thickBot="1">
      <c r="A25" s="824" t="s">
        <v>925</v>
      </c>
      <c r="B25" s="988"/>
      <c r="C25" s="989">
        <f>IF(Onbekend_ele_kWh="---",0,Onbekend_ele_kWh)/1000+IF(REST_rest_ele_kWh="---",0,REST_rest_ele_kWh)/1000</f>
        <v>1189.3089888030499</v>
      </c>
      <c r="D25" s="989"/>
      <c r="E25" s="989">
        <f>IF(onbekend_gas_kWh="---",0,onbekend_gas_kWh)/1000+IF(REST_rest_gas_kWh="---",0,REST_rest_gas_kWh)/1000</f>
        <v>1020.3042448966499</v>
      </c>
      <c r="F25" s="989"/>
      <c r="G25" s="989"/>
      <c r="H25" s="989"/>
      <c r="I25" s="989"/>
      <c r="J25" s="989"/>
      <c r="K25" s="989"/>
      <c r="L25" s="989"/>
      <c r="M25" s="989"/>
      <c r="N25" s="989"/>
      <c r="O25" s="989"/>
      <c r="P25" s="989"/>
      <c r="Q25" s="990"/>
      <c r="R25" s="690">
        <f>SUM(C25:Q25)</f>
        <v>2209.6132336996998</v>
      </c>
      <c r="S25" s="67"/>
    </row>
    <row r="26" spans="1:19" s="456" customFormat="1" ht="15.75" thickBot="1">
      <c r="A26" s="693" t="s">
        <v>926</v>
      </c>
      <c r="B26" s="810"/>
      <c r="C26" s="805">
        <f>SUM(C24:C25)</f>
        <v>5942.6793378592538</v>
      </c>
      <c r="D26" s="805">
        <f t="shared" ref="D26:R26" si="2">SUM(D24:D25)</f>
        <v>0</v>
      </c>
      <c r="E26" s="805">
        <f t="shared" si="2"/>
        <v>1921.180726619039</v>
      </c>
      <c r="F26" s="805">
        <f t="shared" si="2"/>
        <v>49.778323358032203</v>
      </c>
      <c r="G26" s="805">
        <f t="shared" si="2"/>
        <v>20348.036888355455</v>
      </c>
      <c r="H26" s="805">
        <f t="shared" si="2"/>
        <v>0</v>
      </c>
      <c r="I26" s="805">
        <f t="shared" si="2"/>
        <v>0</v>
      </c>
      <c r="J26" s="805">
        <f t="shared" si="2"/>
        <v>0</v>
      </c>
      <c r="K26" s="805">
        <f t="shared" si="2"/>
        <v>424.51857735598759</v>
      </c>
      <c r="L26" s="805">
        <f t="shared" si="2"/>
        <v>0</v>
      </c>
      <c r="M26" s="805">
        <f t="shared" si="2"/>
        <v>0</v>
      </c>
      <c r="N26" s="805">
        <f t="shared" si="2"/>
        <v>0</v>
      </c>
      <c r="O26" s="805">
        <f t="shared" si="2"/>
        <v>0</v>
      </c>
      <c r="P26" s="805">
        <f t="shared" si="2"/>
        <v>0</v>
      </c>
      <c r="Q26" s="805">
        <f t="shared" si="2"/>
        <v>0</v>
      </c>
      <c r="R26" s="805">
        <f t="shared" si="2"/>
        <v>28686.193853547764</v>
      </c>
      <c r="S26" s="67"/>
    </row>
    <row r="27" spans="1:19" s="456" customFormat="1" ht="17.25" thickTop="1" thickBot="1">
      <c r="A27" s="694" t="s">
        <v>116</v>
      </c>
      <c r="B27" s="797"/>
      <c r="C27" s="695">
        <f ca="1">C22+C16+C26</f>
        <v>41137.842905395257</v>
      </c>
      <c r="D27" s="695">
        <f t="shared" ref="D27:R27" ca="1" si="3">D22+D16+D26</f>
        <v>0</v>
      </c>
      <c r="E27" s="695">
        <f t="shared" ca="1" si="3"/>
        <v>28934.102204037998</v>
      </c>
      <c r="F27" s="695">
        <f t="shared" si="3"/>
        <v>11367.660450713242</v>
      </c>
      <c r="G27" s="695">
        <f t="shared" ca="1" si="3"/>
        <v>50881.221765968745</v>
      </c>
      <c r="H27" s="695">
        <f t="shared" si="3"/>
        <v>38416.377005650233</v>
      </c>
      <c r="I27" s="695">
        <f t="shared" si="3"/>
        <v>7877.1805181483196</v>
      </c>
      <c r="J27" s="695">
        <f t="shared" si="3"/>
        <v>0</v>
      </c>
      <c r="K27" s="695">
        <f t="shared" si="3"/>
        <v>7065.3697157501219</v>
      </c>
      <c r="L27" s="695">
        <f t="shared" si="3"/>
        <v>0</v>
      </c>
      <c r="M27" s="695">
        <f t="shared" ca="1" si="3"/>
        <v>0</v>
      </c>
      <c r="N27" s="695">
        <f t="shared" si="3"/>
        <v>2022.9560500241814</v>
      </c>
      <c r="O27" s="695">
        <f t="shared" ca="1" si="3"/>
        <v>13990.802666789563</v>
      </c>
      <c r="P27" s="695">
        <f t="shared" si="3"/>
        <v>48.463333333333338</v>
      </c>
      <c r="Q27" s="695">
        <f t="shared" si="3"/>
        <v>76.266666666666666</v>
      </c>
      <c r="R27" s="695">
        <f t="shared" ca="1" si="3"/>
        <v>201818.24328247763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2165.5820151412295</v>
      </c>
      <c r="D40" s="687">
        <f ca="1">tertiair!C20</f>
        <v>0</v>
      </c>
      <c r="E40" s="687">
        <f ca="1">tertiair!D20</f>
        <v>1477.4236355762848</v>
      </c>
      <c r="F40" s="687">
        <f>tertiair!E20</f>
        <v>30.055796205525404</v>
      </c>
      <c r="G40" s="687">
        <f ca="1">tertiair!F20</f>
        <v>713.30154150781379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4386.362988430853</v>
      </c>
    </row>
    <row r="41" spans="1:18">
      <c r="A41" s="815" t="s">
        <v>225</v>
      </c>
      <c r="B41" s="822"/>
      <c r="C41" s="687">
        <f ca="1">huishoudens!B12</f>
        <v>2856.6701698944844</v>
      </c>
      <c r="D41" s="687">
        <f ca="1">huishoudens!C12</f>
        <v>0</v>
      </c>
      <c r="E41" s="687">
        <f>huishoudens!D12</f>
        <v>3348.2937449154178</v>
      </c>
      <c r="F41" s="687">
        <f>huishoudens!E12</f>
        <v>2468.9920236877656</v>
      </c>
      <c r="G41" s="687">
        <f>huishoudens!F12</f>
        <v>6747.5102380665048</v>
      </c>
      <c r="H41" s="687">
        <f>huishoudens!G12</f>
        <v>0</v>
      </c>
      <c r="I41" s="687">
        <f>huishoudens!H12</f>
        <v>0</v>
      </c>
      <c r="J41" s="687">
        <f>huishoudens!I12</f>
        <v>0</v>
      </c>
      <c r="K41" s="687">
        <f>huishoudens!J12</f>
        <v>2342.7264600537251</v>
      </c>
      <c r="L41" s="687">
        <f>huishoudens!K12</f>
        <v>0</v>
      </c>
      <c r="M41" s="687">
        <f>huishoudens!L12</f>
        <v>0</v>
      </c>
      <c r="N41" s="687">
        <f>huishoudens!M12</f>
        <v>0</v>
      </c>
      <c r="O41" s="687">
        <f>huishoudens!N12</f>
        <v>0</v>
      </c>
      <c r="P41" s="687">
        <f>huishoudens!O12</f>
        <v>0</v>
      </c>
      <c r="Q41" s="762">
        <f>huishoudens!P12</f>
        <v>0</v>
      </c>
      <c r="R41" s="843">
        <f t="shared" ca="1" si="4"/>
        <v>17764.192636617896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998.13506783922571</v>
      </c>
      <c r="D43" s="687">
        <f ca="1">industrie!C22</f>
        <v>0</v>
      </c>
      <c r="E43" s="687">
        <f>industrie!D22</f>
        <v>630.40776676660414</v>
      </c>
      <c r="F43" s="687">
        <f>industrie!E22</f>
        <v>16.296673701367322</v>
      </c>
      <c r="G43" s="687">
        <f>industrie!F22</f>
        <v>691.54858274842968</v>
      </c>
      <c r="H43" s="687">
        <f>industrie!G22</f>
        <v>0</v>
      </c>
      <c r="I43" s="687">
        <f>industrie!H22</f>
        <v>0</v>
      </c>
      <c r="J43" s="687">
        <f>industrie!I22</f>
        <v>0</v>
      </c>
      <c r="K43" s="687">
        <f>industrie!J22</f>
        <v>8.1348429377981457</v>
      </c>
      <c r="L43" s="687">
        <f>industrie!K22</f>
        <v>0</v>
      </c>
      <c r="M43" s="687">
        <f>industrie!L22</f>
        <v>0</v>
      </c>
      <c r="N43" s="687">
        <f>industrie!M22</f>
        <v>0</v>
      </c>
      <c r="O43" s="687">
        <f>industrie!N22</f>
        <v>0</v>
      </c>
      <c r="P43" s="687">
        <f>industrie!O22</f>
        <v>0</v>
      </c>
      <c r="Q43" s="762">
        <f>industrie!P22</f>
        <v>0</v>
      </c>
      <c r="R43" s="842">
        <f t="shared" ca="1" si="4"/>
        <v>2344.5229339934249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6020.3872528749389</v>
      </c>
      <c r="D46" s="720">
        <f t="shared" ref="D46:Q46" ca="1" si="5">SUM(D39:D45)</f>
        <v>0</v>
      </c>
      <c r="E46" s="720">
        <f t="shared" ca="1" si="5"/>
        <v>5456.1251472583072</v>
      </c>
      <c r="F46" s="720">
        <f t="shared" si="5"/>
        <v>2515.3444935946582</v>
      </c>
      <c r="G46" s="720">
        <f t="shared" ca="1" si="5"/>
        <v>8152.3603623227482</v>
      </c>
      <c r="H46" s="720">
        <f t="shared" si="5"/>
        <v>0</v>
      </c>
      <c r="I46" s="720">
        <f t="shared" si="5"/>
        <v>0</v>
      </c>
      <c r="J46" s="720">
        <f t="shared" si="5"/>
        <v>0</v>
      </c>
      <c r="K46" s="720">
        <f t="shared" si="5"/>
        <v>2350.8613029915232</v>
      </c>
      <c r="L46" s="720">
        <f t="shared" si="5"/>
        <v>0</v>
      </c>
      <c r="M46" s="720">
        <f t="shared" ca="1" si="5"/>
        <v>0</v>
      </c>
      <c r="N46" s="720">
        <f t="shared" si="5"/>
        <v>0</v>
      </c>
      <c r="O46" s="720">
        <f t="shared" ca="1" si="5"/>
        <v>0</v>
      </c>
      <c r="P46" s="720">
        <f t="shared" si="5"/>
        <v>0</v>
      </c>
      <c r="Q46" s="720">
        <f t="shared" si="5"/>
        <v>0</v>
      </c>
      <c r="R46" s="720">
        <f ca="1">SUM(R39:R45)</f>
        <v>24495.078559042173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187.10837253571324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187.10837253571324</v>
      </c>
    </row>
    <row r="50" spans="1:18">
      <c r="A50" s="818" t="s">
        <v>307</v>
      </c>
      <c r="B50" s="828"/>
      <c r="C50" s="995">
        <f ca="1">transport!B18</f>
        <v>7.0542936867271699E-2</v>
      </c>
      <c r="D50" s="995">
        <f>transport!C18</f>
        <v>0</v>
      </c>
      <c r="E50" s="995">
        <f>transport!D18</f>
        <v>0.484991180324022</v>
      </c>
      <c r="F50" s="995">
        <f>transport!E18</f>
        <v>53.814749314974804</v>
      </c>
      <c r="G50" s="995">
        <f>transport!F18</f>
        <v>0</v>
      </c>
      <c r="H50" s="995">
        <f>transport!G18</f>
        <v>10070.0642879729</v>
      </c>
      <c r="I50" s="995">
        <f>transport!H18</f>
        <v>1961.4179490189315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12085.852520423998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7.0542936867271699E-2</v>
      </c>
      <c r="D52" s="720">
        <f t="shared" ref="D52:Q52" ca="1" si="6">SUM(D48:D51)</f>
        <v>0</v>
      </c>
      <c r="E52" s="720">
        <f t="shared" si="6"/>
        <v>0.484991180324022</v>
      </c>
      <c r="F52" s="720">
        <f t="shared" si="6"/>
        <v>53.814749314974804</v>
      </c>
      <c r="G52" s="720">
        <f t="shared" si="6"/>
        <v>0</v>
      </c>
      <c r="H52" s="720">
        <f t="shared" si="6"/>
        <v>10257.172660508613</v>
      </c>
      <c r="I52" s="720">
        <f t="shared" si="6"/>
        <v>1961.4179490189315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12272.960892959711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813.10790101719692</v>
      </c>
      <c r="D54" s="995">
        <f ca="1">+landbouw!C12</f>
        <v>0</v>
      </c>
      <c r="E54" s="995">
        <f>+landbouw!D12</f>
        <v>181.97704930792258</v>
      </c>
      <c r="F54" s="995">
        <f>+landbouw!E12</f>
        <v>11.299679402273311</v>
      </c>
      <c r="G54" s="995">
        <f>+landbouw!F12</f>
        <v>5432.9258491909068</v>
      </c>
      <c r="H54" s="995">
        <f>+landbouw!G12</f>
        <v>0</v>
      </c>
      <c r="I54" s="995">
        <f>+landbouw!H12</f>
        <v>0</v>
      </c>
      <c r="J54" s="995">
        <f>+landbouw!I12</f>
        <v>0</v>
      </c>
      <c r="K54" s="995">
        <f>+landbouw!J12</f>
        <v>150.27957638401961</v>
      </c>
      <c r="L54" s="995">
        <f>+landbouw!K12</f>
        <v>0</v>
      </c>
      <c r="M54" s="995">
        <f>+landbouw!L12</f>
        <v>0</v>
      </c>
      <c r="N54" s="995">
        <f>+landbouw!M12</f>
        <v>0</v>
      </c>
      <c r="O54" s="995">
        <f>+landbouw!N12</f>
        <v>0</v>
      </c>
      <c r="P54" s="995">
        <f>+landbouw!O12</f>
        <v>0</v>
      </c>
      <c r="Q54" s="996">
        <f>+landbouw!P12</f>
        <v>0</v>
      </c>
      <c r="R54" s="719">
        <f ca="1">SUM(C54:Q54)</f>
        <v>6589.5900553023193</v>
      </c>
    </row>
    <row r="55" spans="1:18" ht="15" thickBot="1">
      <c r="A55" s="818" t="s">
        <v>925</v>
      </c>
      <c r="B55" s="828"/>
      <c r="C55" s="995">
        <f ca="1">C25*'EF ele_warmte'!B12</f>
        <v>203.44228716336841</v>
      </c>
      <c r="D55" s="995"/>
      <c r="E55" s="995">
        <f>E25*EF_CO2_aardgas</f>
        <v>206.10145746912329</v>
      </c>
      <c r="F55" s="995"/>
      <c r="G55" s="995"/>
      <c r="H55" s="995"/>
      <c r="I55" s="995"/>
      <c r="J55" s="995"/>
      <c r="K55" s="995"/>
      <c r="L55" s="995"/>
      <c r="M55" s="995"/>
      <c r="N55" s="995"/>
      <c r="O55" s="995"/>
      <c r="P55" s="995"/>
      <c r="Q55" s="996"/>
      <c r="R55" s="719">
        <f ca="1">SUM(C55:Q55)</f>
        <v>409.54374463249167</v>
      </c>
    </row>
    <row r="56" spans="1:18" ht="15.75" thickBot="1">
      <c r="A56" s="816" t="s">
        <v>926</v>
      </c>
      <c r="B56" s="829"/>
      <c r="C56" s="720">
        <f ca="1">SUM(C54:C55)</f>
        <v>1016.5501881805653</v>
      </c>
      <c r="D56" s="720">
        <f t="shared" ref="D56:Q56" ca="1" si="7">SUM(D54:D55)</f>
        <v>0</v>
      </c>
      <c r="E56" s="720">
        <f t="shared" si="7"/>
        <v>388.07850677704585</v>
      </c>
      <c r="F56" s="720">
        <f t="shared" si="7"/>
        <v>11.299679402273311</v>
      </c>
      <c r="G56" s="720">
        <f t="shared" si="7"/>
        <v>5432.9258491909068</v>
      </c>
      <c r="H56" s="720">
        <f t="shared" si="7"/>
        <v>0</v>
      </c>
      <c r="I56" s="720">
        <f t="shared" si="7"/>
        <v>0</v>
      </c>
      <c r="J56" s="720">
        <f t="shared" si="7"/>
        <v>0</v>
      </c>
      <c r="K56" s="720">
        <f t="shared" si="7"/>
        <v>150.27957638401961</v>
      </c>
      <c r="L56" s="720">
        <f t="shared" si="7"/>
        <v>0</v>
      </c>
      <c r="M56" s="720">
        <f t="shared" si="7"/>
        <v>0</v>
      </c>
      <c r="N56" s="720">
        <f t="shared" si="7"/>
        <v>0</v>
      </c>
      <c r="O56" s="720">
        <f t="shared" si="7"/>
        <v>0</v>
      </c>
      <c r="P56" s="720">
        <f t="shared" si="7"/>
        <v>0</v>
      </c>
      <c r="Q56" s="721">
        <f t="shared" si="7"/>
        <v>0</v>
      </c>
      <c r="R56" s="722">
        <f ca="1">SUM(R54:R55)</f>
        <v>6999.1337999348107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7037.007983992371</v>
      </c>
      <c r="D61" s="728">
        <f t="shared" ref="D61:Q61" ca="1" si="8">D46+D52+D56</f>
        <v>0</v>
      </c>
      <c r="E61" s="728">
        <f t="shared" ca="1" si="8"/>
        <v>5844.6886452156768</v>
      </c>
      <c r="F61" s="728">
        <f t="shared" si="8"/>
        <v>2580.4589223119065</v>
      </c>
      <c r="G61" s="728">
        <f t="shared" ca="1" si="8"/>
        <v>13585.286211513656</v>
      </c>
      <c r="H61" s="728">
        <f t="shared" si="8"/>
        <v>10257.172660508613</v>
      </c>
      <c r="I61" s="728">
        <f t="shared" si="8"/>
        <v>1961.4179490189315</v>
      </c>
      <c r="J61" s="728">
        <f t="shared" si="8"/>
        <v>0</v>
      </c>
      <c r="K61" s="728">
        <f t="shared" si="8"/>
        <v>2501.1408793755427</v>
      </c>
      <c r="L61" s="728">
        <f t="shared" si="8"/>
        <v>0</v>
      </c>
      <c r="M61" s="728">
        <f t="shared" ca="1" si="8"/>
        <v>0</v>
      </c>
      <c r="N61" s="728">
        <f t="shared" si="8"/>
        <v>0</v>
      </c>
      <c r="O61" s="728">
        <f t="shared" ca="1" si="8"/>
        <v>0</v>
      </c>
      <c r="P61" s="728">
        <f t="shared" si="8"/>
        <v>0</v>
      </c>
      <c r="Q61" s="728">
        <f t="shared" si="8"/>
        <v>0</v>
      </c>
      <c r="R61" s="728">
        <f ca="1">R46+R52+R56</f>
        <v>43767.173251936692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0.17105923614360108</v>
      </c>
      <c r="D63" s="772">
        <f t="shared" ca="1" si="9"/>
        <v>0</v>
      </c>
      <c r="E63" s="997">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2928.6778194569156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6367.5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18192.857142857145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9296.177819456916</v>
      </c>
      <c r="C78" s="743">
        <f>SUM(C72:C77)</f>
        <v>0</v>
      </c>
      <c r="D78" s="744">
        <f t="shared" ref="D78:H78" si="10">SUM(D76:D77)</f>
        <v>0</v>
      </c>
      <c r="E78" s="744">
        <f t="shared" si="10"/>
        <v>0</v>
      </c>
      <c r="F78" s="744">
        <f t="shared" si="10"/>
        <v>0</v>
      </c>
      <c r="G78" s="744">
        <f t="shared" si="10"/>
        <v>0</v>
      </c>
      <c r="H78" s="744">
        <f t="shared" si="10"/>
        <v>0</v>
      </c>
      <c r="I78" s="744">
        <f>SUM(I76:I77)</f>
        <v>0</v>
      </c>
      <c r="J78" s="744">
        <f>SUM(J76:J77)</f>
        <v>18192.857142857145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16699.888496499316</v>
      </c>
      <c r="C4" s="460">
        <f>huishoudens!C8</f>
        <v>0</v>
      </c>
      <c r="D4" s="460">
        <f>huishoudens!D8</f>
        <v>16575.711608492165</v>
      </c>
      <c r="E4" s="460">
        <f>huishoudens!E8</f>
        <v>10876.616844439495</v>
      </c>
      <c r="F4" s="460">
        <f>huishoudens!F8</f>
        <v>25271.573925342713</v>
      </c>
      <c r="G4" s="460">
        <f>huishoudens!G8</f>
        <v>0</v>
      </c>
      <c r="H4" s="460">
        <f>huishoudens!H8</f>
        <v>0</v>
      </c>
      <c r="I4" s="460">
        <f>huishoudens!I8</f>
        <v>0</v>
      </c>
      <c r="J4" s="460">
        <f>huishoudens!J8</f>
        <v>6617.8713560839697</v>
      </c>
      <c r="K4" s="460">
        <f>huishoudens!K8</f>
        <v>0</v>
      </c>
      <c r="L4" s="460">
        <f>huishoudens!L8</f>
        <v>0</v>
      </c>
      <c r="M4" s="460">
        <f>huishoudens!M8</f>
        <v>0</v>
      </c>
      <c r="N4" s="460">
        <f>huishoudens!N8</f>
        <v>12403.399311229832</v>
      </c>
      <c r="O4" s="460">
        <f>huishoudens!O8</f>
        <v>48.463333333333338</v>
      </c>
      <c r="P4" s="461">
        <f>huishoudens!P8</f>
        <v>57.2</v>
      </c>
      <c r="Q4" s="462">
        <f>SUM(B4:P4)</f>
        <v>88550.724875420812</v>
      </c>
    </row>
    <row r="5" spans="1:17">
      <c r="A5" s="459" t="s">
        <v>156</v>
      </c>
      <c r="B5" s="460">
        <f ca="1">tertiair!B16</f>
        <v>11790.436814208984</v>
      </c>
      <c r="C5" s="460">
        <f ca="1">tertiair!C16</f>
        <v>0</v>
      </c>
      <c r="D5" s="460">
        <f ca="1">tertiair!D16</f>
        <v>7313.9783939420031</v>
      </c>
      <c r="E5" s="460">
        <f>tertiair!E16</f>
        <v>132.4043885705965</v>
      </c>
      <c r="F5" s="460">
        <f ca="1">tertiair!F16</f>
        <v>2671.5413539618494</v>
      </c>
      <c r="G5" s="460">
        <f>tertiair!G16</f>
        <v>0</v>
      </c>
      <c r="H5" s="460">
        <f>tertiair!H16</f>
        <v>0</v>
      </c>
      <c r="I5" s="460">
        <f>tertiair!I16</f>
        <v>0</v>
      </c>
      <c r="J5" s="460">
        <f>tertiair!J16</f>
        <v>0</v>
      </c>
      <c r="K5" s="460">
        <f>tertiair!K16</f>
        <v>0</v>
      </c>
      <c r="L5" s="460">
        <f ca="1">tertiair!L16</f>
        <v>0</v>
      </c>
      <c r="M5" s="460">
        <f>tertiair!M16</f>
        <v>0</v>
      </c>
      <c r="N5" s="460">
        <f ca="1">tertiair!N16</f>
        <v>1345.3189748439379</v>
      </c>
      <c r="O5" s="460">
        <f>tertiair!O16</f>
        <v>0</v>
      </c>
      <c r="P5" s="461">
        <f>tertiair!P16</f>
        <v>19.066666666666666</v>
      </c>
      <c r="Q5" s="459">
        <f t="shared" ref="Q5:Q14" ca="1" si="0">SUM(B5:P5)</f>
        <v>23272.746592194038</v>
      </c>
    </row>
    <row r="6" spans="1:17">
      <c r="A6" s="459" t="s">
        <v>194</v>
      </c>
      <c r="B6" s="460">
        <f>'openbare verlichting'!B8</f>
        <v>869.4</v>
      </c>
      <c r="C6" s="460"/>
      <c r="D6" s="460"/>
      <c r="E6" s="460"/>
      <c r="F6" s="460"/>
      <c r="G6" s="460"/>
      <c r="H6" s="460"/>
      <c r="I6" s="460"/>
      <c r="J6" s="460"/>
      <c r="K6" s="460"/>
      <c r="L6" s="460"/>
      <c r="M6" s="460"/>
      <c r="N6" s="460"/>
      <c r="O6" s="460"/>
      <c r="P6" s="461"/>
      <c r="Q6" s="459">
        <f t="shared" si="0"/>
        <v>869.4</v>
      </c>
    </row>
    <row r="7" spans="1:17">
      <c r="A7" s="459" t="s">
        <v>112</v>
      </c>
      <c r="B7" s="460">
        <f>landbouw!B8</f>
        <v>4753.3703490562038</v>
      </c>
      <c r="C7" s="460">
        <f>landbouw!C8</f>
        <v>0</v>
      </c>
      <c r="D7" s="460">
        <f>landbouw!D8</f>
        <v>900.87648172238903</v>
      </c>
      <c r="E7" s="460">
        <f>landbouw!E8</f>
        <v>49.778323358032203</v>
      </c>
      <c r="F7" s="460">
        <f>landbouw!F8</f>
        <v>20348.036888355455</v>
      </c>
      <c r="G7" s="460">
        <f>landbouw!G8</f>
        <v>0</v>
      </c>
      <c r="H7" s="460">
        <f>landbouw!H8</f>
        <v>0</v>
      </c>
      <c r="I7" s="460">
        <f>landbouw!I8</f>
        <v>0</v>
      </c>
      <c r="J7" s="460">
        <f>landbouw!J8</f>
        <v>424.51857735598759</v>
      </c>
      <c r="K7" s="460">
        <f>landbouw!K8</f>
        <v>0</v>
      </c>
      <c r="L7" s="460">
        <f>landbouw!L8</f>
        <v>0</v>
      </c>
      <c r="M7" s="460">
        <f>landbouw!M8</f>
        <v>0</v>
      </c>
      <c r="N7" s="460">
        <f>landbouw!N8</f>
        <v>0</v>
      </c>
      <c r="O7" s="460">
        <f>landbouw!O8</f>
        <v>0</v>
      </c>
      <c r="P7" s="461">
        <f>landbouw!P8</f>
        <v>0</v>
      </c>
      <c r="Q7" s="459">
        <f t="shared" si="0"/>
        <v>26476.580619848064</v>
      </c>
    </row>
    <row r="8" spans="1:17">
      <c r="A8" s="459" t="s">
        <v>655</v>
      </c>
      <c r="B8" s="460">
        <f>industrie!B18</f>
        <v>5835.025867888884</v>
      </c>
      <c r="C8" s="460">
        <f>industrie!C18</f>
        <v>0</v>
      </c>
      <c r="D8" s="460">
        <f>industrie!D18</f>
        <v>3120.8305285475453</v>
      </c>
      <c r="E8" s="460">
        <f>industrie!E18</f>
        <v>71.791514102939743</v>
      </c>
      <c r="F8" s="460">
        <f>industrie!F18</f>
        <v>2590.0695983087253</v>
      </c>
      <c r="G8" s="460">
        <f>industrie!G18</f>
        <v>0</v>
      </c>
      <c r="H8" s="460">
        <f>industrie!H18</f>
        <v>0</v>
      </c>
      <c r="I8" s="460">
        <f>industrie!I18</f>
        <v>0</v>
      </c>
      <c r="J8" s="460">
        <f>industrie!J18</f>
        <v>22.979782310164254</v>
      </c>
      <c r="K8" s="460">
        <f>industrie!K18</f>
        <v>0</v>
      </c>
      <c r="L8" s="460">
        <f>industrie!L18</f>
        <v>0</v>
      </c>
      <c r="M8" s="460">
        <f>industrie!M18</f>
        <v>0</v>
      </c>
      <c r="N8" s="460">
        <f>industrie!N18</f>
        <v>242.08438071579201</v>
      </c>
      <c r="O8" s="460">
        <f>industrie!O18</f>
        <v>0</v>
      </c>
      <c r="P8" s="461">
        <f>industrie!P18</f>
        <v>0</v>
      </c>
      <c r="Q8" s="459">
        <f t="shared" si="0"/>
        <v>11882.781671874051</v>
      </c>
    </row>
    <row r="9" spans="1:17" s="465" customFormat="1">
      <c r="A9" s="463" t="s">
        <v>573</v>
      </c>
      <c r="B9" s="464">
        <f>transport!B14</f>
        <v>0.41238893881212108</v>
      </c>
      <c r="C9" s="464">
        <f>transport!C14</f>
        <v>0</v>
      </c>
      <c r="D9" s="464">
        <f>transport!D14</f>
        <v>2.4009464372476335</v>
      </c>
      <c r="E9" s="464">
        <f>transport!E14</f>
        <v>237.06938024217976</v>
      </c>
      <c r="F9" s="464">
        <f>transport!F14</f>
        <v>0</v>
      </c>
      <c r="G9" s="464">
        <f>transport!G14</f>
        <v>37715.596584168161</v>
      </c>
      <c r="H9" s="464">
        <f>transport!H14</f>
        <v>7877.1805181483196</v>
      </c>
      <c r="I9" s="464">
        <f>transport!I14</f>
        <v>0</v>
      </c>
      <c r="J9" s="464">
        <f>transport!J14</f>
        <v>0</v>
      </c>
      <c r="K9" s="464">
        <f>transport!K14</f>
        <v>0</v>
      </c>
      <c r="L9" s="464">
        <f>transport!L14</f>
        <v>0</v>
      </c>
      <c r="M9" s="464">
        <f>transport!M14</f>
        <v>1993.0848251805203</v>
      </c>
      <c r="N9" s="464">
        <f>transport!N14</f>
        <v>0</v>
      </c>
      <c r="O9" s="464">
        <f>transport!O14</f>
        <v>0</v>
      </c>
      <c r="P9" s="464">
        <f>transport!P14</f>
        <v>0</v>
      </c>
      <c r="Q9" s="463">
        <f>SUM(B9:P9)</f>
        <v>47825.744643115242</v>
      </c>
    </row>
    <row r="10" spans="1:17">
      <c r="A10" s="459" t="s">
        <v>563</v>
      </c>
      <c r="B10" s="460">
        <f>transport!B54</f>
        <v>0</v>
      </c>
      <c r="C10" s="460">
        <f>transport!C54</f>
        <v>0</v>
      </c>
      <c r="D10" s="460">
        <f>transport!D54</f>
        <v>0</v>
      </c>
      <c r="E10" s="460">
        <f>transport!E54</f>
        <v>0</v>
      </c>
      <c r="F10" s="460">
        <f>transport!F54</f>
        <v>0</v>
      </c>
      <c r="G10" s="460">
        <f>transport!G54</f>
        <v>700.78042148207203</v>
      </c>
      <c r="H10" s="460">
        <f>transport!H54</f>
        <v>0</v>
      </c>
      <c r="I10" s="460">
        <f>transport!I54</f>
        <v>0</v>
      </c>
      <c r="J10" s="460">
        <f>transport!J54</f>
        <v>0</v>
      </c>
      <c r="K10" s="460">
        <f>transport!K54</f>
        <v>0</v>
      </c>
      <c r="L10" s="460">
        <f>transport!L54</f>
        <v>0</v>
      </c>
      <c r="M10" s="460">
        <f>transport!M54</f>
        <v>29.871224843661132</v>
      </c>
      <c r="N10" s="460">
        <f>transport!N54</f>
        <v>0</v>
      </c>
      <c r="O10" s="460">
        <f>transport!O54</f>
        <v>0</v>
      </c>
      <c r="P10" s="461">
        <f>transport!P54</f>
        <v>0</v>
      </c>
      <c r="Q10" s="459">
        <f t="shared" si="0"/>
        <v>730.65164632573317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1189.3089888030499</v>
      </c>
      <c r="C14" s="467"/>
      <c r="D14" s="467">
        <f>'SEAP template'!E25</f>
        <v>1020.3042448966499</v>
      </c>
      <c r="E14" s="467"/>
      <c r="F14" s="467"/>
      <c r="G14" s="467"/>
      <c r="H14" s="467"/>
      <c r="I14" s="467"/>
      <c r="J14" s="467"/>
      <c r="K14" s="467"/>
      <c r="L14" s="467"/>
      <c r="M14" s="467"/>
      <c r="N14" s="467"/>
      <c r="O14" s="467"/>
      <c r="P14" s="468"/>
      <c r="Q14" s="459">
        <f t="shared" si="0"/>
        <v>2209.6132336996998</v>
      </c>
    </row>
    <row r="15" spans="1:17" s="472" customFormat="1">
      <c r="A15" s="469" t="s">
        <v>567</v>
      </c>
      <c r="B15" s="470">
        <f ca="1">SUM(B4:B14)</f>
        <v>41137.842905395257</v>
      </c>
      <c r="C15" s="470">
        <f t="shared" ref="C15:Q15" ca="1" si="1">SUM(C4:C14)</f>
        <v>0</v>
      </c>
      <c r="D15" s="470">
        <f t="shared" ca="1" si="1"/>
        <v>28934.102204038001</v>
      </c>
      <c r="E15" s="470">
        <f t="shared" si="1"/>
        <v>11367.660450713242</v>
      </c>
      <c r="F15" s="470">
        <f t="shared" ca="1" si="1"/>
        <v>50881.221765968745</v>
      </c>
      <c r="G15" s="470">
        <f t="shared" si="1"/>
        <v>38416.377005650233</v>
      </c>
      <c r="H15" s="470">
        <f t="shared" si="1"/>
        <v>7877.1805181483196</v>
      </c>
      <c r="I15" s="470">
        <f t="shared" si="1"/>
        <v>0</v>
      </c>
      <c r="J15" s="470">
        <f t="shared" si="1"/>
        <v>7065.3697157501219</v>
      </c>
      <c r="K15" s="470">
        <f t="shared" si="1"/>
        <v>0</v>
      </c>
      <c r="L15" s="470">
        <f t="shared" ca="1" si="1"/>
        <v>0</v>
      </c>
      <c r="M15" s="470">
        <f t="shared" si="1"/>
        <v>2022.9560500241814</v>
      </c>
      <c r="N15" s="470">
        <f t="shared" ca="1" si="1"/>
        <v>13990.802666789563</v>
      </c>
      <c r="O15" s="470">
        <f t="shared" si="1"/>
        <v>48.463333333333338</v>
      </c>
      <c r="P15" s="470">
        <f t="shared" si="1"/>
        <v>76.266666666666666</v>
      </c>
      <c r="Q15" s="470">
        <f t="shared" ca="1" si="1"/>
        <v>201818.24328247763</v>
      </c>
    </row>
    <row r="17" spans="1:17">
      <c r="A17" s="473" t="s">
        <v>568</v>
      </c>
      <c r="B17" s="777">
        <f ca="1">huishoudens!B10</f>
        <v>0.17105923614360113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2856.6701698944844</v>
      </c>
      <c r="C22" s="460">
        <f t="shared" ref="C22:C32" ca="1" si="3">C4*$C$17</f>
        <v>0</v>
      </c>
      <c r="D22" s="460">
        <f t="shared" ref="D22:D32" si="4">D4*$D$17</f>
        <v>3348.2937449154178</v>
      </c>
      <c r="E22" s="460">
        <f t="shared" ref="E22:E32" si="5">E4*$E$17</f>
        <v>2468.9920236877656</v>
      </c>
      <c r="F22" s="460">
        <f t="shared" ref="F22:F32" si="6">F4*$F$17</f>
        <v>6747.5102380665048</v>
      </c>
      <c r="G22" s="460">
        <f t="shared" ref="G22:G32" si="7">G4*$G$17</f>
        <v>0</v>
      </c>
      <c r="H22" s="460">
        <f t="shared" ref="H22:H32" si="8">H4*$H$17</f>
        <v>0</v>
      </c>
      <c r="I22" s="460">
        <f t="shared" ref="I22:I32" si="9">I4*$I$17</f>
        <v>0</v>
      </c>
      <c r="J22" s="460">
        <f t="shared" ref="J22:J32" si="10">J4*$J$17</f>
        <v>2342.7264600537251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17764.192636617896</v>
      </c>
    </row>
    <row r="23" spans="1:17">
      <c r="A23" s="459" t="s">
        <v>156</v>
      </c>
      <c r="B23" s="460">
        <f t="shared" ca="1" si="2"/>
        <v>2016.8631152379828</v>
      </c>
      <c r="C23" s="460">
        <f t="shared" ca="1" si="3"/>
        <v>0</v>
      </c>
      <c r="D23" s="460">
        <f t="shared" ca="1" si="4"/>
        <v>1477.4236355762848</v>
      </c>
      <c r="E23" s="460">
        <f t="shared" si="5"/>
        <v>30.055796205525404</v>
      </c>
      <c r="F23" s="460">
        <f t="shared" ca="1" si="6"/>
        <v>713.30154150781379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4237.644088527607</v>
      </c>
    </row>
    <row r="24" spans="1:17">
      <c r="A24" s="459" t="s">
        <v>194</v>
      </c>
      <c r="B24" s="460">
        <f t="shared" ca="1" si="2"/>
        <v>148.71889990324684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148.71889990324684</v>
      </c>
    </row>
    <row r="25" spans="1:17">
      <c r="A25" s="459" t="s">
        <v>112</v>
      </c>
      <c r="B25" s="460">
        <f t="shared" ca="1" si="2"/>
        <v>813.10790101719692</v>
      </c>
      <c r="C25" s="460">
        <f t="shared" ca="1" si="3"/>
        <v>0</v>
      </c>
      <c r="D25" s="460">
        <f t="shared" si="4"/>
        <v>181.97704930792258</v>
      </c>
      <c r="E25" s="460">
        <f t="shared" si="5"/>
        <v>11.299679402273311</v>
      </c>
      <c r="F25" s="460">
        <f t="shared" si="6"/>
        <v>5432.9258491909068</v>
      </c>
      <c r="G25" s="460">
        <f t="shared" si="7"/>
        <v>0</v>
      </c>
      <c r="H25" s="460">
        <f t="shared" si="8"/>
        <v>0</v>
      </c>
      <c r="I25" s="460">
        <f t="shared" si="9"/>
        <v>0</v>
      </c>
      <c r="J25" s="460">
        <f t="shared" si="10"/>
        <v>150.27957638401961</v>
      </c>
      <c r="K25" s="460">
        <f t="shared" si="11"/>
        <v>0</v>
      </c>
      <c r="L25" s="460">
        <f t="shared" si="12"/>
        <v>0</v>
      </c>
      <c r="M25" s="460">
        <f t="shared" si="13"/>
        <v>0</v>
      </c>
      <c r="N25" s="460">
        <f t="shared" si="14"/>
        <v>0</v>
      </c>
      <c r="O25" s="460">
        <f t="shared" si="15"/>
        <v>0</v>
      </c>
      <c r="P25" s="461">
        <f t="shared" si="16"/>
        <v>0</v>
      </c>
      <c r="Q25" s="459">
        <f t="shared" ca="1" si="17"/>
        <v>6589.5900553023193</v>
      </c>
    </row>
    <row r="26" spans="1:17">
      <c r="A26" s="459" t="s">
        <v>655</v>
      </c>
      <c r="B26" s="460">
        <f t="shared" ca="1" si="2"/>
        <v>998.13506783922571</v>
      </c>
      <c r="C26" s="460">
        <f t="shared" ca="1" si="3"/>
        <v>0</v>
      </c>
      <c r="D26" s="460">
        <f t="shared" si="4"/>
        <v>630.40776676660414</v>
      </c>
      <c r="E26" s="460">
        <f t="shared" si="5"/>
        <v>16.296673701367322</v>
      </c>
      <c r="F26" s="460">
        <f t="shared" si="6"/>
        <v>691.54858274842968</v>
      </c>
      <c r="G26" s="460">
        <f t="shared" si="7"/>
        <v>0</v>
      </c>
      <c r="H26" s="460">
        <f t="shared" si="8"/>
        <v>0</v>
      </c>
      <c r="I26" s="460">
        <f t="shared" si="9"/>
        <v>0</v>
      </c>
      <c r="J26" s="460">
        <f t="shared" si="10"/>
        <v>8.1348429377981457</v>
      </c>
      <c r="K26" s="460">
        <f t="shared" si="11"/>
        <v>0</v>
      </c>
      <c r="L26" s="460">
        <f t="shared" si="12"/>
        <v>0</v>
      </c>
      <c r="M26" s="460">
        <f t="shared" si="13"/>
        <v>0</v>
      </c>
      <c r="N26" s="460">
        <f t="shared" si="14"/>
        <v>0</v>
      </c>
      <c r="O26" s="460">
        <f t="shared" si="15"/>
        <v>0</v>
      </c>
      <c r="P26" s="461">
        <f t="shared" si="16"/>
        <v>0</v>
      </c>
      <c r="Q26" s="459">
        <f t="shared" ca="1" si="17"/>
        <v>2344.5229339934249</v>
      </c>
    </row>
    <row r="27" spans="1:17" s="465" customFormat="1">
      <c r="A27" s="463" t="s">
        <v>573</v>
      </c>
      <c r="B27" s="771">
        <f t="shared" ca="1" si="2"/>
        <v>7.0542936867271699E-2</v>
      </c>
      <c r="C27" s="464">
        <f t="shared" ca="1" si="3"/>
        <v>0</v>
      </c>
      <c r="D27" s="464">
        <f t="shared" si="4"/>
        <v>0.484991180324022</v>
      </c>
      <c r="E27" s="464">
        <f t="shared" si="5"/>
        <v>53.814749314974804</v>
      </c>
      <c r="F27" s="464">
        <f t="shared" si="6"/>
        <v>0</v>
      </c>
      <c r="G27" s="464">
        <f t="shared" si="7"/>
        <v>10070.0642879729</v>
      </c>
      <c r="H27" s="464">
        <f t="shared" si="8"/>
        <v>1961.4179490189315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12085.852520423998</v>
      </c>
    </row>
    <row r="28" spans="1:17">
      <c r="A28" s="459" t="s">
        <v>563</v>
      </c>
      <c r="B28" s="460">
        <f t="shared" ca="1" si="2"/>
        <v>0</v>
      </c>
      <c r="C28" s="460">
        <f t="shared" ca="1" si="3"/>
        <v>0</v>
      </c>
      <c r="D28" s="460">
        <f t="shared" si="4"/>
        <v>0</v>
      </c>
      <c r="E28" s="460">
        <f t="shared" si="5"/>
        <v>0</v>
      </c>
      <c r="F28" s="460">
        <f t="shared" si="6"/>
        <v>0</v>
      </c>
      <c r="G28" s="460">
        <f t="shared" si="7"/>
        <v>187.10837253571324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187.10837253571324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203.44228716336841</v>
      </c>
      <c r="C32" s="460">
        <f t="shared" ca="1" si="3"/>
        <v>0</v>
      </c>
      <c r="D32" s="460">
        <f t="shared" si="4"/>
        <v>206.10145746912329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409.54374463249167</v>
      </c>
    </row>
    <row r="33" spans="1:17" s="472" customFormat="1">
      <c r="A33" s="469" t="s">
        <v>567</v>
      </c>
      <c r="B33" s="470">
        <f ca="1">SUM(B22:B32)</f>
        <v>7037.0079839923728</v>
      </c>
      <c r="C33" s="470">
        <f t="shared" ref="C33:Q33" ca="1" si="19">SUM(C22:C32)</f>
        <v>0</v>
      </c>
      <c r="D33" s="470">
        <f t="shared" ca="1" si="19"/>
        <v>5844.6886452156768</v>
      </c>
      <c r="E33" s="470">
        <f t="shared" si="19"/>
        <v>2580.4589223119065</v>
      </c>
      <c r="F33" s="470">
        <f t="shared" ca="1" si="19"/>
        <v>13585.286211513656</v>
      </c>
      <c r="G33" s="470">
        <f t="shared" si="19"/>
        <v>10257.172660508613</v>
      </c>
      <c r="H33" s="470">
        <f t="shared" si="19"/>
        <v>1961.4179490189315</v>
      </c>
      <c r="I33" s="470">
        <f t="shared" si="19"/>
        <v>0</v>
      </c>
      <c r="J33" s="470">
        <f t="shared" si="19"/>
        <v>2501.1408793755427</v>
      </c>
      <c r="K33" s="470">
        <f t="shared" si="19"/>
        <v>0</v>
      </c>
      <c r="L33" s="470">
        <f t="shared" ca="1" si="19"/>
        <v>0</v>
      </c>
      <c r="M33" s="470">
        <f t="shared" si="19"/>
        <v>0</v>
      </c>
      <c r="N33" s="470">
        <f t="shared" ca="1" si="19"/>
        <v>0</v>
      </c>
      <c r="O33" s="470">
        <f t="shared" si="19"/>
        <v>0</v>
      </c>
      <c r="P33" s="470">
        <f t="shared" si="19"/>
        <v>0</v>
      </c>
      <c r="Q33" s="470">
        <f t="shared" ca="1" si="19"/>
        <v>43767.173251936707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2928.6778194569156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6367.5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18192.857142857145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9296.177819456916</v>
      </c>
      <c r="C10" s="1032">
        <f>SUM(C4:C9)</f>
        <v>0</v>
      </c>
      <c r="D10" s="1032">
        <f t="shared" ref="D10:H10" si="0">SUM(D8:D9)</f>
        <v>0</v>
      </c>
      <c r="E10" s="1032">
        <f t="shared" si="0"/>
        <v>0</v>
      </c>
      <c r="F10" s="1032">
        <f t="shared" si="0"/>
        <v>0</v>
      </c>
      <c r="G10" s="1032">
        <f t="shared" si="0"/>
        <v>0</v>
      </c>
      <c r="H10" s="1032">
        <f t="shared" si="0"/>
        <v>0</v>
      </c>
      <c r="I10" s="1032">
        <f>SUM(I8:I9)</f>
        <v>0</v>
      </c>
      <c r="J10" s="1032">
        <f>SUM(J8:J9)</f>
        <v>18192.857142857145</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0.17105923614360113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0.17105923614360113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0.17105923614360113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0.17105923614360113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32006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3822</v>
      </c>
      <c r="C9" s="336">
        <v>4154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4104</v>
      </c>
    </row>
    <row r="15" spans="1:6">
      <c r="A15" s="1277" t="s">
        <v>184</v>
      </c>
      <c r="B15" s="333">
        <v>57</v>
      </c>
    </row>
    <row r="16" spans="1:6">
      <c r="A16" s="1277" t="s">
        <v>6</v>
      </c>
      <c r="B16" s="333">
        <v>1501</v>
      </c>
    </row>
    <row r="17" spans="1:6">
      <c r="A17" s="1277" t="s">
        <v>7</v>
      </c>
      <c r="B17" s="333">
        <v>1338</v>
      </c>
    </row>
    <row r="18" spans="1:6">
      <c r="A18" s="1277" t="s">
        <v>8</v>
      </c>
      <c r="B18" s="333">
        <v>1725</v>
      </c>
    </row>
    <row r="19" spans="1:6">
      <c r="A19" s="1277" t="s">
        <v>9</v>
      </c>
      <c r="B19" s="333">
        <v>1607</v>
      </c>
    </row>
    <row r="20" spans="1:6">
      <c r="A20" s="1277" t="s">
        <v>10</v>
      </c>
      <c r="B20" s="333">
        <v>1265</v>
      </c>
    </row>
    <row r="21" spans="1:6">
      <c r="A21" s="1277" t="s">
        <v>11</v>
      </c>
      <c r="B21" s="333">
        <v>23739</v>
      </c>
    </row>
    <row r="22" spans="1:6">
      <c r="A22" s="1277" t="s">
        <v>12</v>
      </c>
      <c r="B22" s="333">
        <v>40734</v>
      </c>
    </row>
    <row r="23" spans="1:6">
      <c r="A23" s="1277" t="s">
        <v>13</v>
      </c>
      <c r="B23" s="333">
        <v>1059</v>
      </c>
    </row>
    <row r="24" spans="1:6">
      <c r="A24" s="1277" t="s">
        <v>14</v>
      </c>
      <c r="B24" s="333">
        <v>69</v>
      </c>
    </row>
    <row r="25" spans="1:6">
      <c r="A25" s="1277" t="s">
        <v>15</v>
      </c>
      <c r="B25" s="333">
        <v>7086</v>
      </c>
    </row>
    <row r="26" spans="1:6">
      <c r="A26" s="1277" t="s">
        <v>16</v>
      </c>
      <c r="B26" s="333">
        <v>399</v>
      </c>
    </row>
    <row r="27" spans="1:6">
      <c r="A27" s="1277" t="s">
        <v>17</v>
      </c>
      <c r="B27" s="333">
        <v>2</v>
      </c>
    </row>
    <row r="28" spans="1:6">
      <c r="A28" s="1277" t="s">
        <v>18</v>
      </c>
      <c r="B28" s="333">
        <v>97168</v>
      </c>
    </row>
    <row r="29" spans="1:6">
      <c r="A29" s="1277" t="s">
        <v>957</v>
      </c>
      <c r="B29" s="333">
        <v>29</v>
      </c>
    </row>
    <row r="30" spans="1:6">
      <c r="A30" s="1273" t="s">
        <v>958</v>
      </c>
      <c r="B30" s="1273">
        <v>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152074.53057696801</v>
      </c>
      <c r="E38" s="333">
        <v>0</v>
      </c>
      <c r="F38" s="333">
        <v>0</v>
      </c>
    </row>
    <row r="39" spans="1:6">
      <c r="A39" s="1277" t="s">
        <v>30</v>
      </c>
      <c r="B39" s="1277" t="s">
        <v>31</v>
      </c>
      <c r="C39" s="333">
        <v>1233</v>
      </c>
      <c r="D39" s="333">
        <v>18376620.4085279</v>
      </c>
      <c r="E39" s="333">
        <v>3499</v>
      </c>
      <c r="F39" s="333">
        <v>15539915.215773201</v>
      </c>
    </row>
    <row r="40" spans="1:6">
      <c r="A40" s="1277" t="s">
        <v>30</v>
      </c>
      <c r="B40" s="1277" t="s">
        <v>29</v>
      </c>
      <c r="C40" s="333">
        <v>0</v>
      </c>
      <c r="D40" s="333">
        <v>0</v>
      </c>
      <c r="E40" s="333">
        <v>0</v>
      </c>
      <c r="F40" s="333">
        <v>0</v>
      </c>
    </row>
    <row r="41" spans="1:6">
      <c r="A41" s="1277" t="s">
        <v>32</v>
      </c>
      <c r="B41" s="1277" t="s">
        <v>33</v>
      </c>
      <c r="C41" s="333">
        <v>24</v>
      </c>
      <c r="D41" s="333">
        <v>418641.71813731798</v>
      </c>
      <c r="E41" s="333">
        <v>120</v>
      </c>
      <c r="F41" s="333">
        <v>2473591.5119384602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47147.748808342199</v>
      </c>
      <c r="E44" s="333">
        <v>6</v>
      </c>
      <c r="F44" s="333">
        <v>59067.746870970601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2789586.87873223</v>
      </c>
      <c r="E48" s="333">
        <v>24</v>
      </c>
      <c r="F48" s="333">
        <v>3035411.6241779099</v>
      </c>
    </row>
    <row r="49" spans="1:6">
      <c r="A49" s="1277" t="s">
        <v>32</v>
      </c>
      <c r="B49" s="1277" t="s">
        <v>40</v>
      </c>
      <c r="C49" s="333">
        <v>0</v>
      </c>
      <c r="D49" s="333">
        <v>0</v>
      </c>
      <c r="E49" s="333">
        <v>0</v>
      </c>
      <c r="F49" s="333">
        <v>0</v>
      </c>
    </row>
    <row r="50" spans="1:6">
      <c r="A50" s="1277" t="s">
        <v>32</v>
      </c>
      <c r="B50" s="1277" t="s">
        <v>41</v>
      </c>
      <c r="C50" s="333">
        <v>4</v>
      </c>
      <c r="D50" s="333">
        <v>204524.46202448799</v>
      </c>
      <c r="E50" s="333">
        <v>9</v>
      </c>
      <c r="F50" s="333">
        <v>266954.984901544</v>
      </c>
    </row>
    <row r="51" spans="1:6">
      <c r="A51" s="1277" t="s">
        <v>42</v>
      </c>
      <c r="B51" s="1277" t="s">
        <v>43</v>
      </c>
      <c r="C51" s="333">
        <v>7</v>
      </c>
      <c r="D51" s="333">
        <v>912778.80425514304</v>
      </c>
      <c r="E51" s="333">
        <v>208</v>
      </c>
      <c r="F51" s="333">
        <v>4730895.5907026697</v>
      </c>
    </row>
    <row r="52" spans="1:6">
      <c r="A52" s="1277" t="s">
        <v>42</v>
      </c>
      <c r="B52" s="1277" t="s">
        <v>29</v>
      </c>
      <c r="C52" s="333">
        <v>3</v>
      </c>
      <c r="D52" s="333">
        <v>85975.610071230607</v>
      </c>
      <c r="E52" s="333">
        <v>3</v>
      </c>
      <c r="F52" s="333">
        <v>22474.758353534398</v>
      </c>
    </row>
    <row r="53" spans="1:6">
      <c r="A53" s="1277" t="s">
        <v>44</v>
      </c>
      <c r="B53" s="1277" t="s">
        <v>45</v>
      </c>
      <c r="C53" s="333">
        <v>69</v>
      </c>
      <c r="D53" s="333">
        <v>1020304.24489665</v>
      </c>
      <c r="E53" s="333">
        <v>199</v>
      </c>
      <c r="F53" s="333">
        <v>1189308.98880305</v>
      </c>
    </row>
    <row r="54" spans="1:6">
      <c r="A54" s="1277" t="s">
        <v>46</v>
      </c>
      <c r="B54" s="1277" t="s">
        <v>47</v>
      </c>
      <c r="C54" s="333">
        <v>0</v>
      </c>
      <c r="D54" s="333">
        <v>0</v>
      </c>
      <c r="E54" s="333">
        <v>1</v>
      </c>
      <c r="F54" s="333">
        <v>869400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438827.47685548599</v>
      </c>
      <c r="E57" s="333">
        <v>49</v>
      </c>
      <c r="F57" s="333">
        <v>5571042.3939567003</v>
      </c>
    </row>
    <row r="58" spans="1:6">
      <c r="A58" s="1277" t="s">
        <v>49</v>
      </c>
      <c r="B58" s="1277" t="s">
        <v>51</v>
      </c>
      <c r="C58" s="333">
        <v>8</v>
      </c>
      <c r="D58" s="333">
        <v>4772435.5407223403</v>
      </c>
      <c r="E58" s="333">
        <v>15</v>
      </c>
      <c r="F58" s="333">
        <v>1842873.7929362601</v>
      </c>
    </row>
    <row r="59" spans="1:6">
      <c r="A59" s="1277" t="s">
        <v>49</v>
      </c>
      <c r="B59" s="1277" t="s">
        <v>52</v>
      </c>
      <c r="C59" s="333">
        <v>7</v>
      </c>
      <c r="D59" s="333">
        <v>157746.32306349301</v>
      </c>
      <c r="E59" s="333">
        <v>75</v>
      </c>
      <c r="F59" s="333">
        <v>1633610.6543729999</v>
      </c>
    </row>
    <row r="60" spans="1:6">
      <c r="A60" s="1277" t="s">
        <v>49</v>
      </c>
      <c r="B60" s="1277" t="s">
        <v>53</v>
      </c>
      <c r="C60" s="333">
        <v>7</v>
      </c>
      <c r="D60" s="333">
        <v>171739.841391917</v>
      </c>
      <c r="E60" s="333">
        <v>28</v>
      </c>
      <c r="F60" s="333">
        <v>530827.11482175998</v>
      </c>
    </row>
    <row r="61" spans="1:6">
      <c r="A61" s="1277" t="s">
        <v>49</v>
      </c>
      <c r="B61" s="1277" t="s">
        <v>54</v>
      </c>
      <c r="C61" s="333">
        <v>24</v>
      </c>
      <c r="D61" s="333">
        <v>993912.20719455299</v>
      </c>
      <c r="E61" s="333">
        <v>67</v>
      </c>
      <c r="F61" s="333">
        <v>878089.94960840198</v>
      </c>
    </row>
    <row r="62" spans="1:6">
      <c r="A62" s="1277" t="s">
        <v>49</v>
      </c>
      <c r="B62" s="1277" t="s">
        <v>55</v>
      </c>
      <c r="C62" s="333">
        <v>0</v>
      </c>
      <c r="D62" s="333">
        <v>0</v>
      </c>
      <c r="E62" s="333">
        <v>0</v>
      </c>
      <c r="F62" s="333">
        <v>0</v>
      </c>
    </row>
    <row r="63" spans="1:6">
      <c r="A63" s="1277" t="s">
        <v>49</v>
      </c>
      <c r="B63" s="1277" t="s">
        <v>29</v>
      </c>
      <c r="C63" s="333">
        <v>59</v>
      </c>
      <c r="D63" s="333">
        <v>1573962.1073819699</v>
      </c>
      <c r="E63" s="333">
        <v>86</v>
      </c>
      <c r="F63" s="333">
        <v>1333992.9085128601</v>
      </c>
    </row>
    <row r="64" spans="1:6">
      <c r="A64" s="1277" t="s">
        <v>56</v>
      </c>
      <c r="B64" s="1277" t="s">
        <v>57</v>
      </c>
      <c r="C64" s="333">
        <v>0</v>
      </c>
      <c r="D64" s="333">
        <v>0</v>
      </c>
      <c r="E64" s="333">
        <v>0</v>
      </c>
      <c r="F64" s="333">
        <v>0</v>
      </c>
    </row>
    <row r="65" spans="1:6">
      <c r="A65" s="1277" t="s">
        <v>56</v>
      </c>
      <c r="B65" s="1277" t="s">
        <v>29</v>
      </c>
      <c r="C65" s="333">
        <v>1</v>
      </c>
      <c r="D65" s="333">
        <v>71580.083973614004</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106338.634690789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28848567</v>
      </c>
      <c r="E73" s="333">
        <v>31067264.900359239</v>
      </c>
      <c r="F73" s="333">
        <v>29331761</v>
      </c>
    </row>
    <row r="74" spans="1:6">
      <c r="A74" s="1277" t="s">
        <v>64</v>
      </c>
      <c r="B74" s="1277" t="s">
        <v>774</v>
      </c>
      <c r="C74" s="1288" t="s">
        <v>775</v>
      </c>
      <c r="D74" s="333">
        <v>2160729.3849208499</v>
      </c>
      <c r="E74" s="333">
        <v>2378630.2038104748</v>
      </c>
      <c r="F74" s="333">
        <v>2267840.2655928941</v>
      </c>
    </row>
    <row r="75" spans="1:6">
      <c r="A75" s="1277" t="s">
        <v>65</v>
      </c>
      <c r="B75" s="1277" t="s">
        <v>772</v>
      </c>
      <c r="C75" s="1288" t="s">
        <v>776</v>
      </c>
      <c r="D75" s="333">
        <v>22803171</v>
      </c>
      <c r="E75" s="333">
        <v>24289293.564950995</v>
      </c>
      <c r="F75" s="333">
        <v>22978127</v>
      </c>
    </row>
    <row r="76" spans="1:6">
      <c r="A76" s="1277" t="s">
        <v>65</v>
      </c>
      <c r="B76" s="1277" t="s">
        <v>774</v>
      </c>
      <c r="C76" s="1288" t="s">
        <v>777</v>
      </c>
      <c r="D76" s="333">
        <v>1050037.3849208499</v>
      </c>
      <c r="E76" s="333">
        <v>1165837.7030820581</v>
      </c>
      <c r="F76" s="333">
        <v>1098094.2655928943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192135.23015830031</v>
      </c>
      <c r="C83" s="333">
        <v>173104.66492884653</v>
      </c>
      <c r="D83" s="333">
        <v>171639.46881421161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1159.9732807261162</v>
      </c>
    </row>
    <row r="92" spans="1:6">
      <c r="A92" s="1273" t="s">
        <v>69</v>
      </c>
      <c r="B92" s="336">
        <v>1768.7045387307994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340</v>
      </c>
    </row>
    <row r="98" spans="1:6">
      <c r="A98" s="1277" t="s">
        <v>72</v>
      </c>
      <c r="B98" s="333">
        <v>1</v>
      </c>
    </row>
    <row r="99" spans="1:6">
      <c r="A99" s="1277" t="s">
        <v>73</v>
      </c>
      <c r="B99" s="333">
        <v>307</v>
      </c>
    </row>
    <row r="100" spans="1:6">
      <c r="A100" s="1277" t="s">
        <v>74</v>
      </c>
      <c r="B100" s="333">
        <v>296</v>
      </c>
    </row>
    <row r="101" spans="1:6">
      <c r="A101" s="1277" t="s">
        <v>75</v>
      </c>
      <c r="B101" s="333">
        <v>121</v>
      </c>
    </row>
    <row r="102" spans="1:6">
      <c r="A102" s="1277" t="s">
        <v>76</v>
      </c>
      <c r="B102" s="333">
        <v>54</v>
      </c>
    </row>
    <row r="103" spans="1:6">
      <c r="A103" s="1277" t="s">
        <v>77</v>
      </c>
      <c r="B103" s="333">
        <v>320</v>
      </c>
    </row>
    <row r="104" spans="1:6">
      <c r="A104" s="1277" t="s">
        <v>78</v>
      </c>
      <c r="B104" s="333">
        <v>1912</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41137.842905395257</v>
      </c>
      <c r="C3" s="43" t="s">
        <v>170</v>
      </c>
      <c r="D3" s="43"/>
      <c r="E3" s="156"/>
      <c r="F3" s="43"/>
      <c r="G3" s="43"/>
      <c r="H3" s="43"/>
      <c r="I3" s="43"/>
      <c r="J3" s="43"/>
      <c r="K3" s="96"/>
    </row>
    <row r="4" spans="1:11">
      <c r="A4" s="364" t="s">
        <v>171</v>
      </c>
      <c r="B4" s="49">
        <f>IF(ISERROR('SEAP template'!B78),0,'SEAP template'!B78)</f>
        <v>9296.177819456916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0.17105923614360113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869.4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869.4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0.17105923614360113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148.71889990324684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15539.915215773201</v>
      </c>
      <c r="C5" s="17">
        <f>IF(ISERROR('Eigen informatie GS &amp; warmtenet'!B57),0,'Eigen informatie GS &amp; warmtenet'!B57)</f>
        <v>0</v>
      </c>
      <c r="D5" s="30">
        <f>(SUM(HH_hh_gas_kWh,HH_rest_gas_kWh)/1000)*0.902</f>
        <v>16575.711608492165</v>
      </c>
      <c r="E5" s="17">
        <f>B46*B57</f>
        <v>10876.616844439495</v>
      </c>
      <c r="F5" s="17">
        <f>B51*B62</f>
        <v>25271.573925342713</v>
      </c>
      <c r="G5" s="18"/>
      <c r="H5" s="17"/>
      <c r="I5" s="17"/>
      <c r="J5" s="17">
        <f>B50*B61+C50*C61</f>
        <v>6617.8713560839697</v>
      </c>
      <c r="K5" s="17"/>
      <c r="L5" s="17"/>
      <c r="M5" s="17"/>
      <c r="N5" s="17">
        <f>B48*B59+C48*C59</f>
        <v>12403.399311229832</v>
      </c>
      <c r="O5" s="17">
        <f>B69*B70*B71</f>
        <v>48.463333333333338</v>
      </c>
      <c r="P5" s="17">
        <f>B77*B78*B79/1000-B77*B78*B79/1000/B80</f>
        <v>57.2</v>
      </c>
    </row>
    <row r="6" spans="1:16">
      <c r="A6" s="16" t="s">
        <v>632</v>
      </c>
      <c r="B6" s="779">
        <f>kWh_PV_kleiner_dan_10kW</f>
        <v>1159.9732807261162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16699.888496499316</v>
      </c>
      <c r="C8" s="21">
        <f>C5</f>
        <v>0</v>
      </c>
      <c r="D8" s="21">
        <f>D5</f>
        <v>16575.711608492165</v>
      </c>
      <c r="E8" s="21">
        <f>E5</f>
        <v>10876.616844439495</v>
      </c>
      <c r="F8" s="21">
        <f>F5</f>
        <v>25271.573925342713</v>
      </c>
      <c r="G8" s="21"/>
      <c r="H8" s="21"/>
      <c r="I8" s="21"/>
      <c r="J8" s="21">
        <f>J5</f>
        <v>6617.8713560839697</v>
      </c>
      <c r="K8" s="21"/>
      <c r="L8" s="21">
        <f>L5</f>
        <v>0</v>
      </c>
      <c r="M8" s="21">
        <f>M5</f>
        <v>0</v>
      </c>
      <c r="N8" s="21">
        <f>N5</f>
        <v>12403.399311229832</v>
      </c>
      <c r="O8" s="21">
        <f>O5</f>
        <v>48.463333333333338</v>
      </c>
      <c r="P8" s="21">
        <f>P5</f>
        <v>57.2</v>
      </c>
    </row>
    <row r="9" spans="1:16">
      <c r="B9" s="19"/>
      <c r="C9" s="19"/>
      <c r="D9" s="260"/>
      <c r="E9" s="19"/>
      <c r="F9" s="19"/>
      <c r="G9" s="19"/>
      <c r="H9" s="19"/>
      <c r="I9" s="19"/>
      <c r="J9" s="19"/>
      <c r="K9" s="19"/>
      <c r="L9" s="19"/>
      <c r="M9" s="19"/>
      <c r="N9" s="19"/>
      <c r="O9" s="19"/>
      <c r="P9" s="19"/>
    </row>
    <row r="10" spans="1:16">
      <c r="A10" s="24" t="s">
        <v>214</v>
      </c>
      <c r="B10" s="25">
        <f ca="1">'EF ele_warmte'!B12</f>
        <v>0.17105923614360113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2856.6701698944844</v>
      </c>
      <c r="C12" s="23">
        <f ca="1">C10*C8</f>
        <v>0</v>
      </c>
      <c r="D12" s="23">
        <f>D8*D10</f>
        <v>3348.2937449154178</v>
      </c>
      <c r="E12" s="23">
        <f>E10*E8</f>
        <v>2468.9920236877656</v>
      </c>
      <c r="F12" s="23">
        <f>F10*F8</f>
        <v>6747.5102380665048</v>
      </c>
      <c r="G12" s="23"/>
      <c r="H12" s="23"/>
      <c r="I12" s="23"/>
      <c r="J12" s="23">
        <f>J10*J8</f>
        <v>2342.7264600537251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340</v>
      </c>
      <c r="C18" s="167" t="s">
        <v>111</v>
      </c>
      <c r="D18" s="229"/>
      <c r="E18" s="15"/>
    </row>
    <row r="19" spans="1:7">
      <c r="A19" s="172" t="s">
        <v>72</v>
      </c>
      <c r="B19" s="37">
        <f>aantalw2001_ander</f>
        <v>1</v>
      </c>
      <c r="C19" s="167" t="s">
        <v>111</v>
      </c>
      <c r="D19" s="230"/>
      <c r="E19" s="15"/>
    </row>
    <row r="20" spans="1:7">
      <c r="A20" s="172" t="s">
        <v>73</v>
      </c>
      <c r="B20" s="37">
        <f>aantalw2001_propaan</f>
        <v>307</v>
      </c>
      <c r="C20" s="168">
        <f>IF(ISERROR(B20/SUM($B$20,$B$21,$B$22)*100),0,B20/SUM($B$20,$B$21,$B$22)*100)</f>
        <v>42.403314917127069</v>
      </c>
      <c r="D20" s="230"/>
      <c r="E20" s="15"/>
    </row>
    <row r="21" spans="1:7">
      <c r="A21" s="172" t="s">
        <v>74</v>
      </c>
      <c r="B21" s="37">
        <f>aantalw2001_elektriciteit</f>
        <v>296</v>
      </c>
      <c r="C21" s="168">
        <f>IF(ISERROR(B21/SUM($B$20,$B$21,$B$22)*100),0,B21/SUM($B$20,$B$21,$B$22)*100)</f>
        <v>40.883977900552487</v>
      </c>
      <c r="D21" s="230"/>
      <c r="E21" s="15"/>
    </row>
    <row r="22" spans="1:7">
      <c r="A22" s="172" t="s">
        <v>75</v>
      </c>
      <c r="B22" s="37">
        <f>aantalw2001_hout</f>
        <v>121</v>
      </c>
      <c r="C22" s="168">
        <f>IF(ISERROR(B22/SUM($B$20,$B$21,$B$22)*100),0,B22/SUM($B$20,$B$21,$B$22)*100)</f>
        <v>16.71270718232044</v>
      </c>
      <c r="D22" s="230"/>
      <c r="E22" s="15"/>
    </row>
    <row r="23" spans="1:7">
      <c r="A23" s="172" t="s">
        <v>76</v>
      </c>
      <c r="B23" s="37">
        <f>aantalw2001_niet_gespec</f>
        <v>54</v>
      </c>
      <c r="C23" s="167" t="s">
        <v>111</v>
      </c>
      <c r="D23" s="229"/>
      <c r="E23" s="15"/>
    </row>
    <row r="24" spans="1:7">
      <c r="A24" s="172" t="s">
        <v>77</v>
      </c>
      <c r="B24" s="37">
        <f>aantalw2001_steenkool</f>
        <v>320</v>
      </c>
      <c r="C24" s="167" t="s">
        <v>111</v>
      </c>
      <c r="D24" s="230"/>
      <c r="E24" s="15"/>
    </row>
    <row r="25" spans="1:7">
      <c r="A25" s="172" t="s">
        <v>78</v>
      </c>
      <c r="B25" s="37">
        <f>aantalw2001_stookolie</f>
        <v>1912</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3822</v>
      </c>
      <c r="C28" s="36"/>
      <c r="D28" s="229"/>
    </row>
    <row r="29" spans="1:7" s="15" customFormat="1">
      <c r="A29" s="231" t="s">
        <v>713</v>
      </c>
      <c r="B29" s="37">
        <f>SUM(HH_hh_gas_aantal,HH_rest_gas_aantal)</f>
        <v>1233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1233</v>
      </c>
      <c r="C32" s="168">
        <f>IF(ISERROR(B32/SUM($B$32,$B$34,$B$35,$B$36,$B$38,$B$39)*100),0,B32/SUM($B$32,$B$34,$B$35,$B$36,$B$38,$B$39)*100)</f>
        <v>32.285938727415555</v>
      </c>
      <c r="D32" s="234"/>
      <c r="G32" s="15"/>
    </row>
    <row r="33" spans="1:7">
      <c r="A33" s="172" t="s">
        <v>72</v>
      </c>
      <c r="B33" s="34" t="s">
        <v>111</v>
      </c>
      <c r="C33" s="168"/>
      <c r="D33" s="234"/>
      <c r="G33" s="15"/>
    </row>
    <row r="34" spans="1:7">
      <c r="A34" s="172" t="s">
        <v>73</v>
      </c>
      <c r="B34" s="33">
        <f>IF((($B$28-$B$32-$B$39-$B$77-$B$38)*C20/100)&lt;0,0,($B$28-$B$32-$B$39-$B$77-$B$38)*C20/100)</f>
        <v>528.76933701657458</v>
      </c>
      <c r="C34" s="168">
        <f>IF(ISERROR(B34/SUM($B$32,$B$34,$B$35,$B$36,$B$38,$B$39)*100),0,B34/SUM($B$32,$B$34,$B$35,$B$36,$B$38,$B$39)*100)</f>
        <v>13.845753784147016</v>
      </c>
      <c r="D34" s="234"/>
      <c r="G34" s="15"/>
    </row>
    <row r="35" spans="1:7">
      <c r="A35" s="172" t="s">
        <v>74</v>
      </c>
      <c r="B35" s="33">
        <f>IF((($B$28-$B$32-$B$39-$B$77-$B$38)*C21/100)&lt;0,0,($B$28-$B$32-$B$39-$B$77-$B$38)*C21/100)</f>
        <v>509.82320441988952</v>
      </c>
      <c r="C35" s="168">
        <f>IF(ISERROR(B35/SUM($B$32,$B$34,$B$35,$B$36,$B$38,$B$39)*100),0,B35/SUM($B$32,$B$34,$B$35,$B$36,$B$38,$B$39)*100)</f>
        <v>13.349651857027744</v>
      </c>
      <c r="D35" s="234"/>
      <c r="G35" s="15"/>
    </row>
    <row r="36" spans="1:7">
      <c r="A36" s="172" t="s">
        <v>75</v>
      </c>
      <c r="B36" s="33">
        <f>IF((($B$28-$B$32-$B$39-$B$77-$B$38)*C22/100)&lt;0,0,($B$28-$B$32-$B$39-$B$77-$B$38)*C22/100)</f>
        <v>208.40745856353587</v>
      </c>
      <c r="C36" s="168">
        <f>IF(ISERROR(B36/SUM($B$32,$B$34,$B$35,$B$36,$B$38,$B$39)*100),0,B36/SUM($B$32,$B$34,$B$35,$B$36,$B$38,$B$39)*100)</f>
        <v>5.4571211983120156</v>
      </c>
      <c r="D36" s="234"/>
      <c r="G36" s="15"/>
    </row>
    <row r="37" spans="1:7">
      <c r="A37" s="172" t="s">
        <v>76</v>
      </c>
      <c r="B37" s="34" t="s">
        <v>111</v>
      </c>
      <c r="C37" s="168"/>
      <c r="D37" s="174"/>
      <c r="G37" s="15"/>
    </row>
    <row r="38" spans="1:7">
      <c r="A38" s="172" t="s">
        <v>77</v>
      </c>
      <c r="B38" s="33">
        <f>IF((B24-(B29-B18)*0.1)&lt;0,0,B24-(B29-B18)*0.1)</f>
        <v>230.7</v>
      </c>
      <c r="C38" s="168">
        <f>IF(ISERROR(B38/SUM($B$32,$B$34,$B$35,$B$36,$B$38,$B$39)*100),0,B38/SUM($B$32,$B$34,$B$35,$B$36,$B$38,$B$39)*100)</f>
        <v>6.040848389630793</v>
      </c>
      <c r="D38" s="235"/>
      <c r="G38" s="15"/>
    </row>
    <row r="39" spans="1:7">
      <c r="A39" s="172" t="s">
        <v>78</v>
      </c>
      <c r="B39" s="33">
        <f>IF((B25-(B29-B18))&lt;0,0,B25-(B29-B18)*0.9)</f>
        <v>1108.3</v>
      </c>
      <c r="C39" s="168">
        <f>IF(ISERROR(B39/SUM($B$32,$B$34,$B$35,$B$36,$B$38,$B$39)*100),0,B39/SUM($B$32,$B$34,$B$35,$B$36,$B$38,$B$39)*100)</f>
        <v>29.020686043466874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1233</v>
      </c>
      <c r="C44" s="34" t="s">
        <v>111</v>
      </c>
      <c r="D44" s="175"/>
    </row>
    <row r="45" spans="1:7">
      <c r="A45" s="172" t="s">
        <v>72</v>
      </c>
      <c r="B45" s="33" t="str">
        <f t="shared" si="0"/>
        <v>-</v>
      </c>
      <c r="C45" s="34" t="s">
        <v>111</v>
      </c>
      <c r="D45" s="175"/>
    </row>
    <row r="46" spans="1:7">
      <c r="A46" s="172" t="s">
        <v>73</v>
      </c>
      <c r="B46" s="33">
        <f t="shared" si="0"/>
        <v>528.76933701657458</v>
      </c>
      <c r="C46" s="34" t="s">
        <v>111</v>
      </c>
      <c r="D46" s="175"/>
    </row>
    <row r="47" spans="1:7">
      <c r="A47" s="172" t="s">
        <v>74</v>
      </c>
      <c r="B47" s="33">
        <f t="shared" si="0"/>
        <v>509.82320441988952</v>
      </c>
      <c r="C47" s="34" t="s">
        <v>111</v>
      </c>
      <c r="D47" s="175"/>
    </row>
    <row r="48" spans="1:7">
      <c r="A48" s="172" t="s">
        <v>75</v>
      </c>
      <c r="B48" s="33">
        <f t="shared" si="0"/>
        <v>208.40745856353587</v>
      </c>
      <c r="C48" s="33">
        <f>B48*10</f>
        <v>2084.0745856353587</v>
      </c>
      <c r="D48" s="235"/>
    </row>
    <row r="49" spans="1:6">
      <c r="A49" s="172" t="s">
        <v>76</v>
      </c>
      <c r="B49" s="33" t="str">
        <f t="shared" si="0"/>
        <v>-</v>
      </c>
      <c r="C49" s="34" t="s">
        <v>111</v>
      </c>
      <c r="D49" s="235"/>
    </row>
    <row r="50" spans="1:6">
      <c r="A50" s="172" t="s">
        <v>77</v>
      </c>
      <c r="B50" s="33">
        <f t="shared" si="0"/>
        <v>230.7</v>
      </c>
      <c r="C50" s="33">
        <f>B50*2</f>
        <v>461.4</v>
      </c>
      <c r="D50" s="235"/>
    </row>
    <row r="51" spans="1:6">
      <c r="A51" s="172" t="s">
        <v>78</v>
      </c>
      <c r="B51" s="33">
        <f t="shared" si="0"/>
        <v>1108.3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11790.436814208984</v>
      </c>
      <c r="C5" s="17">
        <f>IF(ISERROR('Eigen informatie GS &amp; warmtenet'!B58),0,'Eigen informatie GS &amp; warmtenet'!B58)</f>
        <v>0</v>
      </c>
      <c r="D5" s="30">
        <f>SUM(D6:D12)</f>
        <v>7313.9783939420031</v>
      </c>
      <c r="E5" s="17">
        <f>SUM(E6:E12)</f>
        <v>132.4043885705965</v>
      </c>
      <c r="F5" s="17">
        <f>SUM(F6:F12)</f>
        <v>2671.5413539618494</v>
      </c>
      <c r="G5" s="18"/>
      <c r="H5" s="17"/>
      <c r="I5" s="17"/>
      <c r="J5" s="17">
        <f>SUM(J6:J12)</f>
        <v>0</v>
      </c>
      <c r="K5" s="17"/>
      <c r="L5" s="17"/>
      <c r="M5" s="17"/>
      <c r="N5" s="17">
        <f>SUM(N6:N12)</f>
        <v>1345.3189748439379</v>
      </c>
      <c r="O5" s="17">
        <f>B38*B39*B40</f>
        <v>0</v>
      </c>
      <c r="P5" s="17">
        <f>B46*B47*B48/1000-B46*B47*B48/1000/B49</f>
        <v>19.066666666666666</v>
      </c>
      <c r="R5" s="32"/>
    </row>
    <row r="6" spans="1:18">
      <c r="A6" s="32" t="s">
        <v>54</v>
      </c>
      <c r="B6" s="37">
        <f>B26</f>
        <v>878.08994960840198</v>
      </c>
      <c r="C6" s="33"/>
      <c r="D6" s="37">
        <f>IF(ISERROR(TER_kantoor_gas_kWh/1000),0,TER_kantoor_gas_kWh/1000)*0.902</f>
        <v>896.50881088948677</v>
      </c>
      <c r="E6" s="33">
        <f>$C$26*'E Balans VL '!I12/100/3.6*1000000</f>
        <v>30.736602419678782</v>
      </c>
      <c r="F6" s="33">
        <f>$C$26*('E Balans VL '!L12+'E Balans VL '!N12)/100/3.6*1000000</f>
        <v>133.13728876711519</v>
      </c>
      <c r="G6" s="34"/>
      <c r="H6" s="33"/>
      <c r="I6" s="33"/>
      <c r="J6" s="33">
        <f>$C$26*('E Balans VL '!D12+'E Balans VL '!E12)/100/3.6*1000000</f>
        <v>0</v>
      </c>
      <c r="K6" s="33"/>
      <c r="L6" s="33"/>
      <c r="M6" s="33"/>
      <c r="N6" s="33">
        <f>$C$26*'E Balans VL '!Y12/100/3.6*1000000</f>
        <v>6.787360475882509</v>
      </c>
      <c r="O6" s="33"/>
      <c r="P6" s="33"/>
      <c r="R6" s="32"/>
    </row>
    <row r="7" spans="1:18">
      <c r="A7" s="32" t="s">
        <v>53</v>
      </c>
      <c r="B7" s="37">
        <f t="shared" ref="B7:B12" si="0">B27</f>
        <v>530.82711482176001</v>
      </c>
      <c r="C7" s="33"/>
      <c r="D7" s="37">
        <f>IF(ISERROR(TER_horeca_gas_kWh/1000),0,TER_horeca_gas_kWh/1000)*0.902</f>
        <v>154.90933693550915</v>
      </c>
      <c r="E7" s="33">
        <f>$C$27*'E Balans VL '!I9/100/3.6*1000000</f>
        <v>29.945707557591554</v>
      </c>
      <c r="F7" s="33">
        <f>$C$27*('E Balans VL '!L9+'E Balans VL '!N9)/100/3.6*1000000</f>
        <v>92.47302103692148</v>
      </c>
      <c r="G7" s="34"/>
      <c r="H7" s="33"/>
      <c r="I7" s="33"/>
      <c r="J7" s="33">
        <f>$C$27*('E Balans VL '!D9+'E Balans VL '!E9)/100/3.6*1000000</f>
        <v>0</v>
      </c>
      <c r="K7" s="33"/>
      <c r="L7" s="33"/>
      <c r="M7" s="33"/>
      <c r="N7" s="33">
        <f>$C$27*'E Balans VL '!Y9/100/3.6*1000000</f>
        <v>0</v>
      </c>
      <c r="O7" s="33"/>
      <c r="P7" s="33"/>
      <c r="R7" s="32"/>
    </row>
    <row r="8" spans="1:18">
      <c r="A8" s="6" t="s">
        <v>52</v>
      </c>
      <c r="B8" s="37">
        <f t="shared" si="0"/>
        <v>1633.610654373</v>
      </c>
      <c r="C8" s="33"/>
      <c r="D8" s="37">
        <f>IF(ISERROR(TER_handel_gas_kWh/1000),0,TER_handel_gas_kWh/1000)*0.902</f>
        <v>142.28718340327069</v>
      </c>
      <c r="E8" s="33">
        <f>$C$28*'E Balans VL '!I13/100/3.6*1000000</f>
        <v>8.386791127115659</v>
      </c>
      <c r="F8" s="33">
        <f>$C$28*('E Balans VL '!L13+'E Balans VL '!N13)/100/3.6*1000000</f>
        <v>251.87752102851488</v>
      </c>
      <c r="G8" s="34"/>
      <c r="H8" s="33"/>
      <c r="I8" s="33"/>
      <c r="J8" s="33">
        <f>$C$28*('E Balans VL '!D13+'E Balans VL '!E13)/100/3.6*1000000</f>
        <v>0</v>
      </c>
      <c r="K8" s="33"/>
      <c r="L8" s="33"/>
      <c r="M8" s="33"/>
      <c r="N8" s="33">
        <f>$C$28*'E Balans VL '!Y13/100/3.6*1000000</f>
        <v>0.764059643952409</v>
      </c>
      <c r="O8" s="33"/>
      <c r="P8" s="33"/>
      <c r="R8" s="32"/>
    </row>
    <row r="9" spans="1:18">
      <c r="A9" s="32" t="s">
        <v>51</v>
      </c>
      <c r="B9" s="37">
        <f t="shared" si="0"/>
        <v>1842.8737929362601</v>
      </c>
      <c r="C9" s="33"/>
      <c r="D9" s="37">
        <f>IF(ISERROR(TER_gezond_gas_kWh/1000),0,TER_gezond_gas_kWh/1000)*0.902</f>
        <v>4304.736857731551</v>
      </c>
      <c r="E9" s="33">
        <f>$C$29*'E Balans VL '!I10/100/3.6*1000000</f>
        <v>0.76385806269530476</v>
      </c>
      <c r="F9" s="33">
        <f>$C$29*('E Balans VL '!L10+'E Balans VL '!N10)/100/3.6*1000000</f>
        <v>453.87338486440092</v>
      </c>
      <c r="G9" s="34"/>
      <c r="H9" s="33"/>
      <c r="I9" s="33"/>
      <c r="J9" s="33">
        <f>$C$29*('E Balans VL '!D10+'E Balans VL '!E10)/100/3.6*1000000</f>
        <v>0</v>
      </c>
      <c r="K9" s="33"/>
      <c r="L9" s="33"/>
      <c r="M9" s="33"/>
      <c r="N9" s="33">
        <f>$C$29*'E Balans VL '!Y10/100/3.6*1000000</f>
        <v>15.926990914183204</v>
      </c>
      <c r="O9" s="33"/>
      <c r="P9" s="33"/>
      <c r="R9" s="32"/>
    </row>
    <row r="10" spans="1:18">
      <c r="A10" s="32" t="s">
        <v>50</v>
      </c>
      <c r="B10" s="37">
        <f t="shared" si="0"/>
        <v>5571.0423939566999</v>
      </c>
      <c r="C10" s="33"/>
      <c r="D10" s="37">
        <f>IF(ISERROR(TER_ander_gas_kWh/1000),0,TER_ander_gas_kWh/1000)*0.902</f>
        <v>395.82238412364836</v>
      </c>
      <c r="E10" s="33">
        <f>$C$30*'E Balans VL '!I14/100/3.6*1000000</f>
        <v>33.961211886203515</v>
      </c>
      <c r="F10" s="33">
        <f>$C$30*('E Balans VL '!L14+'E Balans VL '!N14)/100/3.6*1000000</f>
        <v>1476.9596532619746</v>
      </c>
      <c r="G10" s="34"/>
      <c r="H10" s="33"/>
      <c r="I10" s="33"/>
      <c r="J10" s="33">
        <f>$C$30*('E Balans VL '!D14+'E Balans VL '!E14)/100/3.6*1000000</f>
        <v>0</v>
      </c>
      <c r="K10" s="33"/>
      <c r="L10" s="33"/>
      <c r="M10" s="33"/>
      <c r="N10" s="33">
        <f>$C$30*'E Balans VL '!Y14/100/3.6*1000000</f>
        <v>1284.0048904414623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1333.9929085128601</v>
      </c>
      <c r="C12" s="33"/>
      <c r="D12" s="37">
        <f>IF(ISERROR(TER_rest_gas_kWh/1000),0,TER_rest_gas_kWh/1000)*0.902</f>
        <v>1419.7138208585368</v>
      </c>
      <c r="E12" s="33">
        <f>$C$32*'E Balans VL '!I8/100/3.6*1000000</f>
        <v>28.610217517311668</v>
      </c>
      <c r="F12" s="33">
        <f>$C$32*('E Balans VL '!L8+'E Balans VL '!N8)/100/3.6*1000000</f>
        <v>263.22048500292198</v>
      </c>
      <c r="G12" s="34"/>
      <c r="H12" s="33"/>
      <c r="I12" s="33"/>
      <c r="J12" s="33">
        <f>$C$32*('E Balans VL '!D8+'E Balans VL '!E8)/100/3.6*1000000</f>
        <v>0</v>
      </c>
      <c r="K12" s="33"/>
      <c r="L12" s="33"/>
      <c r="M12" s="33"/>
      <c r="N12" s="33">
        <f>$C$32*'E Balans VL '!Y8/100/3.6*1000000</f>
        <v>37.835673368457492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11790.436814208984</v>
      </c>
      <c r="C16" s="21">
        <f ca="1">C5+C13+C14</f>
        <v>0</v>
      </c>
      <c r="D16" s="21">
        <f t="shared" ref="D16:N16" ca="1" si="1">MAX((D5+D13+D14),0)</f>
        <v>7313.9783939420031</v>
      </c>
      <c r="E16" s="21">
        <f t="shared" si="1"/>
        <v>132.4043885705965</v>
      </c>
      <c r="F16" s="21">
        <f t="shared" ca="1" si="1"/>
        <v>2671.5413539618494</v>
      </c>
      <c r="G16" s="21">
        <f t="shared" si="1"/>
        <v>0</v>
      </c>
      <c r="H16" s="21">
        <f t="shared" si="1"/>
        <v>0</v>
      </c>
      <c r="I16" s="21">
        <f t="shared" si="1"/>
        <v>0</v>
      </c>
      <c r="J16" s="21">
        <f t="shared" si="1"/>
        <v>0</v>
      </c>
      <c r="K16" s="21">
        <f t="shared" si="1"/>
        <v>0</v>
      </c>
      <c r="L16" s="21">
        <f t="shared" ca="1" si="1"/>
        <v>0</v>
      </c>
      <c r="M16" s="21">
        <f t="shared" si="1"/>
        <v>0</v>
      </c>
      <c r="N16" s="21">
        <f t="shared" ca="1" si="1"/>
        <v>1345.3189748439379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0.17105923614360113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2016.8631152379828</v>
      </c>
      <c r="C20" s="23">
        <f t="shared" ref="C20:P20" ca="1" si="2">C16*C18</f>
        <v>0</v>
      </c>
      <c r="D20" s="23">
        <f t="shared" ca="1" si="2"/>
        <v>1477.4236355762848</v>
      </c>
      <c r="E20" s="23">
        <f t="shared" si="2"/>
        <v>30.055796205525404</v>
      </c>
      <c r="F20" s="23">
        <f t="shared" ca="1" si="2"/>
        <v>713.30154150781379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878.08994960840198</v>
      </c>
      <c r="C26" s="39">
        <f>IF(ISERROR(B26*3.6/1000000/'E Balans VL '!Z12*100),0,B26*3.6/1000000/'E Balans VL '!Z12*100)</f>
        <v>1.847794678693928E-2</v>
      </c>
      <c r="D26" s="238" t="s">
        <v>719</v>
      </c>
      <c r="F26" s="6"/>
    </row>
    <row r="27" spans="1:18">
      <c r="A27" s="232" t="s">
        <v>53</v>
      </c>
      <c r="B27" s="33">
        <f>IF(ISERROR(TER_horeca_ele_kWh/1000),0,TER_horeca_ele_kWh/1000)</f>
        <v>530.82711482176001</v>
      </c>
      <c r="C27" s="39">
        <f>IF(ISERROR(B27*3.6/1000000/'E Balans VL '!Z9*100),0,B27*3.6/1000000/'E Balans VL '!Z9*100)</f>
        <v>4.4943640201579024E-2</v>
      </c>
      <c r="D27" s="238" t="s">
        <v>719</v>
      </c>
      <c r="F27" s="6"/>
    </row>
    <row r="28" spans="1:18">
      <c r="A28" s="172" t="s">
        <v>52</v>
      </c>
      <c r="B28" s="33">
        <f>IF(ISERROR(TER_handel_ele_kWh/1000),0,TER_handel_ele_kWh/1000)</f>
        <v>1633.610654373</v>
      </c>
      <c r="C28" s="39">
        <f>IF(ISERROR(B28*3.6/1000000/'E Balans VL '!Z13*100),0,B28*3.6/1000000/'E Balans VL '!Z13*100)</f>
        <v>4.5226285072194165E-2</v>
      </c>
      <c r="D28" s="238" t="s">
        <v>719</v>
      </c>
      <c r="F28" s="6"/>
    </row>
    <row r="29" spans="1:18">
      <c r="A29" s="232" t="s">
        <v>51</v>
      </c>
      <c r="B29" s="33">
        <f>IF(ISERROR(TER_gezond_ele_kWh/1000),0,TER_gezond_ele_kWh/1000)</f>
        <v>1842.8737929362601</v>
      </c>
      <c r="C29" s="39">
        <f>IF(ISERROR(B29*3.6/1000000/'E Balans VL '!Z10*100),0,B29*3.6/1000000/'E Balans VL '!Z10*100)</f>
        <v>0.23955316244371674</v>
      </c>
      <c r="D29" s="238" t="s">
        <v>719</v>
      </c>
      <c r="F29" s="6"/>
    </row>
    <row r="30" spans="1:18">
      <c r="A30" s="232" t="s">
        <v>50</v>
      </c>
      <c r="B30" s="33">
        <f>IF(ISERROR(TER_ander_ele_kWh/1000),0,TER_ander_ele_kWh/1000)</f>
        <v>5571.0423939566999</v>
      </c>
      <c r="C30" s="39">
        <f>IF(ISERROR(B30*3.6/1000000/'E Balans VL '!Z14*100),0,B30*3.6/1000000/'E Balans VL '!Z14*100)</f>
        <v>0.43180687589324163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1333.9929085128601</v>
      </c>
      <c r="C32" s="39">
        <f>IF(ISERROR(B32*3.6/1000000/'E Balans VL '!Z8*100),0,B32*3.6/1000000/'E Balans VL '!Z8*100)</f>
        <v>1.0999795924604237E-2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5835.025867888884</v>
      </c>
      <c r="C5" s="17">
        <f>IF(ISERROR('Eigen informatie GS &amp; warmtenet'!B59),0,'Eigen informatie GS &amp; warmtenet'!B59)</f>
        <v>0</v>
      </c>
      <c r="D5" s="30">
        <f>SUM(D6:D15)</f>
        <v>3120.8305285475453</v>
      </c>
      <c r="E5" s="17">
        <f>SUM(E6:E15)</f>
        <v>71.791514102939743</v>
      </c>
      <c r="F5" s="17">
        <f>SUM(F6:F15)</f>
        <v>2590.0695983087253</v>
      </c>
      <c r="G5" s="18"/>
      <c r="H5" s="17"/>
      <c r="I5" s="17"/>
      <c r="J5" s="17">
        <f>SUM(J6:J15)</f>
        <v>22.979782310164254</v>
      </c>
      <c r="K5" s="17"/>
      <c r="L5" s="17"/>
      <c r="M5" s="17"/>
      <c r="N5" s="17">
        <f>SUM(N6:N15)</f>
        <v>242.08438071579201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59.067746870970602</v>
      </c>
      <c r="C8" s="33"/>
      <c r="D8" s="37">
        <f>IF( ISERROR(IND_metaal_Gas_kWH/1000),0,IND_metaal_Gas_kWH/1000)*0.902</f>
        <v>42.527269425124665</v>
      </c>
      <c r="E8" s="33">
        <f>C30*'E Balans VL '!I18/100/3.6*1000000</f>
        <v>0.41505602455513035</v>
      </c>
      <c r="F8" s="33">
        <f>C30*'E Balans VL '!L18/100/3.6*1000000+C30*'E Balans VL '!N18/100/3.6*1000000</f>
        <v>6.4852930260984101</v>
      </c>
      <c r="G8" s="34"/>
      <c r="H8" s="33"/>
      <c r="I8" s="33"/>
      <c r="J8" s="40">
        <f>C30*'E Balans VL '!D18/100/3.6*1000000+C30*'E Balans VL '!E18/100/3.6*1000000</f>
        <v>1.2186949320837439</v>
      </c>
      <c r="K8" s="33"/>
      <c r="L8" s="33"/>
      <c r="M8" s="33"/>
      <c r="N8" s="33">
        <f>C30*'E Balans VL '!Y18/100/3.6*1000000</f>
        <v>0.22139016932696451</v>
      </c>
      <c r="O8" s="33"/>
      <c r="P8" s="33"/>
      <c r="R8" s="32"/>
    </row>
    <row r="9" spans="1:18">
      <c r="A9" s="6" t="s">
        <v>33</v>
      </c>
      <c r="B9" s="37">
        <f t="shared" si="0"/>
        <v>2473.5915119384604</v>
      </c>
      <c r="C9" s="33"/>
      <c r="D9" s="37">
        <f>IF( ISERROR(IND_andere_gas_kWh/1000),0,IND_andere_gas_kWh/1000)*0.902</f>
        <v>377.61482975986081</v>
      </c>
      <c r="E9" s="33">
        <f>C31*'E Balans VL '!I19/100/3.6*1000000</f>
        <v>41.546999689358948</v>
      </c>
      <c r="F9" s="33">
        <f>C31*'E Balans VL '!L19/100/3.6*1000000+C31*'E Balans VL '!N19/100/3.6*1000000</f>
        <v>1933.7129587805282</v>
      </c>
      <c r="G9" s="34"/>
      <c r="H9" s="33"/>
      <c r="I9" s="33"/>
      <c r="J9" s="40">
        <f>C31*'E Balans VL '!D19/100/3.6*1000000+C31*'E Balans VL '!E19/100/3.6*1000000</f>
        <v>0.22309611903245394</v>
      </c>
      <c r="K9" s="33"/>
      <c r="L9" s="33"/>
      <c r="M9" s="33"/>
      <c r="N9" s="33">
        <f>C31*'E Balans VL '!Y19/100/3.6*1000000</f>
        <v>183.33281631666517</v>
      </c>
      <c r="O9" s="33"/>
      <c r="P9" s="33"/>
      <c r="R9" s="32"/>
    </row>
    <row r="10" spans="1:18">
      <c r="A10" s="6" t="s">
        <v>41</v>
      </c>
      <c r="B10" s="37">
        <f t="shared" si="0"/>
        <v>266.95498490154398</v>
      </c>
      <c r="C10" s="33"/>
      <c r="D10" s="37">
        <f>IF( ISERROR(IND_voed_gas_kWh/1000),0,IND_voed_gas_kWh/1000)*0.902</f>
        <v>184.48106474608818</v>
      </c>
      <c r="E10" s="33">
        <f>C32*'E Balans VL '!I20/100/3.6*1000000</f>
        <v>2.4355863491030449</v>
      </c>
      <c r="F10" s="33">
        <f>C32*'E Balans VL '!L20/100/3.6*1000000+C32*'E Balans VL '!N20/100/3.6*1000000</f>
        <v>43.068188927895754</v>
      </c>
      <c r="G10" s="34"/>
      <c r="H10" s="33"/>
      <c r="I10" s="33"/>
      <c r="J10" s="40">
        <f>C32*'E Balans VL '!D20/100/3.6*1000000+C32*'E Balans VL '!E20/100/3.6*1000000</f>
        <v>1.0994956519847181</v>
      </c>
      <c r="K10" s="33"/>
      <c r="L10" s="33"/>
      <c r="M10" s="33"/>
      <c r="N10" s="33">
        <f>C32*'E Balans VL '!Y20/100/3.6*1000000</f>
        <v>3.9053409291960883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3035.4116241779097</v>
      </c>
      <c r="C15" s="33"/>
      <c r="D15" s="37">
        <f>IF( ISERROR(IND_rest_gas_kWh/1000),0,IND_rest_gas_kWh/1000)*0.902</f>
        <v>2516.2073646164718</v>
      </c>
      <c r="E15" s="33">
        <f>C37*'E Balans VL '!I15/100/3.6*1000000</f>
        <v>27.393872039922616</v>
      </c>
      <c r="F15" s="33">
        <f>C37*'E Balans VL '!L15/100/3.6*1000000+C37*'E Balans VL '!N15/100/3.6*1000000</f>
        <v>606.80315757420306</v>
      </c>
      <c r="G15" s="34"/>
      <c r="H15" s="33"/>
      <c r="I15" s="33"/>
      <c r="J15" s="40">
        <f>C37*'E Balans VL '!D15/100/3.6*1000000+C37*'E Balans VL '!E15/100/3.6*1000000</f>
        <v>20.438495607063338</v>
      </c>
      <c r="K15" s="33"/>
      <c r="L15" s="33"/>
      <c r="M15" s="33"/>
      <c r="N15" s="33">
        <f>C37*'E Balans VL '!Y15/100/3.6*1000000</f>
        <v>54.624833300603797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5835.025867888884</v>
      </c>
      <c r="C18" s="21">
        <f>C5+C16</f>
        <v>0</v>
      </c>
      <c r="D18" s="21">
        <f>MAX((D5+D16),0)</f>
        <v>3120.8305285475453</v>
      </c>
      <c r="E18" s="21">
        <f>MAX((E5+E16),0)</f>
        <v>71.791514102939743</v>
      </c>
      <c r="F18" s="21">
        <f>MAX((F5+F16),0)</f>
        <v>2590.0695983087253</v>
      </c>
      <c r="G18" s="21"/>
      <c r="H18" s="21"/>
      <c r="I18" s="21"/>
      <c r="J18" s="21">
        <f>MAX((J5+J16),0)</f>
        <v>22.979782310164254</v>
      </c>
      <c r="K18" s="21"/>
      <c r="L18" s="21">
        <f>MAX((L5+L16),0)</f>
        <v>0</v>
      </c>
      <c r="M18" s="21"/>
      <c r="N18" s="21">
        <f>MAX((N5+N16),0)</f>
        <v>242.08438071579201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0.17105923614360113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998.13506783922571</v>
      </c>
      <c r="C22" s="23">
        <f ca="1">C18*C20</f>
        <v>0</v>
      </c>
      <c r="D22" s="23">
        <f>D18*D20</f>
        <v>630.40776676660414</v>
      </c>
      <c r="E22" s="23">
        <f>E18*E20</f>
        <v>16.296673701367322</v>
      </c>
      <c r="F22" s="23">
        <f>F18*F20</f>
        <v>691.54858274842968</v>
      </c>
      <c r="G22" s="23"/>
      <c r="H22" s="23"/>
      <c r="I22" s="23"/>
      <c r="J22" s="23">
        <f>J18*J20</f>
        <v>8.1348429377981457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59.067746870970602</v>
      </c>
      <c r="C30" s="39">
        <f>IF(ISERROR(B30*3.6/1000000/'E Balans VL '!Z18*100),0,B30*3.6/1000000/'E Balans VL '!Z18*100)</f>
        <v>3.9321759789893371E-3</v>
      </c>
      <c r="D30" s="238" t="s">
        <v>719</v>
      </c>
    </row>
    <row r="31" spans="1:18">
      <c r="A31" s="6" t="s">
        <v>33</v>
      </c>
      <c r="B31" s="37">
        <f>IF( ISERROR(IND_ander_ele_kWh/1000),0,IND_ander_ele_kWh/1000)</f>
        <v>2473.5915119384604</v>
      </c>
      <c r="C31" s="39">
        <f>IF(ISERROR(B31*3.6/1000000/'E Balans VL '!Z19*100),0,B31*3.6/1000000/'E Balans VL '!Z19*100)</f>
        <v>0.10964450901253708</v>
      </c>
      <c r="D31" s="238" t="s">
        <v>719</v>
      </c>
    </row>
    <row r="32" spans="1:18">
      <c r="A32" s="172" t="s">
        <v>41</v>
      </c>
      <c r="B32" s="37">
        <f>IF( ISERROR(IND_voed_ele_kWh/1000),0,IND_voed_ele_kWh/1000)</f>
        <v>266.95498490154398</v>
      </c>
      <c r="C32" s="39">
        <f>IF(ISERROR(B32*3.6/1000000/'E Balans VL '!Z20*100),0,B32*3.6/1000000/'E Balans VL '!Z20*100)</f>
        <v>8.9170622904500424E-3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3035.4116241779097</v>
      </c>
      <c r="C37" s="39">
        <f>IF(ISERROR(B37*3.6/1000000/'E Balans VL '!Z15*100),0,B37*3.6/1000000/'E Balans VL '!Z15*100)</f>
        <v>2.2578517375347017E-2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4753.3703490562038</v>
      </c>
      <c r="C5" s="17">
        <f>'Eigen informatie GS &amp; warmtenet'!B60</f>
        <v>0</v>
      </c>
      <c r="D5" s="30">
        <f>IF(ISERROR(SUM(LB_lb_gas_kWh,LB_rest_gas_kWh)/1000),0,SUM(LB_lb_gas_kWh,LB_rest_gas_kWh)/1000)*0.902</f>
        <v>900.87648172238903</v>
      </c>
      <c r="E5" s="17">
        <f>B17*'E Balans VL '!I25/3.6*1000000/100</f>
        <v>49.778323358032203</v>
      </c>
      <c r="F5" s="17">
        <f>B17*('E Balans VL '!L25/3.6*1000000+'E Balans VL '!N25/3.6*1000000)/100</f>
        <v>20348.036888355455</v>
      </c>
      <c r="G5" s="18"/>
      <c r="H5" s="17"/>
      <c r="I5" s="17"/>
      <c r="J5" s="17">
        <f>('E Balans VL '!D25+'E Balans VL '!E25)/3.6*1000000*landbouw!B17/100</f>
        <v>424.51857735598759</v>
      </c>
      <c r="K5" s="17"/>
      <c r="L5" s="17">
        <f>L6*(-1)</f>
        <v>0</v>
      </c>
      <c r="M5" s="17"/>
      <c r="N5" s="17">
        <f>N6*(-1)</f>
        <v>18192.857142857145</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-18192.857142857145</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4753.3703490562038</v>
      </c>
      <c r="C8" s="21">
        <f>C5+C6</f>
        <v>0</v>
      </c>
      <c r="D8" s="21">
        <f>MAX((D5+D6),0)</f>
        <v>900.87648172238903</v>
      </c>
      <c r="E8" s="21">
        <f>MAX((E5+E6),0)</f>
        <v>49.778323358032203</v>
      </c>
      <c r="F8" s="21">
        <f>MAX((F5+F6),0)</f>
        <v>20348.036888355455</v>
      </c>
      <c r="G8" s="21"/>
      <c r="H8" s="21"/>
      <c r="I8" s="21"/>
      <c r="J8" s="21">
        <f>MAX((J5+J6),0)</f>
        <v>424.51857735598759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0.17105923614360113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813.10790101719692</v>
      </c>
      <c r="C12" s="23">
        <f ca="1">C8*C10</f>
        <v>0</v>
      </c>
      <c r="D12" s="23">
        <f>D8*D10</f>
        <v>181.97704930792258</v>
      </c>
      <c r="E12" s="23">
        <f>E8*E10</f>
        <v>11.299679402273311</v>
      </c>
      <c r="F12" s="23">
        <f>F8*F10</f>
        <v>5432.9258491909068</v>
      </c>
      <c r="G12" s="23"/>
      <c r="H12" s="23"/>
      <c r="I12" s="23"/>
      <c r="J12" s="23">
        <f>J8*J10</f>
        <v>150.27957638401961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0.7316354537240376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663.73409521370081</v>
      </c>
      <c r="C26" s="248">
        <f>B26*'GWP N2O_CH4'!B5</f>
        <v>13938.415999487717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412.07687144417866</v>
      </c>
      <c r="C27" s="248">
        <f>B27*'GWP N2O_CH4'!B5</f>
        <v>8653.6143003277521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9.4108501465802235</v>
      </c>
      <c r="C28" s="248">
        <f>B28*'GWP N2O_CH4'!B4</f>
        <v>2917.3635454398691</v>
      </c>
      <c r="D28" s="50"/>
    </row>
    <row r="29" spans="1:4">
      <c r="A29" s="41" t="s">
        <v>277</v>
      </c>
      <c r="B29" s="248">
        <f>B34*'ha_N2O bodem landbouw'!B4</f>
        <v>36.923943949279455</v>
      </c>
      <c r="C29" s="248">
        <f>B29*'GWP N2O_CH4'!B4</f>
        <v>11446.422624276631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6.1021666855005149E-3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1.4846001797236358E-6</v>
      </c>
      <c r="C5" s="446" t="s">
        <v>211</v>
      </c>
      <c r="D5" s="431">
        <f>SUM(D6:D11)</f>
        <v>8.6434071740914797E-6</v>
      </c>
      <c r="E5" s="431">
        <f>SUM(E6:E11)</f>
        <v>8.5344976887184721E-4</v>
      </c>
      <c r="F5" s="444" t="s">
        <v>211</v>
      </c>
      <c r="G5" s="431">
        <f>SUM(G6:G11)</f>
        <v>0.13577614770300536</v>
      </c>
      <c r="H5" s="431">
        <f>SUM(H6:H11)</f>
        <v>2.8357849865333951E-2</v>
      </c>
      <c r="I5" s="446" t="s">
        <v>211</v>
      </c>
      <c r="J5" s="446" t="s">
        <v>211</v>
      </c>
      <c r="K5" s="446" t="s">
        <v>211</v>
      </c>
      <c r="L5" s="446" t="s">
        <v>211</v>
      </c>
      <c r="M5" s="431">
        <f>SUM(M6:M11)</f>
        <v>7.175105370649873E-3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8.2917999299402756E-7</v>
      </c>
      <c r="C6" s="432"/>
      <c r="D6" s="432">
        <f>vkm_2011_GW_PW*SUMIFS(TableVerdeelsleutelVkm[CNG],TableVerdeelsleutelVkm[Voertuigtype],"Lichte voertuigen")*SUMIFS(TableECFTransport[EnergieConsumptieFactor (PJ per km)],TableECFTransport[Index],CONCATENATE($A6,"_CNG_CNG"))</f>
        <v>3.574498566021285E-6</v>
      </c>
      <c r="E6" s="434">
        <f>vkm_2011_GW_PW*SUMIFS(TableVerdeelsleutelVkm[LPG],TableVerdeelsleutelVkm[Voertuigtype],"Lichte voertuigen")*SUMIFS(TableECFTransport[EnergieConsumptieFactor (PJ per km)],TableECFTransport[Index],CONCATENATE($A6,"_LPG_LPG"))</f>
        <v>3.7190464313163892E-4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4.5745292087156185E-2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1.20437874259421E-2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2.5325945157283645E-3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2.0206523794478626E-2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6.9285369942476021E-6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8.7288396746129399E-4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6.554201867296082E-7</v>
      </c>
      <c r="C8" s="432"/>
      <c r="D8" s="434">
        <f>vkm_2011_NGW_PW*SUMIFS(TableVerdeelsleutelVkm[CNG],TableVerdeelsleutelVkm[Voertuigtype],"Lichte voertuigen")*SUMIFS(TableECFTransport[EnergieConsumptieFactor (PJ per km)],TableECFTransport[Index],CONCATENATE($A8,"_CNG_CNG"))</f>
        <v>5.0689086080701942E-6</v>
      </c>
      <c r="E8" s="434">
        <f>vkm_2011_NGW_PW*SUMIFS(TableVerdeelsleutelVkm[LPG],TableVerdeelsleutelVkm[Voertuigtype],"Lichte voertuigen")*SUMIFS(TableECFTransport[EnergieConsumptieFactor (PJ per km)],TableECFTransport[Index],CONCATENATE($A8,"_LPG_LPG"))</f>
        <v>4.8154512574020828E-4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5.6179608087816316E-2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1.6303069497658994E-2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3.1802288032545005E-3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1.364472373355422E-2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4.0644047386118259E-6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5.8939808420571411E-4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0.41238893881212108</v>
      </c>
      <c r="C14" s="21"/>
      <c r="D14" s="21">
        <f t="shared" ref="D14:M14" si="0">((D5)*10^9/3600)+D12</f>
        <v>2.4009464372476335</v>
      </c>
      <c r="E14" s="21">
        <f t="shared" si="0"/>
        <v>237.06938024217976</v>
      </c>
      <c r="F14" s="21"/>
      <c r="G14" s="21">
        <f t="shared" si="0"/>
        <v>37715.596584168161</v>
      </c>
      <c r="H14" s="21">
        <f t="shared" si="0"/>
        <v>7877.1805181483196</v>
      </c>
      <c r="I14" s="21"/>
      <c r="J14" s="21"/>
      <c r="K14" s="21"/>
      <c r="L14" s="21"/>
      <c r="M14" s="21">
        <f t="shared" si="0"/>
        <v>1993.0848251805203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0.17105923614360113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7.0542936867271699E-2</v>
      </c>
      <c r="C18" s="23"/>
      <c r="D18" s="23">
        <f t="shared" ref="D18:M18" si="1">D14*D16</f>
        <v>0.484991180324022</v>
      </c>
      <c r="E18" s="23">
        <f t="shared" si="1"/>
        <v>53.814749314974804</v>
      </c>
      <c r="F18" s="23"/>
      <c r="G18" s="23">
        <f t="shared" si="1"/>
        <v>10070.0642879729</v>
      </c>
      <c r="H18" s="23">
        <f t="shared" si="1"/>
        <v>1961.4179490189315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2.5228095173354592E-3</v>
      </c>
      <c r="H50" s="322">
        <f t="shared" si="2"/>
        <v>0</v>
      </c>
      <c r="I50" s="322">
        <f t="shared" si="2"/>
        <v>0</v>
      </c>
      <c r="J50" s="322">
        <f t="shared" si="2"/>
        <v>0</v>
      </c>
      <c r="K50" s="322">
        <f t="shared" si="2"/>
        <v>0</v>
      </c>
      <c r="L50" s="322">
        <f t="shared" si="2"/>
        <v>0</v>
      </c>
      <c r="M50" s="322">
        <f t="shared" si="2"/>
        <v>1.0753640943718008E-4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2.5228095173354592E-3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1.0753640943718008E-4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700.78042148207203</v>
      </c>
      <c r="H54" s="21">
        <f t="shared" si="3"/>
        <v>0</v>
      </c>
      <c r="I54" s="21">
        <f t="shared" si="3"/>
        <v>0</v>
      </c>
      <c r="J54" s="21">
        <f t="shared" si="3"/>
        <v>0</v>
      </c>
      <c r="K54" s="21">
        <f t="shared" si="3"/>
        <v>0</v>
      </c>
      <c r="L54" s="21">
        <f t="shared" si="3"/>
        <v>0</v>
      </c>
      <c r="M54" s="21">
        <f t="shared" si="3"/>
        <v>29.871224843661132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0.17105923614360113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187.10837253571324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2928.6778194569156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6367.5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18192.857142857145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9296.177819456916</v>
      </c>
      <c r="C10" s="569">
        <f t="shared" ref="C10:L10" si="0">SUM(C8:C9)</f>
        <v>0</v>
      </c>
      <c r="D10" s="569">
        <f t="shared" si="0"/>
        <v>0</v>
      </c>
      <c r="E10" s="569">
        <f t="shared" si="0"/>
        <v>0</v>
      </c>
      <c r="F10" s="569">
        <f t="shared" si="0"/>
        <v>0</v>
      </c>
      <c r="G10" s="569">
        <f t="shared" si="0"/>
        <v>0</v>
      </c>
      <c r="H10" s="569">
        <f t="shared" si="0"/>
        <v>0</v>
      </c>
      <c r="I10" s="569">
        <f t="shared" si="0"/>
        <v>0</v>
      </c>
      <c r="J10" s="569">
        <f t="shared" si="0"/>
        <v>18192.857142857145</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32006</v>
      </c>
      <c r="C64" s="788">
        <v>8650</v>
      </c>
      <c r="D64" s="643" t="s">
        <v>963</v>
      </c>
      <c r="E64" s="643" t="s">
        <v>964</v>
      </c>
      <c r="F64" s="643" t="s">
        <v>965</v>
      </c>
      <c r="G64" s="643" t="s">
        <v>966</v>
      </c>
      <c r="H64" s="643" t="s">
        <v>967</v>
      </c>
      <c r="I64" s="643" t="s">
        <v>968</v>
      </c>
      <c r="J64" s="787">
        <v>40274</v>
      </c>
      <c r="K64" s="787">
        <v>40704</v>
      </c>
      <c r="L64" s="643" t="s">
        <v>969</v>
      </c>
      <c r="M64" s="643">
        <v>2830</v>
      </c>
      <c r="N64" s="643">
        <v>6367.5</v>
      </c>
      <c r="O64" s="643">
        <v>0</v>
      </c>
      <c r="P64" s="643">
        <v>0</v>
      </c>
      <c r="Q64" s="643">
        <v>18192.857142857145</v>
      </c>
      <c r="R64" s="643">
        <v>0</v>
      </c>
      <c r="S64" s="643">
        <v>0</v>
      </c>
      <c r="T64" s="643">
        <v>0</v>
      </c>
      <c r="U64" s="643">
        <v>0</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2830</v>
      </c>
      <c r="N89" s="598">
        <f t="shared" ref="N89:W89" si="5">SUM(N64:N88)</f>
        <v>6367.5</v>
      </c>
      <c r="O89" s="598">
        <f t="shared" si="5"/>
        <v>0</v>
      </c>
      <c r="P89" s="598">
        <f t="shared" si="5"/>
        <v>0</v>
      </c>
      <c r="Q89" s="598">
        <f t="shared" si="5"/>
        <v>18192.857142857145</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2830</v>
      </c>
      <c r="N92" s="603">
        <f t="shared" si="8"/>
        <v>6367.5</v>
      </c>
      <c r="O92" s="603">
        <f t="shared" si="8"/>
        <v>0</v>
      </c>
      <c r="P92" s="603">
        <f t="shared" si="8"/>
        <v>0</v>
      </c>
      <c r="Q92" s="603">
        <f t="shared" si="8"/>
        <v>18192.857142857145</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2019-06-29T16:05:17Z</dcterms:modified>
</cp:coreProperties>
</file>