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F20" s="1"/>
  <c r="N90" i="14"/>
  <c r="N18" i="55"/>
  <c r="N20" s="1"/>
  <c r="L78" i="14"/>
  <c r="L8" i="55"/>
  <c r="G10"/>
  <c r="L10"/>
  <c r="K20"/>
  <c r="O10"/>
  <c r="H20"/>
  <c r="O29" i="48"/>
  <c r="O28"/>
  <c r="O25"/>
  <c r="G22" i="14"/>
  <c r="O22"/>
  <c r="P22"/>
  <c r="M76"/>
  <c r="M8" i="55" s="1"/>
  <c r="M10" s="1"/>
  <c r="E101" i="18"/>
  <c r="E8" s="1"/>
  <c r="L90" i="14"/>
  <c r="G20" i="55"/>
  <c r="O20"/>
  <c r="H101" i="18"/>
  <c r="E90" i="14"/>
  <c r="E18" i="55"/>
  <c r="E20" s="1"/>
  <c r="G78" i="14"/>
  <c r="G9" i="55"/>
  <c r="O78" i="14"/>
  <c r="O9" i="55"/>
  <c r="C77" i="14"/>
  <c r="C9" i="55" s="1"/>
  <c r="F9"/>
  <c r="N78" i="14"/>
  <c r="N9" i="55"/>
  <c r="R9" i="14"/>
  <c r="E10" i="55"/>
  <c r="N10"/>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C90" i="14" l="1"/>
  <c r="C17" i="55"/>
  <c r="C20" s="1"/>
  <c r="P8"/>
  <c r="P10" s="1"/>
  <c r="Q78" i="14"/>
  <c r="B9" i="6" s="1"/>
  <c r="B90" i="14"/>
  <c r="B17" i="55"/>
  <c r="B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30" i="48" l="1"/>
  <c r="H32"/>
  <c r="H26"/>
  <c r="H29"/>
  <c r="H28"/>
  <c r="H22"/>
  <c r="H24"/>
  <c r="H25"/>
  <c r="H23"/>
  <c r="G30"/>
  <c r="G32"/>
  <c r="G26"/>
  <c r="G25"/>
  <c r="G24"/>
  <c r="G22"/>
  <c r="G29"/>
  <c r="G23"/>
  <c r="M5"/>
  <c r="N10" i="14"/>
  <c r="N16" s="1"/>
  <c r="F32" i="48"/>
  <c r="F24"/>
  <c r="F31"/>
  <c r="F30"/>
  <c r="F27"/>
  <c r="F29"/>
  <c r="F28"/>
  <c r="N32"/>
  <c r="N29"/>
  <c r="N30"/>
  <c r="N28"/>
  <c r="N27"/>
  <c r="N24"/>
  <c r="N31"/>
  <c r="E30"/>
  <c r="E28"/>
  <c r="E24"/>
  <c r="E32"/>
  <c r="E29"/>
  <c r="E31"/>
  <c r="M25"/>
  <c r="M32"/>
  <c r="M30"/>
  <c r="M24"/>
  <c r="M29"/>
  <c r="M22"/>
  <c r="M26"/>
  <c r="L30"/>
  <c r="L24"/>
  <c r="L32"/>
  <c r="L29"/>
  <c r="L27"/>
  <c r="L22"/>
  <c r="L28"/>
  <c r="L31"/>
  <c r="K30"/>
  <c r="K32"/>
  <c r="K31"/>
  <c r="K26"/>
  <c r="K24"/>
  <c r="K25"/>
  <c r="K28"/>
  <c r="K22"/>
  <c r="K27"/>
  <c r="K29"/>
  <c r="I5"/>
  <c r="J10" i="14"/>
  <c r="J16" s="1"/>
  <c r="J27" s="1"/>
  <c r="J32" i="48"/>
  <c r="J31"/>
  <c r="J24"/>
  <c r="J30"/>
  <c r="J28"/>
  <c r="J29"/>
  <c r="J27"/>
  <c r="H12" i="22"/>
  <c r="I18" i="14"/>
  <c r="H13" i="48"/>
  <c r="H31" s="1"/>
  <c r="E11" i="14"/>
  <c r="D4" i="48"/>
  <c r="D22" s="1"/>
  <c r="D11" i="14"/>
  <c r="C4" i="48"/>
  <c r="B4"/>
  <c r="C11" i="14"/>
  <c r="C24"/>
  <c r="C26" s="1"/>
  <c r="B7" i="48"/>
  <c r="K5"/>
  <c r="L10" i="14"/>
  <c r="L16" s="1"/>
  <c r="L27" s="1"/>
  <c r="D30" i="48"/>
  <c r="D24"/>
  <c r="D29"/>
  <c r="D32"/>
  <c r="D28"/>
  <c r="D31"/>
  <c r="Q10" i="14"/>
  <c r="P5" i="48"/>
  <c r="P23" s="1"/>
  <c r="B10"/>
  <c r="C19" i="14"/>
  <c r="Q11"/>
  <c r="P4" i="48"/>
  <c r="O4"/>
  <c r="P11" i="14"/>
  <c r="I25" i="48"/>
  <c r="I32"/>
  <c r="I30"/>
  <c r="I24"/>
  <c r="I31"/>
  <c r="I27"/>
  <c r="I29"/>
  <c r="I28"/>
  <c r="I26"/>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M13" i="48"/>
  <c r="M31" s="1"/>
  <c r="N18" i="14"/>
  <c r="I20"/>
  <c r="H9" i="48"/>
  <c r="P22" i="16"/>
  <c r="Q43" i="14" s="1"/>
  <c r="P8" i="48"/>
  <c r="P26" s="1"/>
  <c r="Q13" i="14"/>
  <c r="O22" i="48"/>
  <c r="I33"/>
  <c r="J63" i="14"/>
  <c r="I22"/>
  <c r="I27" s="1"/>
  <c r="I23" i="48"/>
  <c r="I15"/>
  <c r="M23"/>
  <c r="F4"/>
  <c r="F22" s="1"/>
  <c r="G11" i="14"/>
  <c r="G12" i="22"/>
  <c r="H18" i="14"/>
  <c r="R18" s="1"/>
  <c r="G13" i="48"/>
  <c r="P22"/>
  <c r="K15"/>
  <c r="K23"/>
  <c r="K33" s="1"/>
  <c r="Q16" i="14"/>
  <c r="Q27" s="1"/>
  <c r="D16" i="15"/>
  <c r="E10" i="14" s="1"/>
  <c r="L46"/>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H27" i="48"/>
  <c r="H33" s="1"/>
  <c r="H15"/>
  <c r="J4"/>
  <c r="J22" s="1"/>
  <c r="K11" i="14"/>
  <c r="P16"/>
  <c r="P27" s="1"/>
  <c r="C15" i="48"/>
  <c r="P15"/>
  <c r="N4"/>
  <c r="N22" s="1"/>
  <c r="O11" i="14"/>
  <c r="H19"/>
  <c r="R19" s="1"/>
  <c r="G10" i="48"/>
  <c r="B9"/>
  <c r="C20" i="14"/>
  <c r="G31" i="48"/>
  <c r="Q13"/>
  <c r="F20" i="14"/>
  <c r="F22" s="1"/>
  <c r="E9" i="48"/>
  <c r="E27" s="1"/>
  <c r="E20" i="14"/>
  <c r="E22" s="1"/>
  <c r="D9" i="48"/>
  <c r="D27" s="1"/>
  <c r="P13" i="14"/>
  <c r="O8" i="48"/>
  <c r="O26" s="1"/>
  <c r="G14" i="22"/>
  <c r="Q46" i="14"/>
  <c r="Q61" s="1"/>
  <c r="Q63" s="1"/>
  <c r="P33" i="48"/>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R20" s="1"/>
  <c r="R22" s="1"/>
  <c r="M9" i="48"/>
  <c r="C22" i="14"/>
  <c r="H20"/>
  <c r="H22" s="1"/>
  <c r="H27" s="1"/>
  <c r="G9" i="48"/>
  <c r="Q9" s="1"/>
  <c r="H52" i="14"/>
  <c r="H61" s="1"/>
  <c r="R11"/>
  <c r="O15" i="48"/>
  <c r="D15"/>
  <c r="G28"/>
  <c r="Q10"/>
  <c r="E22"/>
  <c r="Q4"/>
  <c r="J5"/>
  <c r="K10" i="14"/>
  <c r="E20" i="15"/>
  <c r="F40" i="14" s="1"/>
  <c r="E5" i="48"/>
  <c r="F10" i="14"/>
  <c r="L15" i="48"/>
  <c r="Q7"/>
  <c r="R24" i="14"/>
  <c r="R26" s="1"/>
  <c r="J18" i="16"/>
  <c r="N18"/>
  <c r="E18"/>
  <c r="F18"/>
  <c r="F22"/>
  <c r="G43" i="14" s="1"/>
  <c r="M27" i="48" l="1"/>
  <c r="M33" s="1"/>
  <c r="M15"/>
  <c r="G27"/>
  <c r="G33" s="1"/>
  <c r="G15"/>
  <c r="H63" i="14"/>
  <c r="E22" i="16"/>
  <c r="F43" i="14" s="1"/>
  <c r="E8" i="48"/>
  <c r="E26" s="1"/>
  <c r="F13" i="14"/>
  <c r="F46"/>
  <c r="F61" s="1"/>
  <c r="K13"/>
  <c r="K16" s="1"/>
  <c r="K27" s="1"/>
  <c r="K63" s="1"/>
  <c r="J8" i="48"/>
  <c r="J26" s="1"/>
  <c r="F16" i="14"/>
  <c r="F27" s="1"/>
  <c r="J23" i="48"/>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<sst xmlns="http://schemas.openxmlformats.org/spreadsheetml/2006/main" count="2502" uniqueCount="968">
  <si>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</si>
  <si>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</si>
  <si>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</si>
  <si>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</si>
  <si>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</si>
  <si>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</si>
  <si>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</si>
  <si>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</si>
  <si>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</si>
  <si>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</si>
  <si>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</si>
  <si>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</si>
  <si>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</si>
  <si>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</si>
  <si>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</si>
  <si>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</si>
  <si>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</si>
  <si>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</si>
  <si>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</si>
  <si>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</si>
  <si>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</si>
  <si>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</si>
  <si>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</si>
  <si>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</si>
  <si>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</si>
  <si>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</si>
  <si>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</si>
  <si>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</si>
  <si>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</si>
  <si>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</si>
  <si>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</si>
  <si>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</si>
  <si>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</si>
  <si>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</si>
  <si>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</si>
  <si>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</si>
  <si>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</si>
  <si>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</si>
  <si>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</si>
  <si>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</si>
  <si>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</si>
  <si>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</si>
  <si>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</si>
  <si>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</si>
  <si>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</si>
  <si>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</si>
  <si>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</si>
  <si>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</si>
  <si>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</si>
  <si>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</si>
  <si>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</si>
  <si>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</si>
  <si>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</si>
  <si>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</si>
  <si>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</si>
  <si>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</si>
  <si>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</si>
  <si>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</si>
  <si>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</si>
  <si>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</si>
  <si>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</si>
  <si>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</si>
  <si>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</si>
  <si>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</si>
  <si>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</si>
  <si>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</si>
  <si>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</si>
  <si>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</si>
  <si>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</si>
  <si>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</si>
  <si>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</si>
  <si>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</si>
  <si>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</si>
  <si>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</si>
  <si>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</si>
  <si>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</si>
  <si>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</si>
  <si>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</si>
  <si>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</si>
  <si>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</si>
  <si>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</si>
  <si>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</si>
  <si>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</si>
  <si>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</si>
  <si>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</si>
  <si>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</si>
  <si>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</si>
  <si>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</si>
  <si>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</si>
  <si>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</si>
  <si>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</si>
  <si>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</si>
  <si>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</si>
  <si>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</si>
  <si>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</si>
  <si>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</si>
  <si>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</si>
  <si>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</si>
  <si>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</si>
  <si>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</si>
  <si>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</si>
  <si>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</si>
  <si>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</si>
  <si>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</si>
  <si>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</si>
  <si>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</si>
  <si>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</si>
  <si>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</si>
  <si>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</si>
  <si>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</si>
  <si>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</si>
  <si>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</si>
  <si>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</si>
  <si>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</si>
  <si>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</si>
  <si>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</si>
  <si>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</si>
  <si>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</si>
  <si>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</si>
  <si>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</si>
  <si>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</si>
  <si>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</si>
  <si>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</si>
  <si>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</si>
  <si>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</si>
  <si>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</si>
  <si>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</si>
  <si>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</si>
  <si>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</si>
  <si>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</si>
  <si>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</si>
  <si>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</si>
  <si>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</si>
  <si>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</si>
  <si>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</si>
  <si>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</si>
  <si>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</si>
  <si>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</si>
  <si>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</si>
  <si>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</si>
  <si>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</si>
  <si>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</si>
  <si>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</si>
  <si>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</si>
  <si>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</si>
  <si>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</si>
  <si>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</si>
  <si>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</si>
  <si>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</si>
  <si>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</si>
  <si>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</si>
  <si>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</si>
  <si>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</si>
  <si>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</si>
  <si>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</si>
  <si>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</si>
  <si>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</si>
  <si>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</si>
  <si>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</si>
  <si>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</si>
  <si>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</si>
  <si>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</si>
  <si>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</si>
  <si>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</si>
  <si>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</si>
  <si>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</si>
  <si>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</si>
  <si>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</si>
  <si>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</si>
  <si>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</si>
  <si>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</si>
  <si>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</si>
  <si>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</si>
  <si>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</si>
  <si>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</si>
  <si>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</si>
  <si>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</si>
  <si>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</si>
  <si>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</si>
  <si>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</si>
  <si>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</si>
  <si>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</si>
  <si>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</si>
  <si>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</si>
  <si>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</si>
  <si>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</si>
  <si>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</si>
  <si>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</si>
  <si>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</si>
  <si>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</si>
  <si>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</si>
  <si>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</si>
  <si>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</si>
  <si>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</si>
  <si>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</si>
  <si>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</si>
  <si>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</si>
  <si>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</si>
  <si>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</si>
  <si>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</si>
  <si>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</si>
  <si>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</si>
  <si>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</si>
  <si>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</si>
  <si>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</si>
  <si>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</si>
  <si>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</si>
  <si>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</si>
  <si>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</si>
  <si>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</si>
  <si>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</si>
  <si>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</si>
  <si>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</si>
  <si>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</si>
  <si>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</si>
  <si>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</si>
  <si>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</si>
  <si>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</si>
  <si>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</si>
  <si>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</si>
  <si>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</si>
  <si>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</si>
  <si>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</si>
  <si>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</si>
  <si>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</si>
  <si>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</si>
  <si>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</si>
  <si>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</si>
  <si>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</si>
  <si>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</si>
  <si>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</si>
  <si>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</si>
  <si>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</si>
  <si>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</si>
  <si>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</si>
  <si>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</si>
  <si>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</si>
  <si>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</si>
  <si>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</si>
  <si>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</si>
  <si>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</si>
  <si>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</si>
  <si>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</si>
  <si>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</si>
  <si>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</si>
  <si>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</si>
  <si>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</si>
  <si>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</si>
  <si>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</si>
  <si>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</si>
  <si>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</si>
  <si>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</si>
  <si>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</si>
  <si>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</si>
  <si>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</si>
  <si>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</si>
  <si>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</si>
  <si>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</si>
  <si>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</si>
  <si>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</si>
  <si>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</si>
  <si>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</si>
  <si>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</si>
  <si>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</si>
  <si>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</si>
  <si>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</si>
  <si>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</si>
  <si>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</si>
  <si>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</si>
  <si>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</si>
  <si>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</si>
  <si>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</si>
  <si>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</si>
  <si>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</si>
  <si>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</si>
  <si>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</si>
  <si>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</si>
  <si>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</si>
  <si>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</si>
  <si>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</si>
  <si>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</si>
  <si>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</si>
  <si>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</si>
  <si>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</si>
  <si>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</si>
  <si>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</si>
  <si>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</si>
  <si>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</si>
  <si>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</si>
  <si>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</si>
  <si>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</si>
  <si>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</si>
  <si>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</si>
  <si>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</si>
  <si>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</si>
  <si>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</si>
  <si>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</si>
  <si>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</si>
  <si>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</si>
  <si>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</si>
  <si>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</si>
  <si>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</si>
  <si>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</si>
  <si>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</si>
  <si>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</si>
  <si>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</si>
  <si>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</si>
  <si>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</si>
  <si>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</si>
  <si>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</si>
  <si>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</si>
  <si>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</si>
  <si>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</si>
  <si>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</si>
  <si>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</si>
  <si>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</si>
  <si>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</si>
  <si>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</si>
  <si>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</si>
  <si>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</si>
  <si>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</si>
  <si>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</si>
  <si>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</si>
  <si>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</si>
  <si>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</si>
  <si>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</si>
  <si>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</si>
  <si>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</si>
  <si>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</si>
  <si>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</si>
  <si>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</si>
  <si>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</si>
  <si>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</si>
  <si>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</si>
  <si>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</si>
  <si>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</si>
  <si>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</si>
  <si>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</si>
  <si>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</si>
  <si>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</si>
  <si>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</si>
  <si>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</si>
  <si>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</si>
  <si>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</si>
  <si>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</si>
  <si>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</si>
  <si>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</si>
  <si>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</si>
  <si>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</si>
  <si>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</si>
  <si>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</si>
  <si>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</si>
  <si>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</si>
  <si>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</si>
  <si>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</si>
  <si>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</si>
  <si>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</si>
  <si>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</si>
  <si>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</si>
  <si>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</si>
  <si>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</si>
  <si>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</si>
  <si>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</si>
  <si>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</si>
  <si>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</si>
  <si>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</si>
  <si>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</si>
  <si>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</si>
  <si>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</si>
  <si>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</si>
  <si>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</si>
  <si>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</si>
  <si>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</si>
  <si>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</si>
  <si>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</si>
  <si>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</si>
  <si>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</si>
  <si>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</si>
  <si>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</si>
  <si>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</si>
  <si>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</si>
  <si>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</si>
  <si>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</si>
  <si>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</si>
  <si>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</si>
  <si>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</si>
  <si>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</si>
  <si>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</si>
  <si>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</si>
  <si>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</si>
  <si>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</si>
  <si>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</si>
  <si>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</si>
  <si>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</si>
  <si>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</si>
  <si>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</si>
  <si>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</si>
  <si>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</si>
  <si>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</si>
  <si>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</si>
  <si>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</si>
  <si>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</si>
  <si>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</si>
  <si>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</si>
  <si>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</si>
  <si>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</si>
  <si>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</si>
  <si>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</si>
  <si>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</si>
  <si>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</si>
  <si>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</si>
  <si>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</si>
  <si>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</si>
  <si>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</si>
  <si>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</si>
  <si>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</si>
  <si>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</si>
  <si>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</si>
  <si>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</si>
  <si>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</si>
  <si>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</si>
  <si>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</si>
  <si>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</si>
  <si>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</si>
  <si>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</si>
  <si>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</si>
  <si>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</si>
  <si>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</si>
  <si>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</si>
  <si>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</si>
  <si>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</si>
  <si>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</si>
  <si>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</si>
  <si>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</si>
  <si>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</si>
  <si>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</si>
  <si>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</si>
  <si>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</si>
  <si>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</si>
  <si>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</si>
  <si>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</si>
  <si>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</si>
  <si>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</si>
  <si>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</si>
  <si>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</si>
  <si>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</si>
  <si>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</si>
  <si>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</si>
  <si>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</si>
  <si>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</si>
  <si>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</si>
  <si>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</si>
  <si>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</si>
  <si>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</si>
  <si>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</si>
  <si>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</si>
  <si>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</si>
  <si>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</si>
  <si>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</si>
  <si>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</si>
  <si>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</si>
  <si>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</si>
  <si>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</si>
  <si>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</si>
  <si>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</si>
  <si>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</si>
  <si>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</si>
  <si>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</si>
  <si>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</si>
  <si>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</si>
  <si>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</si>
  <si>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</si>
  <si>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</si>
  <si>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</si>
  <si>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</si>
  <si>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</si>
  <si>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</si>
  <si>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</si>
  <si>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</si>
  <si>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</si>
  <si>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</si>
  <si>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</si>
  <si>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</si>
  <si>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</si>
  <si>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</si>
  <si>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</si>
  <si>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</si>
  <si>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</si>
  <si>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</si>
  <si>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</si>
  <si>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</si>
  <si>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</si>
  <si>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</si>
  <si>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</si>
  <si>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</si>
  <si>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</si>
  <si>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</si>
  <si>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</si>
  <si>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</si>
  <si>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</si>
  <si>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</si>
  <si>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</si>
  <si>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</si>
  <si>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</si>
  <si>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</si>
  <si>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</si>
  <si>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</si>
  <si>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</si>
  <si>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</si>
  <si>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</si>
  <si>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</si>
  <si>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</si>
  <si>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</si>
  <si>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</si>
  <si>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</si>
  <si>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</si>
  <si>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</si>
  <si>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</si>
  <si>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</si>
  <si>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</si>
  <si>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</si>
  <si>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</si>
  <si>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</si>
  <si>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</si>
  <si>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</si>
  <si>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</si>
  <si>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</si>
  <si>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</si>
  <si>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</si>
  <si>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</si>
  <si>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</si>
  <si>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</si>
  <si>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</si>
  <si>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</si>
  <si>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</si>
  <si>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</si>
  <si>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</si>
  <si>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</si>
  <si>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</si>
  <si>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</si>
  <si>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</si>
  <si>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</si>
  <si>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</si>
  <si>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</si>
  <si>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</si>
  <si>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</si>
  <si>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</si>
  <si>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</si>
  <si>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</si>
  <si>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</si>
  <si>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</si>
  <si>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</si>
  <si>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</si>
  <si>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</si>
  <si>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</si>
  <si>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</si>
  <si>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</si>
  <si>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</si>
  <si>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</si>
  <si>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</si>
  <si>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</si>
  <si>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</si>
  <si>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</si>
  <si>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</si>
  <si>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</si>
  <si>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</si>
  <si>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</si>
  <si>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</si>
  <si>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</si>
  <si>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</si>
  <si>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</si>
  <si>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</si>
  <si>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</si>
  <si>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</si>
  <si>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</si>
  <si>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</si>
  <si>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</si>
  <si>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</si>
  <si>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</si>
  <si>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</si>
  <si>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</si>
  <si>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</si>
  <si>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</si>
  <si>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</si>
  <si>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</si>
  <si>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</si>
  <si>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</si>
  <si>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</si>
  <si>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</si>
  <si>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</si>
  <si>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</si>
  <si>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</si>
  <si>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</si>
  <si>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</si>
  <si>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</si>
  <si>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</si>
  <si>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</si>
  <si>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</si>
  <si>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</si>
  <si>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</si>
  <si>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</si>
  <si>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</si>
  <si>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</si>
  <si>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</si>
  <si>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</si>
  <si>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</si>
  <si>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</si>
  <si>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</si>
  <si>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</si>
  <si>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</si>
  <si>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</si>
  <si>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</si>
  <si>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</si>
  <si>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</si>
  <si>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</si>
  <si>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</si>
  <si>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</si>
  <si>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</si>
  <si>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</si>
  <si>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</si>
  <si>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</si>
  <si>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</si>
  <si>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</si>
  <si>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</si>
  <si>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</si>
  <si>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</si>
  <si>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</si>
  <si>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</si>
  <si>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</si>
  <si>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</si>
  <si>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</si>
  <si>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</si>
  <si>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</si>
  <si>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</si>
  <si>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</si>
  <si>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</si>
  <si>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</si>
  <si>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</si>
  <si>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</si>
  <si>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</si>
  <si>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</si>
  <si>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</si>
  <si>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</si>
  <si>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</si>
  <si>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</si>
  <si>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</si>
  <si>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</si>
  <si>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</si>
  <si>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</si>
  <si>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</si>
  <si>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</si>
  <si>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</si>
  <si>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</si>
  <si>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</si>
  <si>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</si>
  <si>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</si>
  <si>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</si>
  <si>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</si>
  <si>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</si>
  <si>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</si>
  <si>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</si>
  <si>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</si>
  <si>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</si>
  <si>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</si>
  <si>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</si>
  <si>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</si>
  <si>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</si>
  <si>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</si>
  <si>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</si>
  <si>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</si>
  <si>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</si>
  <si>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</si>
  <si>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</si>
  <si>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</si>
  <si>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</si>
  <si>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</si>
  <si>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</si>
  <si>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</si>
  <si>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</si>
  <si>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</si>
  <si>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</si>
  <si>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</si>
  <si>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</si>
  <si>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</si>
  <si>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</si>
  <si>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</si>
  <si>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</si>
  <si>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</si>
  <si>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</si>
  <si>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</si>
  <si>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</si>
  <si>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</si>
  <si>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</si>
  <si>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</si>
  <si>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</si>
  <si>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</si>
  <si>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</si>
  <si>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</si>
  <si>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</si>
  <si>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</si>
  <si>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</si>
  <si>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</si>
  <si>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</si>
  <si>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</si>
  <si>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</si>
  <si>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</si>
  <si>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</si>
  <si>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</si>
  <si>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</si>
  <si>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</si>
  <si>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</si>
  <si>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</si>
  <si>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</si>
  <si>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</si>
  <si>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</si>
  <si>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</si>
  <si>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</si>
  <si>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</si>
  <si>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</si>
  <si>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</si>
  <si>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</si>
  <si>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</si>
  <si>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</si>
  <si>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</si>
  <si>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</si>
  <si>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</si>
  <si>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</si>
  <si>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</si>
  <si>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</si>
  <si>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</si>
  <si>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</si>
  <si>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</si>
  <si>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</si>
  <si>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</si>
  <si>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</si>
  <si>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</si>
  <si>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</si>
  <si>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</si>
  <si>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</si>
  <si>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</si>
  <si>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</si>
  <si>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</si>
  <si>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</si>
  <si>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</si>
  <si>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</si>
  <si>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</si>
  <si>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</si>
  <si>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</si>
  <si>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</si>
  <si>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</si>
  <si>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</si>
  <si>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</si>
  <si>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</si>
  <si>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</si>
  <si>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</si>
  <si>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</si>
  <si>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</si>
  <si>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</si>
  <si>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</si>
  <si>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</si>
  <si>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</si>
  <si>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</si>
  <si>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</si>
  <si>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</si>
  <si>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</si>
  <si>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</si>
  <si>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</si>
  <si>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</si>
  <si>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</si>
  <si>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</si>
  <si>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</si>
  <si>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</si>
  <si>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</si>
  <si>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</si>
  <si>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</si>
  <si>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</si>
  <si>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</si>
  <si>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</si>
  <si>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</si>
  <si>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</si>
  <si>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</si>
  <si>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</si>
  <si>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</si>
  <si>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</si>
  <si>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</si>
  <si>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</si>
  <si>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</si>
  <si>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</si>
  <si>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</si>
  <si>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</si>
  <si>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</si>
  <si>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</si>
  <si>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</si>
  <si>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</si>
  <si>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</si>
  <si>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</si>
  <si>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</si>
  <si>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</si>
  <si>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</si>
  <si>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</si>
  <si>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</si>
  <si>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</si>
  <si>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</si>
  <si>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</si>
  <si>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</si>
  <si>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</si>
  <si>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</si>
  <si>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</si>
  <si>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</si>
  <si>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</si>
  <si>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</si>
  <si>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</si>
  <si>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</si>
  <si>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</si>
  <si>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</si>
  <si>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</si>
  <si>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</si>
  <si>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</si>
  <si>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</si>
  <si>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</si>
  <si>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</si>
  <si>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</si>
  <si>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</si>
  <si>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</si>
  <si>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</si>
  <si>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</si>
  <si>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</si>
  <si>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</si>
  <si>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</si>
  <si>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</si>
  <si>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</si>
  <si>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</si>
  <si>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</si>
  <si>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</si>
  <si>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</si>
  <si>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</si>
  <si>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</si>
  <si>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</si>
  <si>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</si>
  <si>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</si>
  <si>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</si>
  <si>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</si>
  <si>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</si>
  <si>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</si>
  <si>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</si>
  <si>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</si>
  <si>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</si>
  <si>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</si>
  <si>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</si>
  <si>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</si>
  <si>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</si>
  <si>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</si>
  <si>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</si>
  <si>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</si>
  <si>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</si>
  <si>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</si>
  <si>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</si>
  <si>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</si>
  <si>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</si>
  <si>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</si>
  <si>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</si>
  <si>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</si>
  <si>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</si>
  <si>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</si>
  <si>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</si>
  <si>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</si>
  <si>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</si>
  <si>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</si>
  <si>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</si>
  <si>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</si>
  <si>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</si>
  <si>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</si>
  <si>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</si>
  <si>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</si>
  <si>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</si>
  <si>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</si>
  <si>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</si>
  <si>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</si>
  <si>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</si>
  <si>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</si>
  <si>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</si>
  <si>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</si>
  <si>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</si>
  <si>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</si>
  <si>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</si>
  <si>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</si>
  <si>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</si>
  <si>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</si>
  <si>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</si>
  <si>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</si>
  <si>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</si>
  <si>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</si>
  <si>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</si>
  <si>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</si>
  <si>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</si>
  <si>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</si>
  <si>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</si>
  <si>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</si>
  <si>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</si>
  <si>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</si>
  <si>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</si>
  <si>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</si>
  <si>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</si>
  <si>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</si>
  <si>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</si>
  <si>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</si>
  <si>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</si>
  <si>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</si>
  <si>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</si>
  <si>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</si>
  <si>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</si>
  <si>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</si>
  <si>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</si>
  <si>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</si>
  <si>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</si>
  <si>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</si>
  <si>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</si>
  <si>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</si>
  <si>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</si>
  <si>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</si>
  <si>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</si>
  <si>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</si>
  <si>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</si>
  <si>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</si>
  <si>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</si>
  <si>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</si>
  <si>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</si>
  <si>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</si>
  <si>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</si>
  <si>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</si>
  <si>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</si>
  <si>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</si>
  <si>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</si>
  <si>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</si>
  <si>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</si>
  <si>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</si>
  <si>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</si>
  <si>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</si>
  <si>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</si>
  <si>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</si>
  <si>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</si>
  <si>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</si>
  <si>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</si>
  <si>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</si>
  <si>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</si>
  <si>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</si>
  <si>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</si>
  <si>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</si>
  <si>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</si>
  <si>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</si>
  <si>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</si>
  <si>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</si>
  <si>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</si>
  <si>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</si>
  <si>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31005</t>
  </si>
  <si>
    <t>BRUGGE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</si>
  <si>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</si>
  <si>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</si>
  <si>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</si>
  <si>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</si>
  <si>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</si>
  <si>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</si>
  <si>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</si>
  <si>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Guido Vandenbulcke</t>
  </si>
  <si>
    <t>Groene-Poortdreef 3 , 8200 Sint-Michiels</t>
  </si>
  <si>
    <t>WKK-0279 Guido Vandenbulcke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</si>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</sst>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31005</v>
      </c>
      <c r="B6" s="396"/>
      <c r="C6" s="397"/>
    </row>
    <row r="7" spans="1:7" s="394" customFormat="1" ht="15.75" customHeight="1">
      <c r="A7" s="398" t="str">
        <f>txtMunicipality</f>
        <v>BRUGGE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0.19524823910969408</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0.19524823910969408</v>
      </c>
      <c r="C29" s="510">
        <f ca="1">'EF ele_warmte'!B22</f>
        <v>0.22444444444444447</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52271</v>
      </c>
      <c r="C9" s="336">
        <v>53799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4621</v>
      </c>
    </row>
    <row r="15" spans="1:6">
      <c r="A15" s="1277" t="s">
        <v>184</v>
      </c>
      <c r="B15" s="333">
        <v>844</v>
      </c>
    </row>
    <row r="16" spans="1:6">
      <c r="A16" s="1277" t="s">
        <v>6</v>
      </c>
      <c r="B16" s="333">
        <v>1310</v>
      </c>
    </row>
    <row r="17" spans="1:6">
      <c r="A17" s="1277" t="s">
        <v>7</v>
      </c>
      <c r="B17" s="333">
        <v>1415</v>
      </c>
    </row>
    <row r="18" spans="1:6">
      <c r="A18" s="1277" t="s">
        <v>8</v>
      </c>
      <c r="B18" s="333">
        <v>2090</v>
      </c>
    </row>
    <row r="19" spans="1:6">
      <c r="A19" s="1277" t="s">
        <v>9</v>
      </c>
      <c r="B19" s="333">
        <v>1943</v>
      </c>
    </row>
    <row r="20" spans="1:6">
      <c r="A20" s="1277" t="s">
        <v>10</v>
      </c>
      <c r="B20" s="333">
        <v>1922</v>
      </c>
    </row>
    <row r="21" spans="1:6">
      <c r="A21" s="1277" t="s">
        <v>11</v>
      </c>
      <c r="B21" s="333">
        <v>6618</v>
      </c>
    </row>
    <row r="22" spans="1:6">
      <c r="A22" s="1277" t="s">
        <v>12</v>
      </c>
      <c r="B22" s="333">
        <v>17564</v>
      </c>
    </row>
    <row r="23" spans="1:6">
      <c r="A23" s="1277" t="s">
        <v>13</v>
      </c>
      <c r="B23" s="333">
        <v>307</v>
      </c>
    </row>
    <row r="24" spans="1:6">
      <c r="A24" s="1277" t="s">
        <v>14</v>
      </c>
      <c r="B24" s="333">
        <v>13</v>
      </c>
    </row>
    <row r="25" spans="1:6">
      <c r="A25" s="1277" t="s">
        <v>15</v>
      </c>
      <c r="B25" s="333">
        <v>1669</v>
      </c>
    </row>
    <row r="26" spans="1:6">
      <c r="A26" s="1277" t="s">
        <v>16</v>
      </c>
      <c r="B26" s="333">
        <v>823</v>
      </c>
    </row>
    <row r="27" spans="1:6">
      <c r="A27" s="1277" t="s">
        <v>17</v>
      </c>
      <c r="B27" s="333">
        <v>23</v>
      </c>
    </row>
    <row r="28" spans="1:6">
      <c r="A28" s="1277" t="s">
        <v>18</v>
      </c>
      <c r="B28" s="333">
        <v>114395</v>
      </c>
    </row>
    <row r="29" spans="1:6">
      <c r="A29" s="1277" t="s">
        <v>957</v>
      </c>
      <c r="B29" s="333">
        <v>383</v>
      </c>
    </row>
    <row r="30" spans="1:6">
      <c r="A30" s="1273" t="s">
        <v>958</v>
      </c>
      <c r="B30" s="1273">
        <v>79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8</v>
      </c>
      <c r="F35" s="333">
        <v>662713.55800715601</v>
      </c>
    </row>
    <row r="36" spans="1:6">
      <c r="A36" s="1277" t="s">
        <v>25</v>
      </c>
      <c r="B36" s="1277" t="s">
        <v>27</v>
      </c>
      <c r="C36" s="333">
        <v>9</v>
      </c>
      <c r="D36" s="333">
        <v>1383720.10119733</v>
      </c>
      <c r="E36" s="333">
        <v>11</v>
      </c>
      <c r="F36" s="333">
        <v>797518.49759884703</v>
      </c>
    </row>
    <row r="37" spans="1:6">
      <c r="A37" s="1277" t="s">
        <v>25</v>
      </c>
      <c r="B37" s="1277" t="s">
        <v>28</v>
      </c>
      <c r="C37" s="333">
        <v>0</v>
      </c>
      <c r="D37" s="333">
        <v>0</v>
      </c>
      <c r="E37" s="333">
        <v>0</v>
      </c>
      <c r="F37" s="333">
        <v>0</v>
      </c>
    </row>
    <row r="38" spans="1:6">
      <c r="A38" s="1277" t="s">
        <v>25</v>
      </c>
      <c r="B38" s="1277" t="s">
        <v>29</v>
      </c>
      <c r="C38" s="333">
        <v>7</v>
      </c>
      <c r="D38" s="333">
        <v>1093595.9933516199</v>
      </c>
      <c r="E38" s="333">
        <v>12</v>
      </c>
      <c r="F38" s="333">
        <v>210245.218801212</v>
      </c>
    </row>
    <row r="39" spans="1:6">
      <c r="A39" s="1277" t="s">
        <v>30</v>
      </c>
      <c r="B39" s="1277" t="s">
        <v>31</v>
      </c>
      <c r="C39" s="333">
        <v>42311</v>
      </c>
      <c r="D39" s="333">
        <v>652645601.50213099</v>
      </c>
      <c r="E39" s="333">
        <v>51864</v>
      </c>
      <c r="F39" s="333">
        <v>195325976.32814699</v>
      </c>
    </row>
    <row r="40" spans="1:6">
      <c r="A40" s="1277" t="s">
        <v>30</v>
      </c>
      <c r="B40" s="1277" t="s">
        <v>29</v>
      </c>
      <c r="C40" s="333">
        <v>0</v>
      </c>
      <c r="D40" s="333">
        <v>0</v>
      </c>
      <c r="E40" s="333">
        <v>1</v>
      </c>
      <c r="F40" s="333">
        <v>8426.4741407867004</v>
      </c>
    </row>
    <row r="41" spans="1:6">
      <c r="A41" s="1277" t="s">
        <v>32</v>
      </c>
      <c r="B41" s="1277" t="s">
        <v>33</v>
      </c>
      <c r="C41" s="333">
        <v>398</v>
      </c>
      <c r="D41" s="333">
        <v>11861223.243581099</v>
      </c>
      <c r="E41" s="333">
        <v>777</v>
      </c>
      <c r="F41" s="333">
        <v>15750344.4075293</v>
      </c>
    </row>
    <row r="42" spans="1:6">
      <c r="A42" s="1277" t="s">
        <v>32</v>
      </c>
      <c r="B42" s="1277" t="s">
        <v>34</v>
      </c>
      <c r="C42" s="333">
        <v>3</v>
      </c>
      <c r="D42" s="333">
        <v>131986.622973744</v>
      </c>
      <c r="E42" s="333">
        <v>4</v>
      </c>
      <c r="F42" s="333">
        <v>3282167.1546521699</v>
      </c>
    </row>
    <row r="43" spans="1:6">
      <c r="A43" s="1277" t="s">
        <v>32</v>
      </c>
      <c r="B43" s="1277" t="s">
        <v>35</v>
      </c>
      <c r="C43" s="333">
        <v>0</v>
      </c>
      <c r="D43" s="333">
        <v>0</v>
      </c>
      <c r="E43" s="333">
        <v>0</v>
      </c>
      <c r="F43" s="333">
        <v>0</v>
      </c>
    </row>
    <row r="44" spans="1:6">
      <c r="A44" s="1277" t="s">
        <v>32</v>
      </c>
      <c r="B44" s="1277" t="s">
        <v>36</v>
      </c>
      <c r="C44" s="333">
        <v>26</v>
      </c>
      <c r="D44" s="333">
        <v>14858684.681745101</v>
      </c>
      <c r="E44" s="333">
        <v>47</v>
      </c>
      <c r="F44" s="333">
        <v>4001847.7174766702</v>
      </c>
    </row>
    <row r="45" spans="1:6">
      <c r="A45" s="1277" t="s">
        <v>32</v>
      </c>
      <c r="B45" s="1277" t="s">
        <v>37</v>
      </c>
      <c r="C45" s="333">
        <v>3</v>
      </c>
      <c r="D45" s="333">
        <v>58078.343577709398</v>
      </c>
      <c r="E45" s="333">
        <v>16</v>
      </c>
      <c r="F45" s="333">
        <v>2830132.7159750899</v>
      </c>
    </row>
    <row r="46" spans="1:6">
      <c r="A46" s="1277" t="s">
        <v>32</v>
      </c>
      <c r="B46" s="1277" t="s">
        <v>38</v>
      </c>
      <c r="C46" s="333">
        <v>0</v>
      </c>
      <c r="D46" s="333">
        <v>0</v>
      </c>
      <c r="E46" s="333">
        <v>0</v>
      </c>
      <c r="F46" s="333">
        <v>0</v>
      </c>
    </row>
    <row r="47" spans="1:6">
      <c r="A47" s="1277" t="s">
        <v>32</v>
      </c>
      <c r="B47" s="1277" t="s">
        <v>39</v>
      </c>
      <c r="C47" s="333">
        <v>55</v>
      </c>
      <c r="D47" s="333">
        <v>1779168.30583953</v>
      </c>
      <c r="E47" s="333">
        <v>69</v>
      </c>
      <c r="F47" s="333">
        <v>3919546.9002179201</v>
      </c>
    </row>
    <row r="48" spans="1:6">
      <c r="A48" s="1277" t="s">
        <v>32</v>
      </c>
      <c r="B48" s="1277" t="s">
        <v>29</v>
      </c>
      <c r="C48" s="333">
        <v>142</v>
      </c>
      <c r="D48" s="333">
        <v>117172817.531652</v>
      </c>
      <c r="E48" s="333">
        <v>169</v>
      </c>
      <c r="F48" s="333">
        <v>56946986.612019598</v>
      </c>
    </row>
    <row r="49" spans="1:6">
      <c r="A49" s="1277" t="s">
        <v>32</v>
      </c>
      <c r="B49" s="1277" t="s">
        <v>40</v>
      </c>
      <c r="C49" s="333">
        <v>20</v>
      </c>
      <c r="D49" s="333">
        <v>516519.79405525001</v>
      </c>
      <c r="E49" s="333">
        <v>24</v>
      </c>
      <c r="F49" s="333">
        <v>349020.96913600602</v>
      </c>
    </row>
    <row r="50" spans="1:6">
      <c r="A50" s="1277" t="s">
        <v>32</v>
      </c>
      <c r="B50" s="1277" t="s">
        <v>41</v>
      </c>
      <c r="C50" s="333">
        <v>94</v>
      </c>
      <c r="D50" s="333">
        <v>9934790.3439020608</v>
      </c>
      <c r="E50" s="333">
        <v>128</v>
      </c>
      <c r="F50" s="333">
        <v>16036328.6553322</v>
      </c>
    </row>
    <row r="51" spans="1:6">
      <c r="A51" s="1277" t="s">
        <v>42</v>
      </c>
      <c r="B51" s="1277" t="s">
        <v>43</v>
      </c>
      <c r="C51" s="333">
        <v>123</v>
      </c>
      <c r="D51" s="333">
        <v>15316554.9497732</v>
      </c>
      <c r="E51" s="333">
        <v>329</v>
      </c>
      <c r="F51" s="333">
        <v>7822441.9654641096</v>
      </c>
    </row>
    <row r="52" spans="1:6">
      <c r="A52" s="1277" t="s">
        <v>42</v>
      </c>
      <c r="B52" s="1277" t="s">
        <v>29</v>
      </c>
      <c r="C52" s="333">
        <v>13</v>
      </c>
      <c r="D52" s="333">
        <v>1370084.91801505</v>
      </c>
      <c r="E52" s="333">
        <v>27</v>
      </c>
      <c r="F52" s="333">
        <v>789884.13637504098</v>
      </c>
    </row>
    <row r="53" spans="1:6">
      <c r="A53" s="1277" t="s">
        <v>44</v>
      </c>
      <c r="B53" s="1277" t="s">
        <v>45</v>
      </c>
      <c r="C53" s="333">
        <v>1849</v>
      </c>
      <c r="D53" s="333">
        <v>45644748.959591903</v>
      </c>
      <c r="E53" s="333">
        <v>2647</v>
      </c>
      <c r="F53" s="333">
        <v>16068348.2181885</v>
      </c>
    </row>
    <row r="54" spans="1:6">
      <c r="A54" s="1277" t="s">
        <v>46</v>
      </c>
      <c r="B54" s="1277" t="s">
        <v>47</v>
      </c>
      <c r="C54" s="333">
        <v>0</v>
      </c>
      <c r="D54" s="333">
        <v>0</v>
      </c>
      <c r="E54" s="333">
        <v>2</v>
      </c>
      <c r="F54" s="333">
        <v>8300311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452</v>
      </c>
      <c r="D57" s="333">
        <v>60432959.0138859</v>
      </c>
      <c r="E57" s="333">
        <v>645</v>
      </c>
      <c r="F57" s="333">
        <v>28933736.919962</v>
      </c>
    </row>
    <row r="58" spans="1:6">
      <c r="A58" s="1277" t="s">
        <v>49</v>
      </c>
      <c r="B58" s="1277" t="s">
        <v>51</v>
      </c>
      <c r="C58" s="333">
        <v>264</v>
      </c>
      <c r="D58" s="333">
        <v>43973276.0830044</v>
      </c>
      <c r="E58" s="333">
        <v>348</v>
      </c>
      <c r="F58" s="333">
        <v>30296673.261419501</v>
      </c>
    </row>
    <row r="59" spans="1:6">
      <c r="A59" s="1277" t="s">
        <v>49</v>
      </c>
      <c r="B59" s="1277" t="s">
        <v>52</v>
      </c>
      <c r="C59" s="333">
        <v>1292</v>
      </c>
      <c r="D59" s="333">
        <v>55533276.170066901</v>
      </c>
      <c r="E59" s="333">
        <v>2068</v>
      </c>
      <c r="F59" s="333">
        <v>85375941.796043098</v>
      </c>
    </row>
    <row r="60" spans="1:6">
      <c r="A60" s="1277" t="s">
        <v>49</v>
      </c>
      <c r="B60" s="1277" t="s">
        <v>53</v>
      </c>
      <c r="C60" s="333">
        <v>840</v>
      </c>
      <c r="D60" s="333">
        <v>60420657.498923399</v>
      </c>
      <c r="E60" s="333">
        <v>999</v>
      </c>
      <c r="F60" s="333">
        <v>43120763.658833504</v>
      </c>
    </row>
    <row r="61" spans="1:6">
      <c r="A61" s="1277" t="s">
        <v>49</v>
      </c>
      <c r="B61" s="1277" t="s">
        <v>54</v>
      </c>
      <c r="C61" s="333">
        <v>1603</v>
      </c>
      <c r="D61" s="333">
        <v>107388424.799202</v>
      </c>
      <c r="E61" s="333">
        <v>3364</v>
      </c>
      <c r="F61" s="333">
        <v>107136063.02998599</v>
      </c>
    </row>
    <row r="62" spans="1:6">
      <c r="A62" s="1277" t="s">
        <v>49</v>
      </c>
      <c r="B62" s="1277" t="s">
        <v>55</v>
      </c>
      <c r="C62" s="333">
        <v>150</v>
      </c>
      <c r="D62" s="333">
        <v>32351997.802616999</v>
      </c>
      <c r="E62" s="333">
        <v>169</v>
      </c>
      <c r="F62" s="333">
        <v>11252968.0134557</v>
      </c>
    </row>
    <row r="63" spans="1:6">
      <c r="A63" s="1277" t="s">
        <v>49</v>
      </c>
      <c r="B63" s="1277" t="s">
        <v>29</v>
      </c>
      <c r="C63" s="333">
        <v>387</v>
      </c>
      <c r="D63" s="333">
        <v>30281582.733339101</v>
      </c>
      <c r="E63" s="333">
        <v>353</v>
      </c>
      <c r="F63" s="333">
        <v>15939628.3604322</v>
      </c>
    </row>
    <row r="64" spans="1:6">
      <c r="A64" s="1277" t="s">
        <v>56</v>
      </c>
      <c r="B64" s="1277" t="s">
        <v>57</v>
      </c>
      <c r="C64" s="333">
        <v>0</v>
      </c>
      <c r="D64" s="333">
        <v>0</v>
      </c>
      <c r="E64" s="333">
        <v>0</v>
      </c>
      <c r="F64" s="333">
        <v>0</v>
      </c>
    </row>
    <row r="65" spans="1:6">
      <c r="A65" s="1277" t="s">
        <v>56</v>
      </c>
      <c r="B65" s="1277" t="s">
        <v>29</v>
      </c>
      <c r="C65" s="333">
        <v>13</v>
      </c>
      <c r="D65" s="333">
        <v>1567901.62876063</v>
      </c>
      <c r="E65" s="333">
        <v>14</v>
      </c>
      <c r="F65" s="333">
        <v>1267286.7640182399</v>
      </c>
    </row>
    <row r="66" spans="1:6">
      <c r="A66" s="1277" t="s">
        <v>56</v>
      </c>
      <c r="B66" s="1277" t="s">
        <v>58</v>
      </c>
      <c r="C66" s="333">
        <v>5</v>
      </c>
      <c r="D66" s="333">
        <v>74795.065870630002</v>
      </c>
      <c r="E66" s="333">
        <v>8</v>
      </c>
      <c r="F66" s="333">
        <v>61816.3984106348</v>
      </c>
    </row>
    <row r="67" spans="1:6">
      <c r="A67" s="1284" t="s">
        <v>56</v>
      </c>
      <c r="B67" s="1284" t="s">
        <v>59</v>
      </c>
      <c r="C67" s="333">
        <v>0</v>
      </c>
      <c r="D67" s="333">
        <v>0</v>
      </c>
      <c r="E67" s="333">
        <v>0</v>
      </c>
      <c r="F67" s="333">
        <v>0</v>
      </c>
    </row>
    <row r="68" spans="1:6">
      <c r="A68" s="1273" t="s">
        <v>56</v>
      </c>
      <c r="B68" s="1273" t="s">
        <v>60</v>
      </c>
      <c r="C68" s="333">
        <v>30</v>
      </c>
      <c r="D68" s="333">
        <v>1134024.64897045</v>
      </c>
      <c r="E68" s="333">
        <v>90</v>
      </c>
      <c r="F68" s="333">
        <v>2763771.9313799101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565993470</v>
      </c>
      <c r="E73" s="333">
        <v>578366420.49628794</v>
      </c>
      <c r="F73" s="333">
        <v>566998117</v>
      </c>
    </row>
    <row r="74" spans="1:6">
      <c r="A74" s="1277" t="s">
        <v>64</v>
      </c>
      <c r="B74" s="1277" t="s">
        <v>774</v>
      </c>
      <c r="C74" s="1288" t="s">
        <v>775</v>
      </c>
      <c r="D74" s="333">
        <v>56592171.400648169</v>
      </c>
      <c r="E74" s="333">
        <v>56381732.594612494</v>
      </c>
      <c r="F74" s="333">
        <v>56746576.858305395</v>
      </c>
    </row>
    <row r="75" spans="1:6">
      <c r="A75" s="1277" t="s">
        <v>65</v>
      </c>
      <c r="B75" s="1277" t="s">
        <v>772</v>
      </c>
      <c r="C75" s="1288" t="s">
        <v>776</v>
      </c>
      <c r="D75" s="333">
        <v>148955438</v>
      </c>
      <c r="E75" s="333">
        <v>156209294.93094966</v>
      </c>
      <c r="F75" s="333">
        <v>150834561</v>
      </c>
    </row>
    <row r="76" spans="1:6">
      <c r="A76" s="1277" t="s">
        <v>65</v>
      </c>
      <c r="B76" s="1277" t="s">
        <v>774</v>
      </c>
      <c r="C76" s="1288" t="s">
        <v>777</v>
      </c>
      <c r="D76" s="333">
        <v>5817428.4006481711</v>
      </c>
      <c r="E76" s="333">
        <v>5961095.4834503606</v>
      </c>
      <c r="F76" s="333">
        <v>6056361.8583053946</v>
      </c>
    </row>
    <row r="77" spans="1:6">
      <c r="A77" s="1277" t="s">
        <v>66</v>
      </c>
      <c r="B77" s="1277" t="s">
        <v>772</v>
      </c>
      <c r="C77" s="1288" t="s">
        <v>778</v>
      </c>
      <c r="D77" s="333">
        <v>84772691</v>
      </c>
      <c r="E77" s="333">
        <v>97773621.040989205</v>
      </c>
      <c r="F77" s="333">
        <v>86518880</v>
      </c>
    </row>
    <row r="78" spans="1:6">
      <c r="A78" s="1273" t="s">
        <v>66</v>
      </c>
      <c r="B78" s="1273" t="s">
        <v>774</v>
      </c>
      <c r="C78" s="1273" t="s">
        <v>779</v>
      </c>
      <c r="D78" s="1273">
        <v>13452727</v>
      </c>
      <c r="E78" s="1273">
        <v>15216620.008963902</v>
      </c>
      <c r="F78" s="336">
        <v>13961150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6977647.1987036569</v>
      </c>
      <c r="C83" s="333">
        <v>6286526.8349179998</v>
      </c>
      <c r="D83" s="333">
        <v>6233316.2833892116</v>
      </c>
    </row>
    <row r="84" spans="1:6">
      <c r="A84" s="1273" t="s">
        <v>337</v>
      </c>
      <c r="B84" s="336">
        <v>229205.94683378446</v>
      </c>
      <c r="C84" s="336">
        <v>234443.89398521619</v>
      </c>
      <c r="D84" s="336">
        <v>232303.6172614833</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61119.14038789492</v>
      </c>
    </row>
    <row r="91" spans="1:6">
      <c r="A91" s="1277" t="s">
        <v>68</v>
      </c>
      <c r="B91" s="333">
        <v>5919.4981537770582</v>
      </c>
    </row>
    <row r="92" spans="1:6">
      <c r="A92" s="1273" t="s">
        <v>69</v>
      </c>
      <c r="B92" s="336">
        <v>9896.2641986667186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33975</v>
      </c>
    </row>
    <row r="98" spans="1:6">
      <c r="A98" s="1277" t="s">
        <v>72</v>
      </c>
      <c r="B98" s="333">
        <v>8</v>
      </c>
    </row>
    <row r="99" spans="1:6">
      <c r="A99" s="1277" t="s">
        <v>73</v>
      </c>
      <c r="B99" s="333">
        <v>191</v>
      </c>
    </row>
    <row r="100" spans="1:6">
      <c r="A100" s="1277" t="s">
        <v>74</v>
      </c>
      <c r="B100" s="333">
        <v>3941</v>
      </c>
    </row>
    <row r="101" spans="1:6">
      <c r="A101" s="1277" t="s">
        <v>75</v>
      </c>
      <c r="B101" s="333">
        <v>356</v>
      </c>
    </row>
    <row r="102" spans="1:6">
      <c r="A102" s="1277" t="s">
        <v>76</v>
      </c>
      <c r="B102" s="333">
        <v>1147</v>
      </c>
    </row>
    <row r="103" spans="1:6">
      <c r="A103" s="1277" t="s">
        <v>77</v>
      </c>
      <c r="B103" s="333">
        <v>613</v>
      </c>
    </row>
    <row r="104" spans="1:6">
      <c r="A104" s="1277" t="s">
        <v>78</v>
      </c>
      <c r="B104" s="333">
        <v>8219</v>
      </c>
    </row>
    <row r="105" spans="1:6">
      <c r="A105" s="1273" t="s">
        <v>79</v>
      </c>
      <c r="B105" s="1273">
        <v>33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3</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31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174</v>
      </c>
    </row>
    <row r="130" spans="1:6">
      <c r="A130" s="1277" t="s">
        <v>295</v>
      </c>
      <c r="B130" s="333">
        <v>4</v>
      </c>
    </row>
    <row r="131" spans="1:6">
      <c r="A131" s="1277" t="s">
        <v>296</v>
      </c>
      <c r="B131" s="333">
        <v>16</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660224.37241104466</v>
      </c>
      <c r="C3" s="43" t="s">
        <v>170</v>
      </c>
      <c r="D3" s="43"/>
      <c r="E3" s="156"/>
      <c r="F3" s="43"/>
      <c r="G3" s="43"/>
      <c r="H3" s="43"/>
      <c r="I3" s="43"/>
      <c r="J3" s="43"/>
      <c r="K3" s="96"/>
    </row>
    <row r="4" spans="1:11">
      <c r="A4" s="364" t="s">
        <v>171</v>
      </c>
      <c r="B4" s="49">
        <f>IF(ISERROR('SEAP template'!B78),0,'SEAP template'!B78)</f>
        <v>76934.902740338701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0.67333333333333334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0.19524823910969408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3.3666666666666671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0.22444444444444447</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8300.3109999999997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8300.3109999999997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0.19524823910969408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1620.6211068128239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195334.40280228778</v>
      </c>
      <c r="C5" s="17">
        <f>IF(ISERROR('Eigen informatie GS &amp; warmtenet'!B57),0,'Eigen informatie GS &amp; warmtenet'!B57)</f>
        <v>0</v>
      </c>
      <c r="D5" s="30">
        <f>(SUM(HH_hh_gas_kWh,HH_rest_gas_kWh)/1000)*0.902</f>
        <v>588686.33255492221</v>
      </c>
      <c r="E5" s="17">
        <f>B46*B57</f>
        <v>8702.3823320798765</v>
      </c>
      <c r="F5" s="17">
        <f>B51*B62</f>
        <v>0</v>
      </c>
      <c r="G5" s="18"/>
      <c r="H5" s="17"/>
      <c r="I5" s="17"/>
      <c r="J5" s="17">
        <f>B50*B61+C50*C61</f>
        <v>0</v>
      </c>
      <c r="K5" s="17"/>
      <c r="L5" s="17"/>
      <c r="M5" s="17"/>
      <c r="N5" s="17">
        <f>B48*B59+C48*C59</f>
        <v>46930.447067103552</v>
      </c>
      <c r="O5" s="17">
        <f>B69*B70*B71</f>
        <v>320.48333333333335</v>
      </c>
      <c r="P5" s="17">
        <f>B77*B78*B79/1000-B77*B78*B79/1000/B80</f>
        <v>362.26666666666665</v>
      </c>
    </row>
    <row r="6" spans="1:16">
      <c r="A6" s="16" t="s">
        <v>632</v>
      </c>
      <c r="B6" s="779">
        <f>kWh_PV_kleiner_dan_10kW</f>
        <v>5919.4981537770582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201253.90095606484</v>
      </c>
      <c r="C8" s="21">
        <f>C5</f>
        <v>0</v>
      </c>
      <c r="D8" s="21">
        <f>D5</f>
        <v>588686.33255492221</v>
      </c>
      <c r="E8" s="21">
        <f>E5</f>
        <v>8702.3823320798765</v>
      </c>
      <c r="F8" s="21">
        <f>F5</f>
        <v>0</v>
      </c>
      <c r="G8" s="21"/>
      <c r="H8" s="21"/>
      <c r="I8" s="21"/>
      <c r="J8" s="21">
        <f>J5</f>
        <v>0</v>
      </c>
      <c r="K8" s="21"/>
      <c r="L8" s="21">
        <f>L5</f>
        <v>0</v>
      </c>
      <c r="M8" s="21">
        <f>M5</f>
        <v>0</v>
      </c>
      <c r="N8" s="21">
        <f>N5</f>
        <v>46930.447067103552</v>
      </c>
      <c r="O8" s="21">
        <f>O5</f>
        <v>320.48333333333335</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0.19524823910969408</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39294.469775628437</v>
      </c>
      <c r="C12" s="23">
        <f ca="1">C10*C8</f>
        <v>0</v>
      </c>
      <c r="D12" s="23">
        <f>D8*D10</f>
        <v>118914.63917609429</v>
      </c>
      <c r="E12" s="23">
        <f>E10*E8</f>
        <v>1975.4407893821319</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33975</v>
      </c>
      <c r="C18" s="167" t="s">
        <v>111</v>
      </c>
      <c r="D18" s="229"/>
      <c r="E18" s="15"/>
    </row>
    <row r="19" spans="1:7">
      <c r="A19" s="172" t="s">
        <v>72</v>
      </c>
      <c r="B19" s="37">
        <f>aantalw2001_ander</f>
        <v>8</v>
      </c>
      <c r="C19" s="167" t="s">
        <v>111</v>
      </c>
      <c r="D19" s="230"/>
      <c r="E19" s="15"/>
    </row>
    <row r="20" spans="1:7">
      <c r="A20" s="172" t="s">
        <v>73</v>
      </c>
      <c r="B20" s="37">
        <f>aantalw2001_propaan</f>
        <v>191</v>
      </c>
      <c r="C20" s="168">
        <f>IF(ISERROR(B20/SUM($B$20,$B$21,$B$22)*100),0,B20/SUM($B$20,$B$21,$B$22)*100)</f>
        <v>4.2557932263814617</v>
      </c>
      <c r="D20" s="230"/>
      <c r="E20" s="15"/>
    </row>
    <row r="21" spans="1:7">
      <c r="A21" s="172" t="s">
        <v>74</v>
      </c>
      <c r="B21" s="37">
        <f>aantalw2001_elektriciteit</f>
        <v>3941</v>
      </c>
      <c r="C21" s="168">
        <f>IF(ISERROR(B21/SUM($B$20,$B$21,$B$22)*100),0,B21/SUM($B$20,$B$21,$B$22)*100)</f>
        <v>87.811942959001783</v>
      </c>
      <c r="D21" s="230"/>
      <c r="E21" s="15"/>
    </row>
    <row r="22" spans="1:7">
      <c r="A22" s="172" t="s">
        <v>75</v>
      </c>
      <c r="B22" s="37">
        <f>aantalw2001_hout</f>
        <v>356</v>
      </c>
      <c r="C22" s="168">
        <f>IF(ISERROR(B22/SUM($B$20,$B$21,$B$22)*100),0,B22/SUM($B$20,$B$21,$B$22)*100)</f>
        <v>7.9322638146167552</v>
      </c>
      <c r="D22" s="230"/>
      <c r="E22" s="15"/>
    </row>
    <row r="23" spans="1:7">
      <c r="A23" s="172" t="s">
        <v>76</v>
      </c>
      <c r="B23" s="37">
        <f>aantalw2001_niet_gespec</f>
        <v>1147</v>
      </c>
      <c r="C23" s="167" t="s">
        <v>111</v>
      </c>
      <c r="D23" s="229"/>
      <c r="E23" s="15"/>
    </row>
    <row r="24" spans="1:7">
      <c r="A24" s="172" t="s">
        <v>77</v>
      </c>
      <c r="B24" s="37">
        <f>aantalw2001_steenkool</f>
        <v>613</v>
      </c>
      <c r="C24" s="167" t="s">
        <v>111</v>
      </c>
      <c r="D24" s="230"/>
      <c r="E24" s="15"/>
    </row>
    <row r="25" spans="1:7">
      <c r="A25" s="172" t="s">
        <v>78</v>
      </c>
      <c r="B25" s="37">
        <f>aantalw2001_stookolie</f>
        <v>8219</v>
      </c>
      <c r="C25" s="167" t="s">
        <v>111</v>
      </c>
      <c r="D25" s="229"/>
      <c r="E25" s="52"/>
    </row>
    <row r="26" spans="1:7">
      <c r="A26" s="172" t="s">
        <v>79</v>
      </c>
      <c r="B26" s="37">
        <f>aantalw2001_WP</f>
        <v>33</v>
      </c>
      <c r="C26" s="167" t="s">
        <v>111</v>
      </c>
      <c r="D26" s="229"/>
      <c r="E26" s="15"/>
    </row>
    <row r="27" spans="1:7" s="15" customFormat="1">
      <c r="A27" s="172"/>
      <c r="B27" s="29"/>
      <c r="C27" s="36"/>
      <c r="D27" s="229"/>
    </row>
    <row r="28" spans="1:7" s="15" customFormat="1">
      <c r="A28" s="231" t="s">
        <v>712</v>
      </c>
      <c r="B28" s="37">
        <f>aantalHuishoudens2011</f>
        <v>52271</v>
      </c>
      <c r="C28" s="36"/>
      <c r="D28" s="229"/>
    </row>
    <row r="29" spans="1:7" s="15" customFormat="1">
      <c r="A29" s="231" t="s">
        <v>713</v>
      </c>
      <c r="B29" s="37">
        <f>SUM(HH_hh_gas_aantal,HH_rest_gas_aantal)</f>
        <v>42311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42311</v>
      </c>
      <c r="C32" s="168">
        <f>IF(ISERROR(B32/SUM($B$32,$B$34,$B$35,$B$36,$B$38,$B$39)*100),0,B32/SUM($B$32,$B$34,$B$35,$B$36,$B$38,$B$39)*100)</f>
        <v>80.974890913266478</v>
      </c>
      <c r="D32" s="234"/>
      <c r="G32" s="15"/>
    </row>
    <row r="33" spans="1:7">
      <c r="A33" s="172" t="s">
        <v>72</v>
      </c>
      <c r="B33" s="34" t="s">
        <v>111</v>
      </c>
      <c r="C33" s="168"/>
      <c r="D33" s="234"/>
      <c r="G33" s="15"/>
    </row>
    <row r="34" spans="1:7">
      <c r="A34" s="172" t="s">
        <v>73</v>
      </c>
      <c r="B34" s="33">
        <f>IF((($B$28-$B$32-$B$39-$B$77-$B$38)*C20/100)&lt;0,0,($B$28-$B$32-$B$39-$B$77-$B$38)*C20/100)</f>
        <v>423.0684046345811</v>
      </c>
      <c r="C34" s="168">
        <f>IF(ISERROR(B34/SUM($B$32,$B$34,$B$35,$B$36,$B$38,$B$39)*100),0,B34/SUM($B$32,$B$34,$B$35,$B$36,$B$38,$B$39)*100)</f>
        <v>0.80966930382488922</v>
      </c>
      <c r="D34" s="234"/>
      <c r="G34" s="15"/>
    </row>
    <row r="35" spans="1:7">
      <c r="A35" s="172" t="s">
        <v>74</v>
      </c>
      <c r="B35" s="33">
        <f>IF((($B$28-$B$32-$B$39-$B$77-$B$38)*C21/100)&lt;0,0,($B$28-$B$32-$B$39-$B$77-$B$38)*C21/100)</f>
        <v>8729.385249554367</v>
      </c>
      <c r="C35" s="168">
        <f>IF(ISERROR(B35/SUM($B$32,$B$34,$B$35,$B$36,$B$38,$B$39)*100),0,B35/SUM($B$32,$B$34,$B$35,$B$36,$B$38,$B$39)*100)</f>
        <v>16.706317939130304</v>
      </c>
      <c r="D35" s="234"/>
      <c r="G35" s="15"/>
    </row>
    <row r="36" spans="1:7">
      <c r="A36" s="172" t="s">
        <v>75</v>
      </c>
      <c r="B36" s="33">
        <f>IF((($B$28-$B$32-$B$39-$B$77-$B$38)*C22/100)&lt;0,0,($B$28-$B$32-$B$39-$B$77-$B$38)*C22/100)</f>
        <v>788.54634581105154</v>
      </c>
      <c r="C36" s="168">
        <f>IF(ISERROR(B36/SUM($B$32,$B$34,$B$35,$B$36,$B$38,$B$39)*100),0,B36/SUM($B$32,$B$34,$B$35,$B$36,$B$38,$B$39)*100)</f>
        <v>1.5091218437783271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42311</v>
      </c>
      <c r="C44" s="34" t="s">
        <v>111</v>
      </c>
      <c r="D44" s="175"/>
    </row>
    <row r="45" spans="1:7">
      <c r="A45" s="172" t="s">
        <v>72</v>
      </c>
      <c r="B45" s="33" t="str">
        <f t="shared" si="0"/>
        <v>-</v>
      </c>
      <c r="C45" s="34" t="s">
        <v>111</v>
      </c>
      <c r="D45" s="175"/>
    </row>
    <row r="46" spans="1:7">
      <c r="A46" s="172" t="s">
        <v>73</v>
      </c>
      <c r="B46" s="33">
        <f t="shared" si="0"/>
        <v>423.0684046345811</v>
      </c>
      <c r="C46" s="34" t="s">
        <v>111</v>
      </c>
      <c r="D46" s="175"/>
    </row>
    <row r="47" spans="1:7">
      <c r="A47" s="172" t="s">
        <v>74</v>
      </c>
      <c r="B47" s="33">
        <f t="shared" si="0"/>
        <v>8729.385249554367</v>
      </c>
      <c r="C47" s="34" t="s">
        <v>111</v>
      </c>
      <c r="D47" s="175"/>
    </row>
    <row r="48" spans="1:7">
      <c r="A48" s="172" t="s">
        <v>75</v>
      </c>
      <c r="B48" s="33">
        <f t="shared" si="0"/>
        <v>788.54634581105154</v>
      </c>
      <c r="C48" s="33">
        <f>B48*10</f>
        <v>7885.4634581105156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322055.77504013199</v>
      </c>
      <c r="C5" s="17">
        <f>IF(ISERROR('Eigen informatie GS &amp; warmtenet'!B58),0,'Eigen informatie GS &amp; warmtenet'!B58)</f>
        <v>0</v>
      </c>
      <c r="D5" s="30">
        <f>SUM(D6:D12)</f>
        <v>352124.72103913693</v>
      </c>
      <c r="E5" s="17">
        <f>SUM(E6:E12)</f>
        <v>7160.4514422598513</v>
      </c>
      <c r="F5" s="17">
        <f>SUM(F6:F12)</f>
        <v>63340.456170610654</v>
      </c>
      <c r="G5" s="18"/>
      <c r="H5" s="17"/>
      <c r="I5" s="17"/>
      <c r="J5" s="17">
        <f>SUM(J6:J12)</f>
        <v>0</v>
      </c>
      <c r="K5" s="17"/>
      <c r="L5" s="17"/>
      <c r="M5" s="17"/>
      <c r="N5" s="17">
        <f>SUM(N6:N12)</f>
        <v>8283.7554719354466</v>
      </c>
      <c r="O5" s="17">
        <f>B38*B39*B40</f>
        <v>6.2533333333333339</v>
      </c>
      <c r="P5" s="17">
        <f>B46*B47*B48/1000-B46*B47*B48/1000/B49</f>
        <v>305.06666666666666</v>
      </c>
      <c r="R5" s="32"/>
    </row>
    <row r="6" spans="1:18">
      <c r="A6" s="32" t="s">
        <v>54</v>
      </c>
      <c r="B6" s="37">
        <f>B26</f>
        <v>107136.06302998599</v>
      </c>
      <c r="C6" s="33"/>
      <c r="D6" s="37">
        <f>IF(ISERROR(TER_kantoor_gas_kWh/1000),0,TER_kantoor_gas_kWh/1000)*0.902</f>
        <v>96864.359168880197</v>
      </c>
      <c r="E6" s="33">
        <f>$C$26*'E Balans VL '!I12/100/3.6*1000000</f>
        <v>3750.1836521769669</v>
      </c>
      <c r="F6" s="33">
        <f>$C$26*('E Balans VL '!L12+'E Balans VL '!N12)/100/3.6*1000000</f>
        <v>16244.127344079348</v>
      </c>
      <c r="G6" s="34"/>
      <c r="H6" s="33"/>
      <c r="I6" s="33"/>
      <c r="J6" s="33">
        <f>$C$26*('E Balans VL '!D12+'E Balans VL '!E12)/100/3.6*1000000</f>
        <v>0</v>
      </c>
      <c r="K6" s="33"/>
      <c r="L6" s="33"/>
      <c r="M6" s="33"/>
      <c r="N6" s="33">
        <f>$C$26*'E Balans VL '!Y12/100/3.6*1000000</f>
        <v>828.12823455692376</v>
      </c>
      <c r="O6" s="33"/>
      <c r="P6" s="33"/>
      <c r="R6" s="32"/>
    </row>
    <row r="7" spans="1:18">
      <c r="A7" s="32" t="s">
        <v>53</v>
      </c>
      <c r="B7" s="37">
        <f t="shared" ref="B7:B12" si="0">B27</f>
        <v>43120.763658833501</v>
      </c>
      <c r="C7" s="33"/>
      <c r="D7" s="37">
        <f>IF(ISERROR(TER_horeca_gas_kWh/1000),0,TER_horeca_gas_kWh/1000)*0.902</f>
        <v>54499.433064028904</v>
      </c>
      <c r="E7" s="33">
        <f>$C$27*'E Balans VL '!I9/100/3.6*1000000</f>
        <v>2432.5844368764642</v>
      </c>
      <c r="F7" s="33">
        <f>$C$27*('E Balans VL '!L9+'E Balans VL '!N9)/100/3.6*1000000</f>
        <v>7511.875662738792</v>
      </c>
      <c r="G7" s="34"/>
      <c r="H7" s="33"/>
      <c r="I7" s="33"/>
      <c r="J7" s="33">
        <f>$C$27*('E Balans VL '!D9+'E Balans VL '!E9)/100/3.6*1000000</f>
        <v>0</v>
      </c>
      <c r="K7" s="33"/>
      <c r="L7" s="33"/>
      <c r="M7" s="33"/>
      <c r="N7" s="33">
        <f>$C$27*'E Balans VL '!Y9/100/3.6*1000000</f>
        <v>0</v>
      </c>
      <c r="O7" s="33"/>
      <c r="P7" s="33"/>
      <c r="R7" s="32"/>
    </row>
    <row r="8" spans="1:18">
      <c r="A8" s="6" t="s">
        <v>52</v>
      </c>
      <c r="B8" s="37">
        <f t="shared" si="0"/>
        <v>85375.941796043102</v>
      </c>
      <c r="C8" s="33"/>
      <c r="D8" s="37">
        <f>IF(ISERROR(TER_handel_gas_kWh/1000),0,TER_handel_gas_kWh/1000)*0.902</f>
        <v>50091.015105400344</v>
      </c>
      <c r="E8" s="33">
        <f>$C$28*'E Balans VL '!I13/100/3.6*1000000</f>
        <v>438.3114111110022</v>
      </c>
      <c r="F8" s="33">
        <f>$C$28*('E Balans VL '!L13+'E Balans VL '!N13)/100/3.6*1000000</f>
        <v>13163.651031227953</v>
      </c>
      <c r="G8" s="34"/>
      <c r="H8" s="33"/>
      <c r="I8" s="33"/>
      <c r="J8" s="33">
        <f>$C$28*('E Balans VL '!D13+'E Balans VL '!E13)/100/3.6*1000000</f>
        <v>0</v>
      </c>
      <c r="K8" s="33"/>
      <c r="L8" s="33"/>
      <c r="M8" s="33"/>
      <c r="N8" s="33">
        <f>$C$28*'E Balans VL '!Y13/100/3.6*1000000</f>
        <v>39.931370131656784</v>
      </c>
      <c r="O8" s="33"/>
      <c r="P8" s="33"/>
      <c r="R8" s="32"/>
    </row>
    <row r="9" spans="1:18">
      <c r="A9" s="32" t="s">
        <v>51</v>
      </c>
      <c r="B9" s="37">
        <f t="shared" si="0"/>
        <v>30296.673261419503</v>
      </c>
      <c r="C9" s="33"/>
      <c r="D9" s="37">
        <f>IF(ISERROR(TER_gezond_gas_kWh/1000),0,TER_gezond_gas_kWh/1000)*0.902</f>
        <v>39663.89502686997</v>
      </c>
      <c r="E9" s="33">
        <f>$C$29*'E Balans VL '!I10/100/3.6*1000000</f>
        <v>12.557755301684395</v>
      </c>
      <c r="F9" s="33">
        <f>$C$29*('E Balans VL '!L10+'E Balans VL '!N10)/100/3.6*1000000</f>
        <v>7461.6361120323681</v>
      </c>
      <c r="G9" s="34"/>
      <c r="H9" s="33"/>
      <c r="I9" s="33"/>
      <c r="J9" s="33">
        <f>$C$29*('E Balans VL '!D10+'E Balans VL '!E10)/100/3.6*1000000</f>
        <v>0</v>
      </c>
      <c r="K9" s="33"/>
      <c r="L9" s="33"/>
      <c r="M9" s="33"/>
      <c r="N9" s="33">
        <f>$C$29*'E Balans VL '!Y10/100/3.6*1000000</f>
        <v>261.83824503564108</v>
      </c>
      <c r="O9" s="33"/>
      <c r="P9" s="33"/>
      <c r="R9" s="32"/>
    </row>
    <row r="10" spans="1:18">
      <c r="A10" s="32" t="s">
        <v>50</v>
      </c>
      <c r="B10" s="37">
        <f t="shared" si="0"/>
        <v>28933.736919962001</v>
      </c>
      <c r="C10" s="33"/>
      <c r="D10" s="37">
        <f>IF(ISERROR(TER_ander_gas_kWh/1000),0,TER_ander_gas_kWh/1000)*0.902</f>
        <v>54510.529030525082</v>
      </c>
      <c r="E10" s="33">
        <f>$C$30*'E Balans VL '!I14/100/3.6*1000000</f>
        <v>176.38077413742553</v>
      </c>
      <c r="F10" s="33">
        <f>$C$30*('E Balans VL '!L14+'E Balans VL '!N14)/100/3.6*1000000</f>
        <v>7670.7300047181106</v>
      </c>
      <c r="G10" s="34"/>
      <c r="H10" s="33"/>
      <c r="I10" s="33"/>
      <c r="J10" s="33">
        <f>$C$30*('E Balans VL '!D14+'E Balans VL '!E14)/100/3.6*1000000</f>
        <v>0</v>
      </c>
      <c r="K10" s="33"/>
      <c r="L10" s="33"/>
      <c r="M10" s="33"/>
      <c r="N10" s="33">
        <f>$C$30*'E Balans VL '!Y14/100/3.6*1000000</f>
        <v>6668.6011480146444</v>
      </c>
      <c r="O10" s="33"/>
      <c r="P10" s="33"/>
      <c r="R10" s="32"/>
    </row>
    <row r="11" spans="1:18">
      <c r="A11" s="32" t="s">
        <v>55</v>
      </c>
      <c r="B11" s="37">
        <f t="shared" si="0"/>
        <v>11252.9680134557</v>
      </c>
      <c r="C11" s="33"/>
      <c r="D11" s="37">
        <f>IF(ISERROR(TER_onderwijs_gas_kWh/1000),0,TER_onderwijs_gas_kWh/1000)*0.902</f>
        <v>29181.502017960534</v>
      </c>
      <c r="E11" s="33">
        <f>$C$31*'E Balans VL '!I11/100/3.6*1000000</f>
        <v>8.5753475744878553</v>
      </c>
      <c r="F11" s="33">
        <f>$C$31*('E Balans VL '!L11+'E Balans VL '!N11)/100/3.6*1000000</f>
        <v>8143.2643428427409</v>
      </c>
      <c r="G11" s="34"/>
      <c r="H11" s="33"/>
      <c r="I11" s="33"/>
      <c r="J11" s="33">
        <f>$C$31*('E Balans VL '!D11+'E Balans VL '!E11)/100/3.6*1000000</f>
        <v>0</v>
      </c>
      <c r="K11" s="33"/>
      <c r="L11" s="33"/>
      <c r="M11" s="33"/>
      <c r="N11" s="33">
        <f>$C$31*'E Balans VL '!Y11/100/3.6*1000000</f>
        <v>33.16518614600281</v>
      </c>
      <c r="O11" s="33"/>
      <c r="P11" s="33"/>
      <c r="R11" s="32"/>
    </row>
    <row r="12" spans="1:18">
      <c r="A12" s="32" t="s">
        <v>260</v>
      </c>
      <c r="B12" s="37">
        <f t="shared" si="0"/>
        <v>15939.6283604322</v>
      </c>
      <c r="C12" s="33"/>
      <c r="D12" s="37">
        <f>IF(ISERROR(TER_rest_gas_kWh/1000),0,TER_rest_gas_kWh/1000)*0.902</f>
        <v>27313.987625471873</v>
      </c>
      <c r="E12" s="33">
        <f>$C$32*'E Balans VL '!I8/100/3.6*1000000</f>
        <v>341.85806508181963</v>
      </c>
      <c r="F12" s="33">
        <f>$C$32*('E Balans VL '!L8+'E Balans VL '!N8)/100/3.6*1000000</f>
        <v>3145.171672971338</v>
      </c>
      <c r="G12" s="34"/>
      <c r="H12" s="33"/>
      <c r="I12" s="33"/>
      <c r="J12" s="33">
        <f>$C$32*('E Balans VL '!D8+'E Balans VL '!E8)/100/3.6*1000000</f>
        <v>0</v>
      </c>
      <c r="K12" s="33"/>
      <c r="L12" s="33"/>
      <c r="M12" s="33"/>
      <c r="N12" s="33">
        <f>$C$32*'E Balans VL '!Y8/100/3.6*1000000</f>
        <v>452.09128805057674</v>
      </c>
      <c r="O12" s="33"/>
      <c r="P12" s="33"/>
      <c r="R12" s="32"/>
    </row>
    <row r="13" spans="1:18">
      <c r="A13" s="16" t="s">
        <v>496</v>
      </c>
      <c r="B13" s="248">
        <f ca="1">'lokale energieproductie'!N91+'lokale energieproductie'!N60</f>
        <v>3</v>
      </c>
      <c r="C13" s="248">
        <f ca="1">'lokale energieproductie'!O91+'lokale energieproductie'!O60</f>
        <v>15</v>
      </c>
      <c r="D13" s="311">
        <f ca="1">('lokale energieproductie'!P60+'lokale energieproductie'!P91)*(-1)</f>
        <v>-20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322058.77504013199</v>
      </c>
      <c r="C16" s="21">
        <f ca="1">C5+C13+C14</f>
        <v>15</v>
      </c>
      <c r="D16" s="21">
        <f t="shared" ref="D16:N16" ca="1" si="1">MAX((D5+D13+D14),0)</f>
        <v>352104.72103913693</v>
      </c>
      <c r="E16" s="21">
        <f t="shared" si="1"/>
        <v>7160.4514422598513</v>
      </c>
      <c r="F16" s="21">
        <f t="shared" ca="1" si="1"/>
        <v>63340.456170610654</v>
      </c>
      <c r="G16" s="21">
        <f t="shared" si="1"/>
        <v>0</v>
      </c>
      <c r="H16" s="21">
        <f t="shared" si="1"/>
        <v>0</v>
      </c>
      <c r="I16" s="21">
        <f t="shared" si="1"/>
        <v>0</v>
      </c>
      <c r="J16" s="21">
        <f t="shared" si="1"/>
        <v>0</v>
      </c>
      <c r="K16" s="21">
        <f t="shared" si="1"/>
        <v>0</v>
      </c>
      <c r="L16" s="21">
        <f t="shared" ca="1" si="1"/>
        <v>0</v>
      </c>
      <c r="M16" s="21">
        <f t="shared" si="1"/>
        <v>0</v>
      </c>
      <c r="N16" s="21">
        <f t="shared" ca="1" si="1"/>
        <v>8283.7554719354466</v>
      </c>
      <c r="O16" s="21">
        <f>O5</f>
        <v>6.2533333333333339</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0.19524823910969408</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62881.408716410864</v>
      </c>
      <c r="C20" s="23">
        <f t="shared" ref="C20:P20" ca="1" si="2">C16*C18</f>
        <v>3.3666666666666671</v>
      </c>
      <c r="D20" s="23">
        <f t="shared" ca="1" si="2"/>
        <v>71125.153649905667</v>
      </c>
      <c r="E20" s="23">
        <f t="shared" si="2"/>
        <v>1625.4224773929864</v>
      </c>
      <c r="F20" s="23">
        <f t="shared" ca="1" si="2"/>
        <v>16911.901797553044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107136.06302998599</v>
      </c>
      <c r="C26" s="39">
        <f>IF(ISERROR(B26*3.6/1000000/'E Balans VL '!Z12*100),0,B26*3.6/1000000/'E Balans VL '!Z12*100)</f>
        <v>2.2545007746793044</v>
      </c>
      <c r="D26" s="238" t="s">
        <v>719</v>
      </c>
      <c r="F26" s="6"/>
    </row>
    <row r="27" spans="1:18">
      <c r="A27" s="232" t="s">
        <v>53</v>
      </c>
      <c r="B27" s="33">
        <f>IF(ISERROR(TER_horeca_ele_kWh/1000),0,TER_horeca_ele_kWh/1000)</f>
        <v>43120.763658833501</v>
      </c>
      <c r="C27" s="39">
        <f>IF(ISERROR(B27*3.6/1000000/'E Balans VL '!Z9*100),0,B27*3.6/1000000/'E Balans VL '!Z9*100)</f>
        <v>3.6509138907696448</v>
      </c>
      <c r="D27" s="238" t="s">
        <v>719</v>
      </c>
      <c r="F27" s="6"/>
    </row>
    <row r="28" spans="1:18">
      <c r="A28" s="172" t="s">
        <v>52</v>
      </c>
      <c r="B28" s="33">
        <f>IF(ISERROR(TER_handel_ele_kWh/1000),0,TER_handel_ele_kWh/1000)</f>
        <v>85375.941796043102</v>
      </c>
      <c r="C28" s="39">
        <f>IF(ISERROR(B28*3.6/1000000/'E Balans VL '!Z13*100),0,B28*3.6/1000000/'E Balans VL '!Z13*100)</f>
        <v>2.3636211429196958</v>
      </c>
      <c r="D28" s="238" t="s">
        <v>719</v>
      </c>
      <c r="F28" s="6"/>
    </row>
    <row r="29" spans="1:18">
      <c r="A29" s="232" t="s">
        <v>51</v>
      </c>
      <c r="B29" s="33">
        <f>IF(ISERROR(TER_gezond_ele_kWh/1000),0,TER_gezond_ele_kWh/1000)</f>
        <v>30296.673261419503</v>
      </c>
      <c r="C29" s="39">
        <f>IF(ISERROR(B29*3.6/1000000/'E Balans VL '!Z10*100),0,B29*3.6/1000000/'E Balans VL '!Z10*100)</f>
        <v>3.9382316462015363</v>
      </c>
      <c r="D29" s="238" t="s">
        <v>719</v>
      </c>
      <c r="F29" s="6"/>
    </row>
    <row r="30" spans="1:18">
      <c r="A30" s="232" t="s">
        <v>50</v>
      </c>
      <c r="B30" s="33">
        <f>IF(ISERROR(TER_ander_ele_kWh/1000),0,TER_ander_ele_kWh/1000)</f>
        <v>28933.736919962001</v>
      </c>
      <c r="C30" s="39">
        <f>IF(ISERROR(B30*3.6/1000000/'E Balans VL '!Z14*100),0,B30*3.6/1000000/'E Balans VL '!Z14*100)</f>
        <v>2.2426299539344057</v>
      </c>
      <c r="D30" s="238" t="s">
        <v>719</v>
      </c>
      <c r="F30" s="6"/>
    </row>
    <row r="31" spans="1:18">
      <c r="A31" s="232" t="s">
        <v>55</v>
      </c>
      <c r="B31" s="33">
        <f>IF(ISERROR(TER_onderwijs_ele_kWh/1000),0,TER_onderwijs_ele_kWh/1000)</f>
        <v>11252.9680134557</v>
      </c>
      <c r="C31" s="39">
        <f>IF(ISERROR(B31*3.6/1000000/'E Balans VL '!Z11*100),0,B31*3.6/1000000/'E Balans VL '!Z11*100)</f>
        <v>2.1528845274912571</v>
      </c>
      <c r="D31" s="238" t="s">
        <v>719</v>
      </c>
    </row>
    <row r="32" spans="1:18">
      <c r="A32" s="232" t="s">
        <v>260</v>
      </c>
      <c r="B32" s="33">
        <f>IF(ISERROR(TER_rest_ele_kWh/1000),0,TER_rest_ele_kWh/1000)</f>
        <v>15939.6283604322</v>
      </c>
      <c r="C32" s="39">
        <f>IF(ISERROR(B32*3.6/1000000/'E Balans VL '!Z8*100),0,B32*3.6/1000000/'E Balans VL '!Z8*100)</f>
        <v>0.13143447612045378</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103116.37513233896</v>
      </c>
      <c r="C5" s="17">
        <f>IF(ISERROR('Eigen informatie GS &amp; warmtenet'!B59),0,'Eigen informatie GS &amp; warmtenet'!B59)</f>
        <v>0</v>
      </c>
      <c r="D5" s="30">
        <f>SUM(D6:D15)</f>
        <v>140994.56851832851</v>
      </c>
      <c r="E5" s="17">
        <f>SUM(E6:E15)</f>
        <v>1155.6238958043705</v>
      </c>
      <c r="F5" s="17">
        <f>SUM(F6:F15)</f>
        <v>27874.402353193414</v>
      </c>
      <c r="G5" s="18"/>
      <c r="H5" s="17"/>
      <c r="I5" s="17"/>
      <c r="J5" s="17">
        <f>SUM(J6:J15)</f>
        <v>549.55633465397318</v>
      </c>
      <c r="K5" s="17"/>
      <c r="L5" s="17"/>
      <c r="M5" s="17"/>
      <c r="N5" s="17">
        <f>SUM(N6:N15)</f>
        <v>2459.5835245576664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4001.8477174766704</v>
      </c>
      <c r="C8" s="33"/>
      <c r="D8" s="37">
        <f>IF( ISERROR(IND_metaal_Gas_kWH/1000),0,IND_metaal_Gas_kWH/1000)*0.902</f>
        <v>13402.53358293408</v>
      </c>
      <c r="E8" s="33">
        <f>C30*'E Balans VL '!I18/100/3.6*1000000</f>
        <v>28.120100943061342</v>
      </c>
      <c r="F8" s="33">
        <f>C30*'E Balans VL '!L18/100/3.6*1000000+C30*'E Balans VL '!N18/100/3.6*1000000</f>
        <v>439.37946626527264</v>
      </c>
      <c r="G8" s="34"/>
      <c r="H8" s="33"/>
      <c r="I8" s="33"/>
      <c r="J8" s="40">
        <f>C30*'E Balans VL '!D18/100/3.6*1000000+C30*'E Balans VL '!E18/100/3.6*1000000</f>
        <v>82.566743961188379</v>
      </c>
      <c r="K8" s="33"/>
      <c r="L8" s="33"/>
      <c r="M8" s="33"/>
      <c r="N8" s="33">
        <f>C30*'E Balans VL '!Y18/100/3.6*1000000</f>
        <v>14.999213457866031</v>
      </c>
      <c r="O8" s="33"/>
      <c r="P8" s="33"/>
      <c r="R8" s="32"/>
    </row>
    <row r="9" spans="1:18">
      <c r="A9" s="6" t="s">
        <v>33</v>
      </c>
      <c r="B9" s="37">
        <f t="shared" si="0"/>
        <v>15750.344407529301</v>
      </c>
      <c r="C9" s="33"/>
      <c r="D9" s="37">
        <f>IF( ISERROR(IND_andere_gas_kWh/1000),0,IND_andere_gas_kWh/1000)*0.902</f>
        <v>10698.823365710152</v>
      </c>
      <c r="E9" s="33">
        <f>C31*'E Balans VL '!I19/100/3.6*1000000</f>
        <v>264.54632911240208</v>
      </c>
      <c r="F9" s="33">
        <f>C31*'E Balans VL '!L19/100/3.6*1000000+C31*'E Balans VL '!N19/100/3.6*1000000</f>
        <v>12312.722185171193</v>
      </c>
      <c r="G9" s="34"/>
      <c r="H9" s="33"/>
      <c r="I9" s="33"/>
      <c r="J9" s="40">
        <f>C31*'E Balans VL '!D19/100/3.6*1000000+C31*'E Balans VL '!E19/100/3.6*1000000</f>
        <v>1.420542031206534</v>
      </c>
      <c r="K9" s="33"/>
      <c r="L9" s="33"/>
      <c r="M9" s="33"/>
      <c r="N9" s="33">
        <f>C31*'E Balans VL '!Y19/100/3.6*1000000</f>
        <v>1167.3532126276243</v>
      </c>
      <c r="O9" s="33"/>
      <c r="P9" s="33"/>
      <c r="R9" s="32"/>
    </row>
    <row r="10" spans="1:18">
      <c r="A10" s="6" t="s">
        <v>41</v>
      </c>
      <c r="B10" s="37">
        <f t="shared" si="0"/>
        <v>16036.3286553322</v>
      </c>
      <c r="C10" s="33"/>
      <c r="D10" s="37">
        <f>IF( ISERROR(IND_voed_gas_kWh/1000),0,IND_voed_gas_kWh/1000)*0.902</f>
        <v>8961.1808901996592</v>
      </c>
      <c r="E10" s="33">
        <f>C32*'E Balans VL '!I20/100/3.6*1000000</f>
        <v>146.30879875519867</v>
      </c>
      <c r="F10" s="33">
        <f>C32*'E Balans VL '!L20/100/3.6*1000000+C32*'E Balans VL '!N20/100/3.6*1000000</f>
        <v>2587.1613991115291</v>
      </c>
      <c r="G10" s="34"/>
      <c r="H10" s="33"/>
      <c r="I10" s="33"/>
      <c r="J10" s="40">
        <f>C32*'E Balans VL '!D20/100/3.6*1000000+C32*'E Balans VL '!E20/100/3.6*1000000</f>
        <v>66.048115328651861</v>
      </c>
      <c r="K10" s="33"/>
      <c r="L10" s="33"/>
      <c r="M10" s="33"/>
      <c r="N10" s="33">
        <f>C32*'E Balans VL '!Y20/100/3.6*1000000</f>
        <v>234.59884322746993</v>
      </c>
      <c r="O10" s="33"/>
      <c r="P10" s="33"/>
      <c r="R10" s="32"/>
    </row>
    <row r="11" spans="1:18">
      <c r="A11" s="6" t="s">
        <v>40</v>
      </c>
      <c r="B11" s="37">
        <f t="shared" si="0"/>
        <v>349.02096913600604</v>
      </c>
      <c r="C11" s="33"/>
      <c r="D11" s="37">
        <f>IF( ISERROR(IND_textiel_gas_kWh/1000),0,IND_textiel_gas_kWh/1000)*0.902</f>
        <v>465.90085423783552</v>
      </c>
      <c r="E11" s="33">
        <f>C33*'E Balans VL '!I21/100/3.6*1000000</f>
        <v>0.79605208997745558</v>
      </c>
      <c r="F11" s="33">
        <f>C33*'E Balans VL '!L21/100/3.6*1000000+C33*'E Balans VL '!N21/100/3.6*1000000</f>
        <v>7.4606469307726195</v>
      </c>
      <c r="G11" s="34"/>
      <c r="H11" s="33"/>
      <c r="I11" s="33"/>
      <c r="J11" s="40">
        <f>C33*'E Balans VL '!D21/100/3.6*1000000+C33*'E Balans VL '!E21/100/3.6*1000000</f>
        <v>0</v>
      </c>
      <c r="K11" s="33"/>
      <c r="L11" s="33"/>
      <c r="M11" s="33"/>
      <c r="N11" s="33">
        <f>C33*'E Balans VL '!Y21/100/3.6*1000000</f>
        <v>2.4759076687903954</v>
      </c>
      <c r="O11" s="33"/>
      <c r="P11" s="33"/>
      <c r="R11" s="32"/>
    </row>
    <row r="12" spans="1:18">
      <c r="A12" s="6" t="s">
        <v>37</v>
      </c>
      <c r="B12" s="37">
        <f t="shared" si="0"/>
        <v>2830.1327159750899</v>
      </c>
      <c r="C12" s="33"/>
      <c r="D12" s="37">
        <f>IF( ISERROR(IND_min_gas_kWh/1000),0,IND_min_gas_kWh/1000)*0.902</f>
        <v>52.386665907093878</v>
      </c>
      <c r="E12" s="33">
        <f>C34*'E Balans VL '!I22/100/3.6*1000000</f>
        <v>70.196492254382477</v>
      </c>
      <c r="F12" s="33">
        <f>C34*'E Balans VL '!L22/100/3.6*1000000+C34*'E Balans VL '!N22/100/3.6*1000000</f>
        <v>300.72869958252505</v>
      </c>
      <c r="G12" s="34"/>
      <c r="H12" s="33"/>
      <c r="I12" s="33"/>
      <c r="J12" s="40">
        <f>C34*'E Balans VL '!D22/100/3.6*1000000+C34*'E Balans VL '!E22/100/3.6*1000000</f>
        <v>16.076814441643307</v>
      </c>
      <c r="K12" s="33"/>
      <c r="L12" s="33"/>
      <c r="M12" s="33"/>
      <c r="N12" s="33">
        <f>C34*'E Balans VL '!Y22/100/3.6*1000000</f>
        <v>0</v>
      </c>
      <c r="O12" s="33"/>
      <c r="P12" s="33"/>
      <c r="R12" s="32"/>
    </row>
    <row r="13" spans="1:18">
      <c r="A13" s="6" t="s">
        <v>39</v>
      </c>
      <c r="B13" s="37">
        <f t="shared" si="0"/>
        <v>3919.5469002179202</v>
      </c>
      <c r="C13" s="33"/>
      <c r="D13" s="37">
        <f>IF( ISERROR(IND_papier_gas_kWh/1000),0,IND_papier_gas_kWh/1000)*0.902</f>
        <v>1604.809811867256</v>
      </c>
      <c r="E13" s="33">
        <f>C35*'E Balans VL '!I23/100/3.6*1000000</f>
        <v>120.59422901332567</v>
      </c>
      <c r="F13" s="33">
        <f>C35*'E Balans VL '!L23/100/3.6*1000000+C35*'E Balans VL '!N23/100/3.6*1000000</f>
        <v>832.25678698731758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3282.1671546521698</v>
      </c>
      <c r="C14" s="33"/>
      <c r="D14" s="37">
        <f>IF( ISERROR(IND_chemie_gas_kWh/1000),0,IND_chemie_gas_kWh/1000)*0.902</f>
        <v>119.05193392231709</v>
      </c>
      <c r="E14" s="33">
        <f>C36*'E Balans VL '!I24/100/3.6*1000000</f>
        <v>11.128807301693898</v>
      </c>
      <c r="F14" s="33">
        <f>C36*'E Balans VL '!L24/100/3.6*1000000+C36*'E Balans VL '!N24/100/3.6*1000000</f>
        <v>10.533269622722596</v>
      </c>
      <c r="G14" s="34"/>
      <c r="H14" s="33"/>
      <c r="I14" s="33"/>
      <c r="J14" s="40">
        <f>C36*'E Balans VL '!D24/100/3.6*1000000+C36*'E Balans VL '!E24/100/3.6*1000000</f>
        <v>0</v>
      </c>
      <c r="K14" s="33"/>
      <c r="L14" s="33"/>
      <c r="M14" s="33"/>
      <c r="N14" s="33">
        <f>C36*'E Balans VL '!Y24/100/3.6*1000000</f>
        <v>15.346524132028325</v>
      </c>
      <c r="O14" s="33"/>
      <c r="P14" s="33"/>
      <c r="R14" s="32"/>
    </row>
    <row r="15" spans="1:18">
      <c r="A15" s="6" t="s">
        <v>270</v>
      </c>
      <c r="B15" s="37">
        <f t="shared" si="0"/>
        <v>56946.986612019602</v>
      </c>
      <c r="C15" s="33"/>
      <c r="D15" s="37">
        <f>IF( ISERROR(IND_rest_gas_kWh/1000),0,IND_rest_gas_kWh/1000)*0.902</f>
        <v>105689.88141355012</v>
      </c>
      <c r="E15" s="33">
        <f>C37*'E Balans VL '!I15/100/3.6*1000000</f>
        <v>513.93308633432889</v>
      </c>
      <c r="F15" s="33">
        <f>C37*'E Balans VL '!L15/100/3.6*1000000+C37*'E Balans VL '!N15/100/3.6*1000000</f>
        <v>11384.159899522081</v>
      </c>
      <c r="G15" s="34"/>
      <c r="H15" s="33"/>
      <c r="I15" s="33"/>
      <c r="J15" s="40">
        <f>C37*'E Balans VL '!D15/100/3.6*1000000+C37*'E Balans VL '!E15/100/3.6*1000000</f>
        <v>383.4441188912831</v>
      </c>
      <c r="K15" s="33"/>
      <c r="L15" s="33"/>
      <c r="M15" s="33"/>
      <c r="N15" s="33">
        <f>C37*'E Balans VL '!Y15/100/3.6*1000000</f>
        <v>1024.8098234438871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103116.37513233896</v>
      </c>
      <c r="C18" s="21">
        <f>C5+C16</f>
        <v>0</v>
      </c>
      <c r="D18" s="21">
        <f>MAX((D5+D16),0)</f>
        <v>140994.56851832851</v>
      </c>
      <c r="E18" s="21">
        <f>MAX((E5+E16),0)</f>
        <v>1155.6238958043705</v>
      </c>
      <c r="F18" s="21">
        <f>MAX((F5+F16),0)</f>
        <v>27874.402353193414</v>
      </c>
      <c r="G18" s="21"/>
      <c r="H18" s="21"/>
      <c r="I18" s="21"/>
      <c r="J18" s="21">
        <f>MAX((J5+J16),0)</f>
        <v>549.55633465397318</v>
      </c>
      <c r="K18" s="21"/>
      <c r="L18" s="21">
        <f>MAX((L5+L16),0)</f>
        <v>0</v>
      </c>
      <c r="M18" s="21"/>
      <c r="N18" s="21">
        <f>MAX((N5+N16),0)</f>
        <v>2459.5835245576664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0.19524823910969408</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20133.290667963829</v>
      </c>
      <c r="C22" s="23">
        <f ca="1">C18*C20</f>
        <v>0</v>
      </c>
      <c r="D22" s="23">
        <f>D18*D20</f>
        <v>28480.902840702362</v>
      </c>
      <c r="E22" s="23">
        <f>E18*E20</f>
        <v>262.32662434759209</v>
      </c>
      <c r="F22" s="23">
        <f>F18*F20</f>
        <v>7442.4654283026421</v>
      </c>
      <c r="G22" s="23"/>
      <c r="H22" s="23"/>
      <c r="I22" s="23"/>
      <c r="J22" s="23">
        <f>J18*J20</f>
        <v>194.54294246750649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4001.8477174766704</v>
      </c>
      <c r="C30" s="39">
        <f>IF(ISERROR(B30*3.6/1000000/'E Balans VL '!Z18*100),0,B30*3.6/1000000/'E Balans VL '!Z18*100)</f>
        <v>0.26640544628541873</v>
      </c>
      <c r="D30" s="238" t="s">
        <v>719</v>
      </c>
    </row>
    <row r="31" spans="1:18">
      <c r="A31" s="6" t="s">
        <v>33</v>
      </c>
      <c r="B31" s="37">
        <f>IF( ISERROR(IND_ander_ele_kWh/1000),0,IND_ander_ele_kWh/1000)</f>
        <v>15750.344407529301</v>
      </c>
      <c r="C31" s="39">
        <f>IF(ISERROR(B31*3.6/1000000/'E Balans VL '!Z19*100),0,B31*3.6/1000000/'E Balans VL '!Z19*100)</f>
        <v>0.69815034980798951</v>
      </c>
      <c r="D31" s="238" t="s">
        <v>719</v>
      </c>
    </row>
    <row r="32" spans="1:18">
      <c r="A32" s="172" t="s">
        <v>41</v>
      </c>
      <c r="B32" s="37">
        <f>IF( ISERROR(IND_voed_ele_kWh/1000),0,IND_voed_ele_kWh/1000)</f>
        <v>16036.3286553322</v>
      </c>
      <c r="C32" s="39">
        <f>IF(ISERROR(B32*3.6/1000000/'E Balans VL '!Z20*100),0,B32*3.6/1000000/'E Balans VL '!Z20*100)</f>
        <v>0.53565937936114993</v>
      </c>
      <c r="D32" s="238" t="s">
        <v>719</v>
      </c>
    </row>
    <row r="33" spans="1:5">
      <c r="A33" s="172" t="s">
        <v>40</v>
      </c>
      <c r="B33" s="37">
        <f>IF( ISERROR(IND_textiel_ele_kWh/1000),0,IND_textiel_ele_kWh/1000)</f>
        <v>349.02096913600604</v>
      </c>
      <c r="C33" s="39">
        <f>IF(ISERROR(B33*3.6/1000000/'E Balans VL '!Z21*100),0,B33*3.6/1000000/'E Balans VL '!Z21*100)</f>
        <v>4.5949415443063329E-2</v>
      </c>
      <c r="D33" s="238" t="s">
        <v>719</v>
      </c>
    </row>
    <row r="34" spans="1:5">
      <c r="A34" s="172" t="s">
        <v>37</v>
      </c>
      <c r="B34" s="37">
        <f>IF( ISERROR(IND_min_ele_kWh/1000),0,IND_min_ele_kWh/1000)</f>
        <v>2830.1327159750899</v>
      </c>
      <c r="C34" s="39">
        <f>IF(ISERROR(B34*3.6/1000000/'E Balans VL '!Z22*100),0,B34*3.6/1000000/'E Balans VL '!Z22*100)</f>
        <v>0.55042972601637574</v>
      </c>
      <c r="D34" s="238" t="s">
        <v>719</v>
      </c>
    </row>
    <row r="35" spans="1:5">
      <c r="A35" s="172" t="s">
        <v>39</v>
      </c>
      <c r="B35" s="37">
        <f>IF( ISERROR(IND_papier_ele_kWh/1000),0,IND_papier_ele_kWh/1000)</f>
        <v>3919.5469002179202</v>
      </c>
      <c r="C35" s="39">
        <f>IF(ISERROR(B35*3.6/1000000/'E Balans VL '!Z22*100),0,B35*3.6/1000000/'E Balans VL '!Z22*100)</f>
        <v>0.76230881831701125</v>
      </c>
      <c r="D35" s="238" t="s">
        <v>719</v>
      </c>
    </row>
    <row r="36" spans="1:5">
      <c r="A36" s="172" t="s">
        <v>34</v>
      </c>
      <c r="B36" s="37">
        <f>IF( ISERROR(IND_chemie_ele_kWh/1000),0,IND_chemie_ele_kWh/1000)</f>
        <v>3282.1671546521698</v>
      </c>
      <c r="C36" s="39">
        <f>IF(ISERROR(B36*3.6/1000000/'E Balans VL '!Z24*100),0,B36*3.6/1000000/'E Balans VL '!Z24*100)</f>
        <v>7.7074124974976593E-2</v>
      </c>
      <c r="D36" s="238" t="s">
        <v>719</v>
      </c>
    </row>
    <row r="37" spans="1:5">
      <c r="A37" s="172" t="s">
        <v>270</v>
      </c>
      <c r="B37" s="37">
        <f>IF( ISERROR(IND_rest_ele_kWh/1000),0,IND_rest_ele_kWh/1000)</f>
        <v>56946.986612019602</v>
      </c>
      <c r="C37" s="39">
        <f>IF(ISERROR(B37*3.6/1000000/'E Balans VL '!Z15*100),0,B37*3.6/1000000/'E Balans VL '!Z15*100)</f>
        <v>0.4235928058163676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8612.3261018391513</v>
      </c>
      <c r="C5" s="17">
        <f>'Eigen informatie GS &amp; warmtenet'!B60</f>
        <v>0</v>
      </c>
      <c r="D5" s="30">
        <f>IF(ISERROR(SUM(LB_lb_gas_kWh,LB_rest_gas_kWh)/1000),0,SUM(LB_lb_gas_kWh,LB_rest_gas_kWh)/1000)*0.902</f>
        <v>15051.349160745001</v>
      </c>
      <c r="E5" s="17">
        <f>B17*'E Balans VL '!I25/3.6*1000000/100</f>
        <v>90.190143431027067</v>
      </c>
      <c r="F5" s="17">
        <f>B17*('E Balans VL '!L25/3.6*1000000+'E Balans VL '!N25/3.6*1000000)/100</f>
        <v>36867.299693903464</v>
      </c>
      <c r="G5" s="18"/>
      <c r="H5" s="17"/>
      <c r="I5" s="17"/>
      <c r="J5" s="17">
        <f>('E Balans VL '!D25+'E Balans VL '!E25)/3.6*1000000*landbouw!B17/100</f>
        <v>769.15791448998334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8612.3261018391513</v>
      </c>
      <c r="C8" s="21">
        <f>C5+C6</f>
        <v>0</v>
      </c>
      <c r="D8" s="21">
        <f>MAX((D5+D6),0)</f>
        <v>15051.349160745001</v>
      </c>
      <c r="E8" s="21">
        <f>MAX((E5+E6),0)</f>
        <v>90.190143431027067</v>
      </c>
      <c r="F8" s="21">
        <f>MAX((F5+F6),0)</f>
        <v>36867.299693903464</v>
      </c>
      <c r="G8" s="21"/>
      <c r="H8" s="21"/>
      <c r="I8" s="21"/>
      <c r="J8" s="21">
        <f>MAX((J5+J6),0)</f>
        <v>769.15791448998334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0.19524823910969408</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1681.54150602255</v>
      </c>
      <c r="C12" s="23">
        <f ca="1">C8*C10</f>
        <v>0</v>
      </c>
      <c r="D12" s="23">
        <f>D8*D10</f>
        <v>3040.3725304704903</v>
      </c>
      <c r="E12" s="23">
        <f>E8*E10</f>
        <v>20.473162558843146</v>
      </c>
      <c r="F12" s="23">
        <f>F8*F10</f>
        <v>9843.5690182722246</v>
      </c>
      <c r="G12" s="23"/>
      <c r="H12" s="23"/>
      <c r="I12" s="23"/>
      <c r="J12" s="23">
        <f>J8*J10</f>
        <v>272.28190172945409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1.3256032356892953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624.53806680398111</v>
      </c>
      <c r="C26" s="248">
        <f>B26*'GWP N2O_CH4'!B5</f>
        <v>13115.299402883604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202.51781851163975</v>
      </c>
      <c r="C27" s="248">
        <f>B27*'GWP N2O_CH4'!B5</f>
        <v>4252.8741887444348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9.6032948099518034</v>
      </c>
      <c r="C28" s="248">
        <f>B28*'GWP N2O_CH4'!B4</f>
        <v>2977.0213910850589</v>
      </c>
      <c r="D28" s="50"/>
    </row>
    <row r="29" spans="1:4">
      <c r="A29" s="41" t="s">
        <v>277</v>
      </c>
      <c r="B29" s="248">
        <f>B34*'ha_N2O bodem landbouw'!B4</f>
        <v>41.575425192402619</v>
      </c>
      <c r="C29" s="248">
        <f>B29*'GWP N2O_CH4'!B4</f>
        <v>12888.381809644812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6.8708850520706327E-3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2.2985999611557568E-5</v>
      </c>
      <c r="C5" s="446" t="s">
        <v>211</v>
      </c>
      <c r="D5" s="431">
        <f>SUM(D6:D11)</f>
        <v>1.1412372079015695E-4</v>
      </c>
      <c r="E5" s="431">
        <f>SUM(E6:E11)</f>
        <v>1.1859674637880501E-2</v>
      </c>
      <c r="F5" s="444" t="s">
        <v>211</v>
      </c>
      <c r="G5" s="431">
        <f>SUM(G6:G11)</f>
        <v>2.1509539196567378</v>
      </c>
      <c r="H5" s="431">
        <f>SUM(H6:H11)</f>
        <v>0.38172731906039159</v>
      </c>
      <c r="I5" s="446" t="s">
        <v>211</v>
      </c>
      <c r="J5" s="446" t="s">
        <v>211</v>
      </c>
      <c r="K5" s="446" t="s">
        <v>211</v>
      </c>
      <c r="L5" s="446" t="s">
        <v>211</v>
      </c>
      <c r="M5" s="431">
        <f>SUM(M6:M11)</f>
        <v>0.11054378154955918</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1.6268068410096951E-5</v>
      </c>
      <c r="C6" s="432"/>
      <c r="D6" s="432">
        <f>vkm_2011_GW_PW*SUMIFS(TableVerdeelsleutelVkm[CNG],TableVerdeelsleutelVkm[Voertuigtype],"Lichte voertuigen")*SUMIFS(TableECFTransport[EnergieConsumptieFactor (PJ per km)],TableECFTransport[Index],CONCATENATE($A6,"_CNG_CNG"))</f>
        <v>7.0129751917743827E-5</v>
      </c>
      <c r="E6" s="434">
        <f>vkm_2011_GW_PW*SUMIFS(TableVerdeelsleutelVkm[LPG],TableVerdeelsleutelVkm[Voertuigtype],"Lichte voertuigen")*SUMIFS(TableECFTransport[EnergieConsumptieFactor (PJ per km)],TableECFTransport[Index],CONCATENATE($A6,"_LPG_LPG"))</f>
        <v>7.2965703799148145E-3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0.89749818785013036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0.2362926739879779</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4.9688151167441581E-2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0.52923381612191056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1.8146694161266062E-4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2.2861909244251275E-2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4.2813519658450385E-6</v>
      </c>
      <c r="C8" s="432"/>
      <c r="D8" s="434">
        <f>vkm_2011_NGW_PW*SUMIFS(TableVerdeelsleutelVkm[CNG],TableVerdeelsleutelVkm[Voertuigtype],"Lichte voertuigen")*SUMIFS(TableECFTransport[EnergieConsumptieFactor (PJ per km)],TableECFTransport[Index],CONCATENATE($A8,"_CNG_CNG"))</f>
        <v>3.3111250268529149E-5</v>
      </c>
      <c r="E8" s="434">
        <f>vkm_2011_NGW_PW*SUMIFS(TableVerdeelsleutelVkm[LPG],TableVerdeelsleutelVkm[Voertuigtype],"Lichte voertuigen")*SUMIFS(TableECFTransport[EnergieConsumptieFactor (PJ per km)],TableECFTransport[Index],CONCATENATE($A8,"_LPG_LPG"))</f>
        <v>3.1455609889255226E-3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0.3669778264342719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0.10649531408452954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2.0773969301418213E-2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7.5594645015957959E-2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2.251765879736912E-5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3.2653895981088325E-3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2.4365792356155806E-6</v>
      </c>
      <c r="C10" s="432"/>
      <c r="D10" s="434">
        <f>vkm_2011_SW_PW*SUMIFS(TableVerdeelsleutelVkm[CNG],TableVerdeelsleutelVkm[Voertuigtype],"Lichte voertuigen")*SUMIFS(TableECFTransport[EnergieConsumptieFactor (PJ per km)],TableECFTransport[Index],CONCATENATE($A10,"_CNG_CNG"))</f>
        <v>1.0882718603883962E-5</v>
      </c>
      <c r="E10" s="434">
        <f>vkm_2011_SW_PW*SUMIFS(TableVerdeelsleutelVkm[LPG],TableVerdeelsleutelVkm[Voertuigtype],"Lichte voertuigen")*SUMIFS(TableECFTransport[EnergieConsumptieFactor (PJ per km)],TableECFTransport[Index],CONCATENATE($A10,"_LPG_LPG"))</f>
        <v>1.4175432690401637E-3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0.16029777804635284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3.869095041598937E-2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8.7120687297954202E-3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0.12135166618811415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4.4395971484764498E-5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5.2422935085438618E-3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6.3849998920993238</v>
      </c>
      <c r="C14" s="21"/>
      <c r="D14" s="21">
        <f t="shared" ref="D14:M14" si="0">((D5)*10^9/3600)+D12</f>
        <v>31.701033552821375</v>
      </c>
      <c r="E14" s="21">
        <f t="shared" si="0"/>
        <v>3294.3540660779167</v>
      </c>
      <c r="F14" s="21"/>
      <c r="G14" s="21">
        <f t="shared" si="0"/>
        <v>597487.1999046494</v>
      </c>
      <c r="H14" s="21">
        <f t="shared" si="0"/>
        <v>106035.36640566433</v>
      </c>
      <c r="I14" s="21"/>
      <c r="J14" s="21"/>
      <c r="K14" s="21"/>
      <c r="L14" s="21"/>
      <c r="M14" s="21">
        <f t="shared" si="0"/>
        <v>30706.605985988663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0.19524823910969408</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1.2466599856479796</v>
      </c>
      <c r="C18" s="23"/>
      <c r="D18" s="23">
        <f t="shared" ref="D18:M18" si="1">D14*D16</f>
        <v>6.403608777669918</v>
      </c>
      <c r="E18" s="23">
        <f t="shared" si="1"/>
        <v>747.81837299968709</v>
      </c>
      <c r="F18" s="23"/>
      <c r="G18" s="23">
        <f t="shared" si="1"/>
        <v>159529.08237454141</v>
      </c>
      <c r="H18" s="23">
        <f t="shared" si="1"/>
        <v>26402.806235010419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2.9086234653207246E-3</v>
      </c>
      <c r="C50" s="322">
        <f t="shared" ref="C50:P50" si="2">SUM(C51:C52)</f>
        <v>0</v>
      </c>
      <c r="D50" s="322">
        <f t="shared" si="2"/>
        <v>0</v>
      </c>
      <c r="E50" s="322">
        <f t="shared" si="2"/>
        <v>0</v>
      </c>
      <c r="F50" s="322">
        <f t="shared" si="2"/>
        <v>0</v>
      </c>
      <c r="G50" s="322">
        <f t="shared" si="2"/>
        <v>9.1619193143263444E-2</v>
      </c>
      <c r="H50" s="322">
        <f t="shared" si="2"/>
        <v>0</v>
      </c>
      <c r="I50" s="322">
        <f t="shared" si="2"/>
        <v>0</v>
      </c>
      <c r="J50" s="322">
        <f t="shared" si="2"/>
        <v>0</v>
      </c>
      <c r="K50" s="322">
        <f t="shared" si="2"/>
        <v>0</v>
      </c>
      <c r="L50" s="322">
        <f t="shared" si="2"/>
        <v>0</v>
      </c>
      <c r="M50" s="322">
        <f t="shared" si="2"/>
        <v>3.905328166259641E-3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9.1619193143263444E-2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3.905328166259641E-3</v>
      </c>
      <c r="N51" s="324"/>
      <c r="O51" s="324"/>
      <c r="P51" s="327"/>
    </row>
    <row r="52" spans="1:18">
      <c r="A52" s="4" t="s">
        <v>330</v>
      </c>
      <c r="B52" s="328">
        <f>vkm_2011_tram*SUMIFS(TableECFTransport[EnergieConsumptieFactor (PJ per km)],TableECFTransport[Index],"Tram_gemiddeld_Electric_Electric")</f>
        <v>2.9086234653207246E-3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807.95096258909018</v>
      </c>
      <c r="C54" s="21">
        <f t="shared" ref="C54:P54" si="3">(C50)*10^9/3600</f>
        <v>0</v>
      </c>
      <c r="D54" s="21">
        <f t="shared" si="3"/>
        <v>0</v>
      </c>
      <c r="E54" s="21">
        <f t="shared" si="3"/>
        <v>0</v>
      </c>
      <c r="F54" s="21">
        <f t="shared" si="3"/>
        <v>0</v>
      </c>
      <c r="G54" s="21">
        <f t="shared" si="3"/>
        <v>25449.775873128736</v>
      </c>
      <c r="H54" s="21">
        <f t="shared" si="3"/>
        <v>0</v>
      </c>
      <c r="I54" s="21">
        <f t="shared" si="3"/>
        <v>0</v>
      </c>
      <c r="J54" s="21">
        <f t="shared" si="3"/>
        <v>0</v>
      </c>
      <c r="K54" s="21">
        <f t="shared" si="3"/>
        <v>0</v>
      </c>
      <c r="L54" s="21">
        <f t="shared" si="3"/>
        <v>0</v>
      </c>
      <c r="M54" s="21">
        <f t="shared" si="3"/>
        <v>1084.8133795165668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0.19524823910969408</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157.75100273250217</v>
      </c>
      <c r="C58" s="23">
        <f t="shared" ref="C58:P58" ca="1" si="4">C54*C56</f>
        <v>0</v>
      </c>
      <c r="D58" s="23">
        <f t="shared" si="4"/>
        <v>0</v>
      </c>
      <c r="E58" s="23">
        <f t="shared" si="4"/>
        <v>0</v>
      </c>
      <c r="F58" s="23">
        <f t="shared" si="4"/>
        <v>0</v>
      </c>
      <c r="G58" s="23">
        <f t="shared" si="4"/>
        <v>6795.0901581253729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330359.08604013198</v>
      </c>
      <c r="D10" s="687">
        <f ca="1">tertiair!C16</f>
        <v>15</v>
      </c>
      <c r="E10" s="687">
        <f ca="1">tertiair!D16</f>
        <v>352104.72103913693</v>
      </c>
      <c r="F10" s="687">
        <f>tertiair!E16</f>
        <v>7160.4514422598513</v>
      </c>
      <c r="G10" s="687">
        <f ca="1">tertiair!F16</f>
        <v>63340.456170610654</v>
      </c>
      <c r="H10" s="687">
        <f>tertiair!G16</f>
        <v>0</v>
      </c>
      <c r="I10" s="687">
        <f>tertiair!H16</f>
        <v>0</v>
      </c>
      <c r="J10" s="687">
        <f>tertiair!I16</f>
        <v>0</v>
      </c>
      <c r="K10" s="687">
        <f>tertiair!J16</f>
        <v>0</v>
      </c>
      <c r="L10" s="687">
        <f>tertiair!K16</f>
        <v>0</v>
      </c>
      <c r="M10" s="687">
        <f ca="1">tertiair!L16</f>
        <v>0</v>
      </c>
      <c r="N10" s="687">
        <f>tertiair!M16</f>
        <v>0</v>
      </c>
      <c r="O10" s="687">
        <f ca="1">tertiair!N16</f>
        <v>8283.7554719354466</v>
      </c>
      <c r="P10" s="687">
        <f>tertiair!O16</f>
        <v>6.2533333333333339</v>
      </c>
      <c r="Q10" s="688">
        <f>tertiair!P16</f>
        <v>305.06666666666666</v>
      </c>
      <c r="R10" s="690">
        <f ca="1">SUM(C10:Q10)</f>
        <v>761574.79016407474</v>
      </c>
      <c r="S10" s="67"/>
    </row>
    <row r="11" spans="1:19" s="456" customFormat="1">
      <c r="A11" s="802" t="s">
        <v>225</v>
      </c>
      <c r="B11" s="807"/>
      <c r="C11" s="687">
        <f>huishoudens!B8</f>
        <v>201253.90095606484</v>
      </c>
      <c r="D11" s="687">
        <f>huishoudens!C8</f>
        <v>0</v>
      </c>
      <c r="E11" s="687">
        <f>huishoudens!D8</f>
        <v>588686.33255492221</v>
      </c>
      <c r="F11" s="687">
        <f>huishoudens!E8</f>
        <v>8702.3823320798765</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46930.447067103552</v>
      </c>
      <c r="P11" s="687">
        <f>huishoudens!O8</f>
        <v>320.48333333333335</v>
      </c>
      <c r="Q11" s="688">
        <f>huishoudens!P8</f>
        <v>362.26666666666665</v>
      </c>
      <c r="R11" s="690">
        <f>SUM(C11:Q11)</f>
        <v>846255.81291017053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103116.37513233896</v>
      </c>
      <c r="D13" s="687">
        <f>industrie!C18</f>
        <v>0</v>
      </c>
      <c r="E13" s="687">
        <f>industrie!D18</f>
        <v>140994.56851832851</v>
      </c>
      <c r="F13" s="687">
        <f>industrie!E18</f>
        <v>1155.6238958043705</v>
      </c>
      <c r="G13" s="687">
        <f>industrie!F18</f>
        <v>27874.402353193414</v>
      </c>
      <c r="H13" s="687">
        <f>industrie!G18</f>
        <v>0</v>
      </c>
      <c r="I13" s="687">
        <f>industrie!H18</f>
        <v>0</v>
      </c>
      <c r="J13" s="687">
        <f>industrie!I18</f>
        <v>0</v>
      </c>
      <c r="K13" s="687">
        <f>industrie!J18</f>
        <v>549.55633465397318</v>
      </c>
      <c r="L13" s="687">
        <f>industrie!K18</f>
        <v>0</v>
      </c>
      <c r="M13" s="687">
        <f>industrie!L18</f>
        <v>0</v>
      </c>
      <c r="N13" s="687">
        <f>industrie!M18</f>
        <v>0</v>
      </c>
      <c r="O13" s="687">
        <f>industrie!N18</f>
        <v>2459.5835245576664</v>
      </c>
      <c r="P13" s="687">
        <f>industrie!O18</f>
        <v>0</v>
      </c>
      <c r="Q13" s="688">
        <f>industrie!P18</f>
        <v>0</v>
      </c>
      <c r="R13" s="690">
        <f>SUM(C13:Q13)</f>
        <v>276150.1097588769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634729.36212853575</v>
      </c>
      <c r="D16" s="720">
        <f t="shared" ref="D16:R16" ca="1" si="0">SUM(D9:D15)</f>
        <v>15</v>
      </c>
      <c r="E16" s="720">
        <f t="shared" ca="1" si="0"/>
        <v>1081785.6221123876</v>
      </c>
      <c r="F16" s="720">
        <f t="shared" si="0"/>
        <v>17018.457670144096</v>
      </c>
      <c r="G16" s="720">
        <f t="shared" ca="1" si="0"/>
        <v>91214.858523804069</v>
      </c>
      <c r="H16" s="720">
        <f t="shared" si="0"/>
        <v>0</v>
      </c>
      <c r="I16" s="720">
        <f t="shared" si="0"/>
        <v>0</v>
      </c>
      <c r="J16" s="720">
        <f t="shared" si="0"/>
        <v>0</v>
      </c>
      <c r="K16" s="720">
        <f t="shared" si="0"/>
        <v>549.55633465397318</v>
      </c>
      <c r="L16" s="720">
        <f t="shared" si="0"/>
        <v>0</v>
      </c>
      <c r="M16" s="720">
        <f t="shared" ca="1" si="0"/>
        <v>0</v>
      </c>
      <c r="N16" s="720">
        <f t="shared" si="0"/>
        <v>0</v>
      </c>
      <c r="O16" s="720">
        <f t="shared" ca="1" si="0"/>
        <v>57673.786063596664</v>
      </c>
      <c r="P16" s="720">
        <f t="shared" si="0"/>
        <v>326.73666666666668</v>
      </c>
      <c r="Q16" s="720">
        <f t="shared" si="0"/>
        <v>667.33333333333326</v>
      </c>
      <c r="R16" s="720">
        <f t="shared" ca="1" si="0"/>
        <v>1883980.7128331221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807.95096258909018</v>
      </c>
      <c r="D19" s="687">
        <f>transport!C54</f>
        <v>0</v>
      </c>
      <c r="E19" s="687">
        <f>transport!D54</f>
        <v>0</v>
      </c>
      <c r="F19" s="687">
        <f>transport!E54</f>
        <v>0</v>
      </c>
      <c r="G19" s="687">
        <f>transport!F54</f>
        <v>0</v>
      </c>
      <c r="H19" s="687">
        <f>transport!G54</f>
        <v>25449.775873128736</v>
      </c>
      <c r="I19" s="687">
        <f>transport!H54</f>
        <v>0</v>
      </c>
      <c r="J19" s="687">
        <f>transport!I54</f>
        <v>0</v>
      </c>
      <c r="K19" s="687">
        <f>transport!J54</f>
        <v>0</v>
      </c>
      <c r="L19" s="687">
        <f>transport!K54</f>
        <v>0</v>
      </c>
      <c r="M19" s="687">
        <f>transport!L54</f>
        <v>0</v>
      </c>
      <c r="N19" s="687">
        <f>transport!M54</f>
        <v>1084.8133795165668</v>
      </c>
      <c r="O19" s="687">
        <f>transport!N54</f>
        <v>0</v>
      </c>
      <c r="P19" s="687">
        <f>transport!O54</f>
        <v>0</v>
      </c>
      <c r="Q19" s="688">
        <f>transport!P54</f>
        <v>0</v>
      </c>
      <c r="R19" s="690">
        <f>SUM(C19:Q19)</f>
        <v>27342.540215234392</v>
      </c>
      <c r="S19" s="67"/>
    </row>
    <row r="20" spans="1:19" s="456" customFormat="1">
      <c r="A20" s="802" t="s">
        <v>307</v>
      </c>
      <c r="B20" s="807"/>
      <c r="C20" s="687">
        <f>transport!B14</f>
        <v>6.3849998920993238</v>
      </c>
      <c r="D20" s="687">
        <f>transport!C14</f>
        <v>0</v>
      </c>
      <c r="E20" s="687">
        <f>transport!D14</f>
        <v>31.701033552821375</v>
      </c>
      <c r="F20" s="687">
        <f>transport!E14</f>
        <v>3294.3540660779167</v>
      </c>
      <c r="G20" s="687">
        <f>transport!F14</f>
        <v>0</v>
      </c>
      <c r="H20" s="687">
        <f>transport!G14</f>
        <v>597487.1999046494</v>
      </c>
      <c r="I20" s="687">
        <f>transport!H14</f>
        <v>106035.36640566433</v>
      </c>
      <c r="J20" s="687">
        <f>transport!I14</f>
        <v>0</v>
      </c>
      <c r="K20" s="687">
        <f>transport!J14</f>
        <v>0</v>
      </c>
      <c r="L20" s="687">
        <f>transport!K14</f>
        <v>0</v>
      </c>
      <c r="M20" s="687">
        <f>transport!L14</f>
        <v>0</v>
      </c>
      <c r="N20" s="687">
        <f>transport!M14</f>
        <v>30706.605985988663</v>
      </c>
      <c r="O20" s="687">
        <f>transport!N14</f>
        <v>0</v>
      </c>
      <c r="P20" s="687">
        <f>transport!O14</f>
        <v>0</v>
      </c>
      <c r="Q20" s="688">
        <f>transport!P14</f>
        <v>0</v>
      </c>
      <c r="R20" s="690">
        <f>SUM(C20:Q20)</f>
        <v>737561.61239582521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814.33596248118954</v>
      </c>
      <c r="D22" s="805">
        <f t="shared" ref="D22:R22" si="1">SUM(D18:D21)</f>
        <v>0</v>
      </c>
      <c r="E22" s="805">
        <f t="shared" si="1"/>
        <v>31.701033552821375</v>
      </c>
      <c r="F22" s="805">
        <f t="shared" si="1"/>
        <v>3294.3540660779167</v>
      </c>
      <c r="G22" s="805">
        <f t="shared" si="1"/>
        <v>0</v>
      </c>
      <c r="H22" s="805">
        <f t="shared" si="1"/>
        <v>622936.97577777819</v>
      </c>
      <c r="I22" s="805">
        <f t="shared" si="1"/>
        <v>106035.36640566433</v>
      </c>
      <c r="J22" s="805">
        <f t="shared" si="1"/>
        <v>0</v>
      </c>
      <c r="K22" s="805">
        <f t="shared" si="1"/>
        <v>0</v>
      </c>
      <c r="L22" s="805">
        <f t="shared" si="1"/>
        <v>0</v>
      </c>
      <c r="M22" s="805">
        <f t="shared" si="1"/>
        <v>0</v>
      </c>
      <c r="N22" s="805">
        <f t="shared" si="1"/>
        <v>31791.41936550523</v>
      </c>
      <c r="O22" s="805">
        <f t="shared" si="1"/>
        <v>0</v>
      </c>
      <c r="P22" s="805">
        <f t="shared" si="1"/>
        <v>0</v>
      </c>
      <c r="Q22" s="805">
        <f t="shared" si="1"/>
        <v>0</v>
      </c>
      <c r="R22" s="805">
        <f t="shared" si="1"/>
        <v>764904.1526110596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8612.3261018391513</v>
      </c>
      <c r="D24" s="687">
        <f>+landbouw!C8</f>
        <v>0</v>
      </c>
      <c r="E24" s="687">
        <f>+landbouw!D8</f>
        <v>15051.349160745001</v>
      </c>
      <c r="F24" s="687">
        <f>+landbouw!E8</f>
        <v>90.190143431027067</v>
      </c>
      <c r="G24" s="687">
        <f>+landbouw!F8</f>
        <v>36867.299693903464</v>
      </c>
      <c r="H24" s="687">
        <f>+landbouw!G8</f>
        <v>0</v>
      </c>
      <c r="I24" s="687">
        <f>+landbouw!H8</f>
        <v>0</v>
      </c>
      <c r="J24" s="687">
        <f>+landbouw!I8</f>
        <v>0</v>
      </c>
      <c r="K24" s="687">
        <f>+landbouw!J8</f>
        <v>769.15791448998334</v>
      </c>
      <c r="L24" s="687">
        <f>+landbouw!K8</f>
        <v>0</v>
      </c>
      <c r="M24" s="687">
        <f>+landbouw!L8</f>
        <v>0</v>
      </c>
      <c r="N24" s="687">
        <f>+landbouw!M8</f>
        <v>0</v>
      </c>
      <c r="O24" s="687">
        <f>+landbouw!N8</f>
        <v>0</v>
      </c>
      <c r="P24" s="687">
        <f>+landbouw!O8</f>
        <v>0</v>
      </c>
      <c r="Q24" s="688">
        <f>+landbouw!P8</f>
        <v>0</v>
      </c>
      <c r="R24" s="690">
        <f>SUM(C24:Q24)</f>
        <v>61390.323014408626</v>
      </c>
      <c r="S24" s="67"/>
    </row>
    <row r="25" spans="1:19" s="456" customFormat="1" ht="15" thickBot="1">
      <c r="A25" s="824" t="s">
        <v>925</v>
      </c>
      <c r="B25" s="988"/>
      <c r="C25" s="989">
        <f>IF(Onbekend_ele_kWh="---",0,Onbekend_ele_kWh)/1000+IF(REST_rest_ele_kWh="---",0,REST_rest_ele_kWh)/1000</f>
        <v>16068.348218188499</v>
      </c>
      <c r="D25" s="989"/>
      <c r="E25" s="989">
        <f>IF(onbekend_gas_kWh="---",0,onbekend_gas_kWh)/1000+IF(REST_rest_gas_kWh="---",0,REST_rest_gas_kWh)/1000</f>
        <v>45644.748959591903</v>
      </c>
      <c r="F25" s="989"/>
      <c r="G25" s="989"/>
      <c r="H25" s="989"/>
      <c r="I25" s="989"/>
      <c r="J25" s="989"/>
      <c r="K25" s="989"/>
      <c r="L25" s="989"/>
      <c r="M25" s="989"/>
      <c r="N25" s="989"/>
      <c r="O25" s="989"/>
      <c r="P25" s="989"/>
      <c r="Q25" s="990"/>
      <c r="R25" s="690">
        <f>SUM(C25:Q25)</f>
        <v>61713.097177780401</v>
      </c>
      <c r="S25" s="67"/>
    </row>
    <row r="26" spans="1:19" s="456" customFormat="1" ht="15.75" thickBot="1">
      <c r="A26" s="693" t="s">
        <v>926</v>
      </c>
      <c r="B26" s="810"/>
      <c r="C26" s="805">
        <f>SUM(C24:C25)</f>
        <v>24680.674320027651</v>
      </c>
      <c r="D26" s="805">
        <f t="shared" ref="D26:R26" si="2">SUM(D24:D25)</f>
        <v>0</v>
      </c>
      <c r="E26" s="805">
        <f t="shared" si="2"/>
        <v>60696.098120336901</v>
      </c>
      <c r="F26" s="805">
        <f t="shared" si="2"/>
        <v>90.190143431027067</v>
      </c>
      <c r="G26" s="805">
        <f t="shared" si="2"/>
        <v>36867.299693903464</v>
      </c>
      <c r="H26" s="805">
        <f t="shared" si="2"/>
        <v>0</v>
      </c>
      <c r="I26" s="805">
        <f t="shared" si="2"/>
        <v>0</v>
      </c>
      <c r="J26" s="805">
        <f t="shared" si="2"/>
        <v>0</v>
      </c>
      <c r="K26" s="805">
        <f t="shared" si="2"/>
        <v>769.15791448998334</v>
      </c>
      <c r="L26" s="805">
        <f t="shared" si="2"/>
        <v>0</v>
      </c>
      <c r="M26" s="805">
        <f t="shared" si="2"/>
        <v>0</v>
      </c>
      <c r="N26" s="805">
        <f t="shared" si="2"/>
        <v>0</v>
      </c>
      <c r="O26" s="805">
        <f t="shared" si="2"/>
        <v>0</v>
      </c>
      <c r="P26" s="805">
        <f t="shared" si="2"/>
        <v>0</v>
      </c>
      <c r="Q26" s="805">
        <f t="shared" si="2"/>
        <v>0</v>
      </c>
      <c r="R26" s="805">
        <f t="shared" si="2"/>
        <v>123103.42019218902</v>
      </c>
      <c r="S26" s="67"/>
    </row>
    <row r="27" spans="1:19" s="456" customFormat="1" ht="17.25" thickTop="1" thickBot="1">
      <c r="A27" s="694" t="s">
        <v>116</v>
      </c>
      <c r="B27" s="797"/>
      <c r="C27" s="695">
        <f ca="1">C22+C16+C26</f>
        <v>660224.37241104466</v>
      </c>
      <c r="D27" s="695">
        <f t="shared" ref="D27:R27" ca="1" si="3">D22+D16+D26</f>
        <v>15</v>
      </c>
      <c r="E27" s="695">
        <f t="shared" ca="1" si="3"/>
        <v>1142513.4212662773</v>
      </c>
      <c r="F27" s="695">
        <f t="shared" si="3"/>
        <v>20403.001879653042</v>
      </c>
      <c r="G27" s="695">
        <f t="shared" ca="1" si="3"/>
        <v>128082.15821770753</v>
      </c>
      <c r="H27" s="695">
        <f t="shared" si="3"/>
        <v>622936.97577777819</v>
      </c>
      <c r="I27" s="695">
        <f t="shared" si="3"/>
        <v>106035.36640566433</v>
      </c>
      <c r="J27" s="695">
        <f t="shared" si="3"/>
        <v>0</v>
      </c>
      <c r="K27" s="695">
        <f t="shared" si="3"/>
        <v>1318.7142491439565</v>
      </c>
      <c r="L27" s="695">
        <f t="shared" si="3"/>
        <v>0</v>
      </c>
      <c r="M27" s="695">
        <f t="shared" ca="1" si="3"/>
        <v>0</v>
      </c>
      <c r="N27" s="695">
        <f t="shared" si="3"/>
        <v>31791.41936550523</v>
      </c>
      <c r="O27" s="695">
        <f t="shared" ca="1" si="3"/>
        <v>57673.786063596664</v>
      </c>
      <c r="P27" s="695">
        <f t="shared" si="3"/>
        <v>326.73666666666668</v>
      </c>
      <c r="Q27" s="695">
        <f t="shared" si="3"/>
        <v>667.33333333333326</v>
      </c>
      <c r="R27" s="695">
        <f t="shared" ca="1" si="3"/>
        <v>2771988.2856363705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64502.029823223689</v>
      </c>
      <c r="D40" s="687">
        <f ca="1">tertiair!C20</f>
        <v>3.3666666666666671</v>
      </c>
      <c r="E40" s="687">
        <f ca="1">tertiair!D20</f>
        <v>71125.153649905667</v>
      </c>
      <c r="F40" s="687">
        <f>tertiair!E20</f>
        <v>1625.4224773929864</v>
      </c>
      <c r="G40" s="687">
        <f ca="1">tertiair!F20</f>
        <v>16911.901797553044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154167.87441474205</v>
      </c>
    </row>
    <row r="41" spans="1:18">
      <c r="A41" s="815" t="s">
        <v>225</v>
      </c>
      <c r="B41" s="822"/>
      <c r="C41" s="687">
        <f ca="1">huishoudens!B12</f>
        <v>39294.469775628437</v>
      </c>
      <c r="D41" s="687">
        <f ca="1">huishoudens!C12</f>
        <v>0</v>
      </c>
      <c r="E41" s="687">
        <f>huishoudens!D12</f>
        <v>118914.63917609429</v>
      </c>
      <c r="F41" s="687">
        <f>huishoudens!E12</f>
        <v>1975.4407893821319</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160184.54974110486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20133.290667963829</v>
      </c>
      <c r="D43" s="687">
        <f ca="1">industrie!C22</f>
        <v>0</v>
      </c>
      <c r="E43" s="687">
        <f>industrie!D22</f>
        <v>28480.902840702362</v>
      </c>
      <c r="F43" s="687">
        <f>industrie!E22</f>
        <v>262.32662434759209</v>
      </c>
      <c r="G43" s="687">
        <f>industrie!F22</f>
        <v>7442.4654283026421</v>
      </c>
      <c r="H43" s="687">
        <f>industrie!G22</f>
        <v>0</v>
      </c>
      <c r="I43" s="687">
        <f>industrie!H22</f>
        <v>0</v>
      </c>
      <c r="J43" s="687">
        <f>industrie!I22</f>
        <v>0</v>
      </c>
      <c r="K43" s="687">
        <f>industrie!J22</f>
        <v>194.54294246750649</v>
      </c>
      <c r="L43" s="687">
        <f>industrie!K22</f>
        <v>0</v>
      </c>
      <c r="M43" s="687">
        <f>industrie!L22</f>
        <v>0</v>
      </c>
      <c r="N43" s="687">
        <f>industrie!M22</f>
        <v>0</v>
      </c>
      <c r="O43" s="687">
        <f>industrie!N22</f>
        <v>0</v>
      </c>
      <c r="P43" s="687">
        <f>industrie!O22</f>
        <v>0</v>
      </c>
      <c r="Q43" s="762">
        <f>industrie!P22</f>
        <v>0</v>
      </c>
      <c r="R43" s="842">
        <f t="shared" ca="1" si="4"/>
        <v>56513.528503783935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123929.79026681595</v>
      </c>
      <c r="D46" s="720">
        <f t="shared" ref="D46:Q46" ca="1" si="5">SUM(D39:D45)</f>
        <v>3.3666666666666671</v>
      </c>
      <c r="E46" s="720">
        <f t="shared" ca="1" si="5"/>
        <v>218520.69566670232</v>
      </c>
      <c r="F46" s="720">
        <f t="shared" si="5"/>
        <v>3863.1898911227099</v>
      </c>
      <c r="G46" s="720">
        <f t="shared" ca="1" si="5"/>
        <v>24354.367225855687</v>
      </c>
      <c r="H46" s="720">
        <f t="shared" si="5"/>
        <v>0</v>
      </c>
      <c r="I46" s="720">
        <f t="shared" si="5"/>
        <v>0</v>
      </c>
      <c r="J46" s="720">
        <f t="shared" si="5"/>
        <v>0</v>
      </c>
      <c r="K46" s="720">
        <f t="shared" si="5"/>
        <v>194.54294246750649</v>
      </c>
      <c r="L46" s="720">
        <f t="shared" si="5"/>
        <v>0</v>
      </c>
      <c r="M46" s="720">
        <f t="shared" ca="1" si="5"/>
        <v>0</v>
      </c>
      <c r="N46" s="720">
        <f t="shared" si="5"/>
        <v>0</v>
      </c>
      <c r="O46" s="720">
        <f t="shared" ca="1" si="5"/>
        <v>0</v>
      </c>
      <c r="P46" s="720">
        <f t="shared" si="5"/>
        <v>0</v>
      </c>
      <c r="Q46" s="720">
        <f t="shared" si="5"/>
        <v>0</v>
      </c>
      <c r="R46" s="720">
        <f ca="1">SUM(R39:R45)</f>
        <v>370865.95265963086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157.75100273250217</v>
      </c>
      <c r="D49" s="687">
        <f ca="1">transport!C58</f>
        <v>0</v>
      </c>
      <c r="E49" s="687">
        <f>transport!D58</f>
        <v>0</v>
      </c>
      <c r="F49" s="687">
        <f>transport!E58</f>
        <v>0</v>
      </c>
      <c r="G49" s="687">
        <f>transport!F58</f>
        <v>0</v>
      </c>
      <c r="H49" s="687">
        <f>transport!G58</f>
        <v>6795.0901581253729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6952.8411608578754</v>
      </c>
    </row>
    <row r="50" spans="1:18">
      <c r="A50" s="818" t="s">
        <v>307</v>
      </c>
      <c r="B50" s="828"/>
      <c r="C50" s="995">
        <f ca="1">transport!B18</f>
        <v>1.2466599856479796</v>
      </c>
      <c r="D50" s="995">
        <f>transport!C18</f>
        <v>0</v>
      </c>
      <c r="E50" s="995">
        <f>transport!D18</f>
        <v>6.403608777669918</v>
      </c>
      <c r="F50" s="995">
        <f>transport!E18</f>
        <v>747.81837299968709</v>
      </c>
      <c r="G50" s="995">
        <f>transport!F18</f>
        <v>0</v>
      </c>
      <c r="H50" s="995">
        <f>transport!G18</f>
        <v>159529.08237454141</v>
      </c>
      <c r="I50" s="995">
        <f>transport!H18</f>
        <v>26402.806235010419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186687.35725131482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158.99766271815014</v>
      </c>
      <c r="D52" s="720">
        <f t="shared" ref="D52:Q52" ca="1" si="6">SUM(D48:D51)</f>
        <v>0</v>
      </c>
      <c r="E52" s="720">
        <f t="shared" si="6"/>
        <v>6.403608777669918</v>
      </c>
      <c r="F52" s="720">
        <f t="shared" si="6"/>
        <v>747.81837299968709</v>
      </c>
      <c r="G52" s="720">
        <f t="shared" si="6"/>
        <v>0</v>
      </c>
      <c r="H52" s="720">
        <f t="shared" si="6"/>
        <v>166324.17253266679</v>
      </c>
      <c r="I52" s="720">
        <f t="shared" si="6"/>
        <v>26402.806235010419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193640.1984121727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1681.54150602255</v>
      </c>
      <c r="D54" s="995">
        <f ca="1">+landbouw!C12</f>
        <v>0</v>
      </c>
      <c r="E54" s="995">
        <f>+landbouw!D12</f>
        <v>3040.3725304704903</v>
      </c>
      <c r="F54" s="995">
        <f>+landbouw!E12</f>
        <v>20.473162558843146</v>
      </c>
      <c r="G54" s="995">
        <f>+landbouw!F12</f>
        <v>9843.5690182722246</v>
      </c>
      <c r="H54" s="995">
        <f>+landbouw!G12</f>
        <v>0</v>
      </c>
      <c r="I54" s="995">
        <f>+landbouw!H12</f>
        <v>0</v>
      </c>
      <c r="J54" s="995">
        <f>+landbouw!I12</f>
        <v>0</v>
      </c>
      <c r="K54" s="995">
        <f>+landbouw!J12</f>
        <v>272.28190172945409</v>
      </c>
      <c r="L54" s="995">
        <f>+landbouw!K12</f>
        <v>0</v>
      </c>
      <c r="M54" s="995">
        <f>+landbouw!L12</f>
        <v>0</v>
      </c>
      <c r="N54" s="995">
        <f>+landbouw!M12</f>
        <v>0</v>
      </c>
      <c r="O54" s="995">
        <f>+landbouw!N12</f>
        <v>0</v>
      </c>
      <c r="P54" s="995">
        <f>+landbouw!O12</f>
        <v>0</v>
      </c>
      <c r="Q54" s="996">
        <f>+landbouw!P12</f>
        <v>0</v>
      </c>
      <c r="R54" s="719">
        <f ca="1">SUM(C54:Q54)</f>
        <v>14858.238119053562</v>
      </c>
    </row>
    <row r="55" spans="1:18" ht="15" thickBot="1">
      <c r="A55" s="818" t="s">
        <v>925</v>
      </c>
      <c r="B55" s="828"/>
      <c r="C55" s="995">
        <f ca="1">C25*'EF ele_warmte'!B12</f>
        <v>3137.3166950026948</v>
      </c>
      <c r="D55" s="995"/>
      <c r="E55" s="995">
        <f>E25*EF_CO2_aardgas</f>
        <v>9220.2392898375656</v>
      </c>
      <c r="F55" s="995"/>
      <c r="G55" s="995"/>
      <c r="H55" s="995"/>
      <c r="I55" s="995"/>
      <c r="J55" s="995"/>
      <c r="K55" s="995"/>
      <c r="L55" s="995"/>
      <c r="M55" s="995"/>
      <c r="N55" s="995"/>
      <c r="O55" s="995"/>
      <c r="P55" s="995"/>
      <c r="Q55" s="996"/>
      <c r="R55" s="719">
        <f ca="1">SUM(C55:Q55)</f>
        <v>12357.555984840261</v>
      </c>
    </row>
    <row r="56" spans="1:18" ht="15.75" thickBot="1">
      <c r="A56" s="816" t="s">
        <v>926</v>
      </c>
      <c r="B56" s="829"/>
      <c r="C56" s="720">
        <f ca="1">SUM(C54:C55)</f>
        <v>4818.8582010252449</v>
      </c>
      <c r="D56" s="720">
        <f t="shared" ref="D56:Q56" ca="1" si="7">SUM(D54:D55)</f>
        <v>0</v>
      </c>
      <c r="E56" s="720">
        <f t="shared" si="7"/>
        <v>12260.611820308055</v>
      </c>
      <c r="F56" s="720">
        <f t="shared" si="7"/>
        <v>20.473162558843146</v>
      </c>
      <c r="G56" s="720">
        <f t="shared" si="7"/>
        <v>9843.5690182722246</v>
      </c>
      <c r="H56" s="720">
        <f t="shared" si="7"/>
        <v>0</v>
      </c>
      <c r="I56" s="720">
        <f t="shared" si="7"/>
        <v>0</v>
      </c>
      <c r="J56" s="720">
        <f t="shared" si="7"/>
        <v>0</v>
      </c>
      <c r="K56" s="720">
        <f t="shared" si="7"/>
        <v>272.28190172945409</v>
      </c>
      <c r="L56" s="720">
        <f t="shared" si="7"/>
        <v>0</v>
      </c>
      <c r="M56" s="720">
        <f t="shared" si="7"/>
        <v>0</v>
      </c>
      <c r="N56" s="720">
        <f t="shared" si="7"/>
        <v>0</v>
      </c>
      <c r="O56" s="720">
        <f t="shared" si="7"/>
        <v>0</v>
      </c>
      <c r="P56" s="720">
        <f t="shared" si="7"/>
        <v>0</v>
      </c>
      <c r="Q56" s="721">
        <f t="shared" si="7"/>
        <v>0</v>
      </c>
      <c r="R56" s="722">
        <f ca="1">SUM(R54:R55)</f>
        <v>27215.794103893822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128907.64613055934</v>
      </c>
      <c r="D61" s="728">
        <f t="shared" ref="D61:Q61" ca="1" si="8">D46+D52+D56</f>
        <v>3.3666666666666671</v>
      </c>
      <c r="E61" s="728">
        <f t="shared" ca="1" si="8"/>
        <v>230787.71109578805</v>
      </c>
      <c r="F61" s="728">
        <f t="shared" si="8"/>
        <v>4631.48142668124</v>
      </c>
      <c r="G61" s="728">
        <f t="shared" ca="1" si="8"/>
        <v>34197.936244127908</v>
      </c>
      <c r="H61" s="728">
        <f t="shared" si="8"/>
        <v>166324.17253266679</v>
      </c>
      <c r="I61" s="728">
        <f t="shared" si="8"/>
        <v>26402.806235010419</v>
      </c>
      <c r="J61" s="728">
        <f t="shared" si="8"/>
        <v>0</v>
      </c>
      <c r="K61" s="728">
        <f t="shared" si="8"/>
        <v>466.82484419696061</v>
      </c>
      <c r="L61" s="728">
        <f t="shared" si="8"/>
        <v>0</v>
      </c>
      <c r="M61" s="728">
        <f t="shared" ca="1" si="8"/>
        <v>0</v>
      </c>
      <c r="N61" s="728">
        <f t="shared" si="8"/>
        <v>0</v>
      </c>
      <c r="O61" s="728">
        <f t="shared" ca="1" si="8"/>
        <v>0</v>
      </c>
      <c r="P61" s="728">
        <f t="shared" si="8"/>
        <v>0</v>
      </c>
      <c r="Q61" s="728">
        <f t="shared" si="8"/>
        <v>0</v>
      </c>
      <c r="R61" s="728">
        <f ca="1">R46+R52+R56</f>
        <v>591721.94517569733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0.19524823910969405</v>
      </c>
      <c r="D63" s="772">
        <f t="shared" ca="1" si="9"/>
        <v>0.22444444444444447</v>
      </c>
      <c r="E63" s="997">
        <f t="shared" ca="1" si="9"/>
        <v>0.20200000000000004</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61119.14038789492</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15815.762352443777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3</v>
      </c>
      <c r="D76" s="1007">
        <f>'lokale energieproductie'!C8</f>
        <v>3.333333333333333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0.67333333333333334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76934.902740338701</v>
      </c>
      <c r="C78" s="743">
        <f>SUM(C72:C77)</f>
        <v>3</v>
      </c>
      <c r="D78" s="744">
        <f t="shared" ref="D78:H78" si="10">SUM(D76:D77)</f>
        <v>3.333333333333333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0.67333333333333334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15</v>
      </c>
      <c r="D87" s="765">
        <f>'lokale energieproductie'!C17</f>
        <v>16.666666666666668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3.3666666666666671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15</v>
      </c>
      <c r="D90" s="743">
        <f t="shared" ref="D90:H90" si="12">SUM(D87:D89)</f>
        <v>16.666666666666668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3.3666666666666671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61119.14038789492</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15815.762352443777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v>
      </c>
      <c r="C8" s="557">
        <f>B101</f>
        <v>3.333333333333333</v>
      </c>
      <c r="D8" s="985"/>
      <c r="E8" s="985">
        <f>E101</f>
        <v>0</v>
      </c>
      <c r="F8" s="986"/>
      <c r="G8" s="558"/>
      <c r="H8" s="985">
        <f>I101</f>
        <v>0</v>
      </c>
      <c r="I8" s="985">
        <f>G101+F101</f>
        <v>0</v>
      </c>
      <c r="J8" s="985">
        <f>H101+D101+C101</f>
        <v>0</v>
      </c>
      <c r="K8" s="985"/>
      <c r="L8" s="985"/>
      <c r="M8" s="985"/>
      <c r="N8" s="559"/>
      <c r="O8" s="560">
        <f>C8*$C$12+D8*$D$12+E8*$E$12+F8*$F$12+G8*$G$12+H8*$H$12+I8*$I$12+J8*$J$12</f>
        <v>0.67333333333333334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76937.902740338701</v>
      </c>
      <c r="C10" s="569">
        <f t="shared" ref="C10:L10" si="0">SUM(C8:C9)</f>
        <v>3.333333333333333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0.67333333333333334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15</v>
      </c>
      <c r="C17" s="581">
        <f>B102</f>
        <v>16.666666666666668</v>
      </c>
      <c r="D17" s="582"/>
      <c r="E17" s="582">
        <f>E102</f>
        <v>0</v>
      </c>
      <c r="F17" s="583"/>
      <c r="G17" s="584"/>
      <c r="H17" s="581">
        <f>I102</f>
        <v>0</v>
      </c>
      <c r="I17" s="582">
        <f>G102+F102</f>
        <v>0</v>
      </c>
      <c r="J17" s="582">
        <f>H102+D102+C102</f>
        <v>0</v>
      </c>
      <c r="K17" s="582"/>
      <c r="L17" s="582"/>
      <c r="M17" s="582"/>
      <c r="N17" s="981"/>
      <c r="O17" s="585">
        <f>C17*$C$22+E17*$E$22+H17*$H$22+I17*$I$22+J17*$J$22+D17*$D$22+F17*$F$22+G17*$G$22+K17*$K$22+L17*$L$22</f>
        <v>3.3666666666666671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15</v>
      </c>
      <c r="C20" s="568">
        <f>SUM(C17:C19)</f>
        <v>16.666666666666668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3.3666666666666671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31005</v>
      </c>
      <c r="C28" s="788">
        <v>8200</v>
      </c>
      <c r="D28" s="641" t="s">
        <v>963</v>
      </c>
      <c r="E28" s="640" t="s">
        <v>964</v>
      </c>
      <c r="F28" s="640" t="s">
        <v>965</v>
      </c>
      <c r="G28" s="640" t="s">
        <v>966</v>
      </c>
      <c r="H28" s="640" t="s">
        <v>966</v>
      </c>
      <c r="I28" s="640" t="s">
        <v>964</v>
      </c>
      <c r="J28" s="787">
        <v>40515</v>
      </c>
      <c r="K28" s="787">
        <v>40634</v>
      </c>
      <c r="L28" s="640" t="s">
        <v>967</v>
      </c>
      <c r="M28" s="640">
        <v>1</v>
      </c>
      <c r="N28" s="640">
        <v>3</v>
      </c>
      <c r="O28" s="640">
        <v>15</v>
      </c>
      <c r="P28" s="640">
        <v>20</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v>
      </c>
      <c r="N58" s="598">
        <f>SUM(N28:N57)</f>
        <v>3</v>
      </c>
      <c r="O58" s="598">
        <f t="shared" ref="O58:W58" si="2">SUM(O28:O57)</f>
        <v>15</v>
      </c>
      <c r="P58" s="598">
        <f t="shared" si="2"/>
        <v>20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3</v>
      </c>
      <c r="O60" s="598">
        <f ca="1">SUMIF($Z$28:AE57,"tertiair",O28:O57)</f>
        <v>15</v>
      </c>
      <c r="P60" s="598">
        <f ca="1">SUMIF($Z$28:AF57,"tertiair",P28:P57)</f>
        <v>20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0.83333333333333337</v>
      </c>
      <c r="C98" s="623">
        <f>IF(ISERROR(N58/(O58+N58)),0,N58/(N58+O58))</f>
        <v>0.16666666666666666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3.333333333333333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16.666666666666668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201253.90095606484</v>
      </c>
      <c r="C4" s="460">
        <f>huishoudens!C8</f>
        <v>0</v>
      </c>
      <c r="D4" s="460">
        <f>huishoudens!D8</f>
        <v>588686.33255492221</v>
      </c>
      <c r="E4" s="460">
        <f>huishoudens!E8</f>
        <v>8702.3823320798765</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46930.447067103552</v>
      </c>
      <c r="O4" s="460">
        <f>huishoudens!O8</f>
        <v>320.48333333333335</v>
      </c>
      <c r="P4" s="461">
        <f>huishoudens!P8</f>
        <v>362.26666666666665</v>
      </c>
      <c r="Q4" s="462">
        <f>SUM(B4:P4)</f>
        <v>846255.81291017053</v>
      </c>
    </row>
    <row r="5" spans="1:17">
      <c r="A5" s="459" t="s">
        <v>156</v>
      </c>
      <c r="B5" s="460">
        <f ca="1">tertiair!B16</f>
        <v>322058.77504013199</v>
      </c>
      <c r="C5" s="460">
        <f ca="1">tertiair!C16</f>
        <v>15</v>
      </c>
      <c r="D5" s="460">
        <f ca="1">tertiair!D16</f>
        <v>352104.72103913693</v>
      </c>
      <c r="E5" s="460">
        <f>tertiair!E16</f>
        <v>7160.4514422598513</v>
      </c>
      <c r="F5" s="460">
        <f ca="1">tertiair!F16</f>
        <v>63340.456170610654</v>
      </c>
      <c r="G5" s="460">
        <f>tertiair!G16</f>
        <v>0</v>
      </c>
      <c r="H5" s="460">
        <f>tertiair!H16</f>
        <v>0</v>
      </c>
      <c r="I5" s="460">
        <f>tertiair!I16</f>
        <v>0</v>
      </c>
      <c r="J5" s="460">
        <f>tertiair!J16</f>
        <v>0</v>
      </c>
      <c r="K5" s="460">
        <f>tertiair!K16</f>
        <v>0</v>
      </c>
      <c r="L5" s="460">
        <f ca="1">tertiair!L16</f>
        <v>0</v>
      </c>
      <c r="M5" s="460">
        <f>tertiair!M16</f>
        <v>0</v>
      </c>
      <c r="N5" s="460">
        <f ca="1">tertiair!N16</f>
        <v>8283.7554719354466</v>
      </c>
      <c r="O5" s="460">
        <f>tertiair!O16</f>
        <v>6.2533333333333339</v>
      </c>
      <c r="P5" s="461">
        <f>tertiair!P16</f>
        <v>305.06666666666666</v>
      </c>
      <c r="Q5" s="459">
        <f t="shared" ref="Q5:Q14" ca="1" si="0">SUM(B5:P5)</f>
        <v>753274.47916407476</v>
      </c>
    </row>
    <row r="6" spans="1:17">
      <c r="A6" s="459" t="s">
        <v>194</v>
      </c>
      <c r="B6" s="460">
        <f>'openbare verlichting'!B8</f>
        <v>8300.3109999999997</v>
      </c>
      <c r="C6" s="460"/>
      <c r="D6" s="460"/>
      <c r="E6" s="460"/>
      <c r="F6" s="460"/>
      <c r="G6" s="460"/>
      <c r="H6" s="460"/>
      <c r="I6" s="460"/>
      <c r="J6" s="460"/>
      <c r="K6" s="460"/>
      <c r="L6" s="460"/>
      <c r="M6" s="460"/>
      <c r="N6" s="460"/>
      <c r="O6" s="460"/>
      <c r="P6" s="461"/>
      <c r="Q6" s="459">
        <f t="shared" si="0"/>
        <v>8300.3109999999997</v>
      </c>
    </row>
    <row r="7" spans="1:17">
      <c r="A7" s="459" t="s">
        <v>112</v>
      </c>
      <c r="B7" s="460">
        <f>landbouw!B8</f>
        <v>8612.3261018391513</v>
      </c>
      <c r="C7" s="460">
        <f>landbouw!C8</f>
        <v>0</v>
      </c>
      <c r="D7" s="460">
        <f>landbouw!D8</f>
        <v>15051.349160745001</v>
      </c>
      <c r="E7" s="460">
        <f>landbouw!E8</f>
        <v>90.190143431027067</v>
      </c>
      <c r="F7" s="460">
        <f>landbouw!F8</f>
        <v>36867.299693903464</v>
      </c>
      <c r="G7" s="460">
        <f>landbouw!G8</f>
        <v>0</v>
      </c>
      <c r="H7" s="460">
        <f>landbouw!H8</f>
        <v>0</v>
      </c>
      <c r="I7" s="460">
        <f>landbouw!I8</f>
        <v>0</v>
      </c>
      <c r="J7" s="460">
        <f>landbouw!J8</f>
        <v>769.15791448998334</v>
      </c>
      <c r="K7" s="460">
        <f>landbouw!K8</f>
        <v>0</v>
      </c>
      <c r="L7" s="460">
        <f>landbouw!L8</f>
        <v>0</v>
      </c>
      <c r="M7" s="460">
        <f>landbouw!M8</f>
        <v>0</v>
      </c>
      <c r="N7" s="460">
        <f>landbouw!N8</f>
        <v>0</v>
      </c>
      <c r="O7" s="460">
        <f>landbouw!O8</f>
        <v>0</v>
      </c>
      <c r="P7" s="461">
        <f>landbouw!P8</f>
        <v>0</v>
      </c>
      <c r="Q7" s="459">
        <f t="shared" si="0"/>
        <v>61390.323014408626</v>
      </c>
    </row>
    <row r="8" spans="1:17">
      <c r="A8" s="459" t="s">
        <v>655</v>
      </c>
      <c r="B8" s="460">
        <f>industrie!B18</f>
        <v>103116.37513233896</v>
      </c>
      <c r="C8" s="460">
        <f>industrie!C18</f>
        <v>0</v>
      </c>
      <c r="D8" s="460">
        <f>industrie!D18</f>
        <v>140994.56851832851</v>
      </c>
      <c r="E8" s="460">
        <f>industrie!E18</f>
        <v>1155.6238958043705</v>
      </c>
      <c r="F8" s="460">
        <f>industrie!F18</f>
        <v>27874.402353193414</v>
      </c>
      <c r="G8" s="460">
        <f>industrie!G18</f>
        <v>0</v>
      </c>
      <c r="H8" s="460">
        <f>industrie!H18</f>
        <v>0</v>
      </c>
      <c r="I8" s="460">
        <f>industrie!I18</f>
        <v>0</v>
      </c>
      <c r="J8" s="460">
        <f>industrie!J18</f>
        <v>549.55633465397318</v>
      </c>
      <c r="K8" s="460">
        <f>industrie!K18</f>
        <v>0</v>
      </c>
      <c r="L8" s="460">
        <f>industrie!L18</f>
        <v>0</v>
      </c>
      <c r="M8" s="460">
        <f>industrie!M18</f>
        <v>0</v>
      </c>
      <c r="N8" s="460">
        <f>industrie!N18</f>
        <v>2459.5835245576664</v>
      </c>
      <c r="O8" s="460">
        <f>industrie!O18</f>
        <v>0</v>
      </c>
      <c r="P8" s="461">
        <f>industrie!P18</f>
        <v>0</v>
      </c>
      <c r="Q8" s="459">
        <f t="shared" si="0"/>
        <v>276150.1097588769</v>
      </c>
    </row>
    <row r="9" spans="1:17" s="465" customFormat="1">
      <c r="A9" s="463" t="s">
        <v>573</v>
      </c>
      <c r="B9" s="464">
        <f>transport!B14</f>
        <v>6.3849998920993238</v>
      </c>
      <c r="C9" s="464">
        <f>transport!C14</f>
        <v>0</v>
      </c>
      <c r="D9" s="464">
        <f>transport!D14</f>
        <v>31.701033552821375</v>
      </c>
      <c r="E9" s="464">
        <f>transport!E14</f>
        <v>3294.3540660779167</v>
      </c>
      <c r="F9" s="464">
        <f>transport!F14</f>
        <v>0</v>
      </c>
      <c r="G9" s="464">
        <f>transport!G14</f>
        <v>597487.1999046494</v>
      </c>
      <c r="H9" s="464">
        <f>transport!H14</f>
        <v>106035.36640566433</v>
      </c>
      <c r="I9" s="464">
        <f>transport!I14</f>
        <v>0</v>
      </c>
      <c r="J9" s="464">
        <f>transport!J14</f>
        <v>0</v>
      </c>
      <c r="K9" s="464">
        <f>transport!K14</f>
        <v>0</v>
      </c>
      <c r="L9" s="464">
        <f>transport!L14</f>
        <v>0</v>
      </c>
      <c r="M9" s="464">
        <f>transport!M14</f>
        <v>30706.605985988663</v>
      </c>
      <c r="N9" s="464">
        <f>transport!N14</f>
        <v>0</v>
      </c>
      <c r="O9" s="464">
        <f>transport!O14</f>
        <v>0</v>
      </c>
      <c r="P9" s="464">
        <f>transport!P14</f>
        <v>0</v>
      </c>
      <c r="Q9" s="463">
        <f>SUM(B9:P9)</f>
        <v>737561.61239582521</v>
      </c>
    </row>
    <row r="10" spans="1:17">
      <c r="A10" s="459" t="s">
        <v>563</v>
      </c>
      <c r="B10" s="460">
        <f>transport!B54</f>
        <v>807.95096258909018</v>
      </c>
      <c r="C10" s="460">
        <f>transport!C54</f>
        <v>0</v>
      </c>
      <c r="D10" s="460">
        <f>transport!D54</f>
        <v>0</v>
      </c>
      <c r="E10" s="460">
        <f>transport!E54</f>
        <v>0</v>
      </c>
      <c r="F10" s="460">
        <f>transport!F54</f>
        <v>0</v>
      </c>
      <c r="G10" s="460">
        <f>transport!G54</f>
        <v>25449.775873128736</v>
      </c>
      <c r="H10" s="460">
        <f>transport!H54</f>
        <v>0</v>
      </c>
      <c r="I10" s="460">
        <f>transport!I54</f>
        <v>0</v>
      </c>
      <c r="J10" s="460">
        <f>transport!J54</f>
        <v>0</v>
      </c>
      <c r="K10" s="460">
        <f>transport!K54</f>
        <v>0</v>
      </c>
      <c r="L10" s="460">
        <f>transport!L54</f>
        <v>0</v>
      </c>
      <c r="M10" s="460">
        <f>transport!M54</f>
        <v>1084.8133795165668</v>
      </c>
      <c r="N10" s="460">
        <f>transport!N54</f>
        <v>0</v>
      </c>
      <c r="O10" s="460">
        <f>transport!O54</f>
        <v>0</v>
      </c>
      <c r="P10" s="461">
        <f>transport!P54</f>
        <v>0</v>
      </c>
      <c r="Q10" s="459">
        <f t="shared" si="0"/>
        <v>27342.540215234392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16068.348218188499</v>
      </c>
      <c r="C14" s="467"/>
      <c r="D14" s="467">
        <f>'SEAP template'!E25</f>
        <v>45644.748959591903</v>
      </c>
      <c r="E14" s="467"/>
      <c r="F14" s="467"/>
      <c r="G14" s="467"/>
      <c r="H14" s="467"/>
      <c r="I14" s="467"/>
      <c r="J14" s="467"/>
      <c r="K14" s="467"/>
      <c r="L14" s="467"/>
      <c r="M14" s="467"/>
      <c r="N14" s="467"/>
      <c r="O14" s="467"/>
      <c r="P14" s="468"/>
      <c r="Q14" s="459">
        <f t="shared" si="0"/>
        <v>61713.097177780401</v>
      </c>
    </row>
    <row r="15" spans="1:17" s="472" customFormat="1">
      <c r="A15" s="469" t="s">
        <v>567</v>
      </c>
      <c r="B15" s="470">
        <f ca="1">SUM(B4:B14)</f>
        <v>660224.37241104466</v>
      </c>
      <c r="C15" s="470">
        <f t="shared" ref="C15:Q15" ca="1" si="1">SUM(C4:C14)</f>
        <v>15</v>
      </c>
      <c r="D15" s="470">
        <f t="shared" ca="1" si="1"/>
        <v>1142513.4212662773</v>
      </c>
      <c r="E15" s="470">
        <f t="shared" si="1"/>
        <v>20403.001879653042</v>
      </c>
      <c r="F15" s="470">
        <f t="shared" ca="1" si="1"/>
        <v>128082.15821770753</v>
      </c>
      <c r="G15" s="470">
        <f t="shared" si="1"/>
        <v>622936.97577777819</v>
      </c>
      <c r="H15" s="470">
        <f t="shared" si="1"/>
        <v>106035.36640566433</v>
      </c>
      <c r="I15" s="470">
        <f t="shared" si="1"/>
        <v>0</v>
      </c>
      <c r="J15" s="470">
        <f t="shared" si="1"/>
        <v>1318.7142491439565</v>
      </c>
      <c r="K15" s="470">
        <f t="shared" si="1"/>
        <v>0</v>
      </c>
      <c r="L15" s="470">
        <f t="shared" ca="1" si="1"/>
        <v>0</v>
      </c>
      <c r="M15" s="470">
        <f t="shared" si="1"/>
        <v>31791.41936550523</v>
      </c>
      <c r="N15" s="470">
        <f t="shared" ca="1" si="1"/>
        <v>57673.786063596664</v>
      </c>
      <c r="O15" s="470">
        <f t="shared" si="1"/>
        <v>326.73666666666668</v>
      </c>
      <c r="P15" s="470">
        <f t="shared" si="1"/>
        <v>667.33333333333326</v>
      </c>
      <c r="Q15" s="470">
        <f t="shared" ca="1" si="1"/>
        <v>2771988.2856363705</v>
      </c>
    </row>
    <row r="17" spans="1:17">
      <c r="A17" s="473" t="s">
        <v>568</v>
      </c>
      <c r="B17" s="777">
        <f ca="1">huishoudens!B10</f>
        <v>0.19524823910969408</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39294.469775628437</v>
      </c>
      <c r="C22" s="460">
        <f t="shared" ref="C22:C32" ca="1" si="3">C4*$C$17</f>
        <v>0</v>
      </c>
      <c r="D22" s="460">
        <f t="shared" ref="D22:D32" si="4">D4*$D$17</f>
        <v>118914.63917609429</v>
      </c>
      <c r="E22" s="460">
        <f t="shared" ref="E22:E32" si="5">E4*$E$17</f>
        <v>1975.4407893821319</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160184.54974110486</v>
      </c>
    </row>
    <row r="23" spans="1:17">
      <c r="A23" s="459" t="s">
        <v>156</v>
      </c>
      <c r="B23" s="460">
        <f t="shared" ca="1" si="2"/>
        <v>62881.408716410864</v>
      </c>
      <c r="C23" s="460">
        <f t="shared" ca="1" si="3"/>
        <v>3.3666666666666671</v>
      </c>
      <c r="D23" s="460">
        <f t="shared" ca="1" si="4"/>
        <v>71125.153649905667</v>
      </c>
      <c r="E23" s="460">
        <f t="shared" si="5"/>
        <v>1625.4224773929864</v>
      </c>
      <c r="F23" s="460">
        <f t="shared" ca="1" si="6"/>
        <v>16911.901797553044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152547.2533079292</v>
      </c>
    </row>
    <row r="24" spans="1:17">
      <c r="A24" s="459" t="s">
        <v>194</v>
      </c>
      <c r="B24" s="460">
        <f t="shared" ca="1" si="2"/>
        <v>1620.6211068128239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1620.6211068128239</v>
      </c>
    </row>
    <row r="25" spans="1:17">
      <c r="A25" s="459" t="s">
        <v>112</v>
      </c>
      <c r="B25" s="460">
        <f t="shared" ca="1" si="2"/>
        <v>1681.54150602255</v>
      </c>
      <c r="C25" s="460">
        <f t="shared" ca="1" si="3"/>
        <v>0</v>
      </c>
      <c r="D25" s="460">
        <f t="shared" si="4"/>
        <v>3040.3725304704903</v>
      </c>
      <c r="E25" s="460">
        <f t="shared" si="5"/>
        <v>20.473162558843146</v>
      </c>
      <c r="F25" s="460">
        <f t="shared" si="6"/>
        <v>9843.5690182722246</v>
      </c>
      <c r="G25" s="460">
        <f t="shared" si="7"/>
        <v>0</v>
      </c>
      <c r="H25" s="460">
        <f t="shared" si="8"/>
        <v>0</v>
      </c>
      <c r="I25" s="460">
        <f t="shared" si="9"/>
        <v>0</v>
      </c>
      <c r="J25" s="460">
        <f t="shared" si="10"/>
        <v>272.28190172945409</v>
      </c>
      <c r="K25" s="460">
        <f t="shared" si="11"/>
        <v>0</v>
      </c>
      <c r="L25" s="460">
        <f t="shared" si="12"/>
        <v>0</v>
      </c>
      <c r="M25" s="460">
        <f t="shared" si="13"/>
        <v>0</v>
      </c>
      <c r="N25" s="460">
        <f t="shared" si="14"/>
        <v>0</v>
      </c>
      <c r="O25" s="460">
        <f t="shared" si="15"/>
        <v>0</v>
      </c>
      <c r="P25" s="461">
        <f t="shared" si="16"/>
        <v>0</v>
      </c>
      <c r="Q25" s="459">
        <f t="shared" ca="1" si="17"/>
        <v>14858.238119053562</v>
      </c>
    </row>
    <row r="26" spans="1:17">
      <c r="A26" s="459" t="s">
        <v>655</v>
      </c>
      <c r="B26" s="460">
        <f t="shared" ca="1" si="2"/>
        <v>20133.290667963829</v>
      </c>
      <c r="C26" s="460">
        <f t="shared" ca="1" si="3"/>
        <v>0</v>
      </c>
      <c r="D26" s="460">
        <f t="shared" si="4"/>
        <v>28480.902840702362</v>
      </c>
      <c r="E26" s="460">
        <f t="shared" si="5"/>
        <v>262.32662434759209</v>
      </c>
      <c r="F26" s="460">
        <f t="shared" si="6"/>
        <v>7442.4654283026421</v>
      </c>
      <c r="G26" s="460">
        <f t="shared" si="7"/>
        <v>0</v>
      </c>
      <c r="H26" s="460">
        <f t="shared" si="8"/>
        <v>0</v>
      </c>
      <c r="I26" s="460">
        <f t="shared" si="9"/>
        <v>0</v>
      </c>
      <c r="J26" s="460">
        <f t="shared" si="10"/>
        <v>194.54294246750649</v>
      </c>
      <c r="K26" s="460">
        <f t="shared" si="11"/>
        <v>0</v>
      </c>
      <c r="L26" s="460">
        <f t="shared" si="12"/>
        <v>0</v>
      </c>
      <c r="M26" s="460">
        <f t="shared" si="13"/>
        <v>0</v>
      </c>
      <c r="N26" s="460">
        <f t="shared" si="14"/>
        <v>0</v>
      </c>
      <c r="O26" s="460">
        <f t="shared" si="15"/>
        <v>0</v>
      </c>
      <c r="P26" s="461">
        <f t="shared" si="16"/>
        <v>0</v>
      </c>
      <c r="Q26" s="459">
        <f t="shared" ca="1" si="17"/>
        <v>56513.528503783935</v>
      </c>
    </row>
    <row r="27" spans="1:17" s="465" customFormat="1">
      <c r="A27" s="463" t="s">
        <v>573</v>
      </c>
      <c r="B27" s="771">
        <f t="shared" ca="1" si="2"/>
        <v>1.2466599856479796</v>
      </c>
      <c r="C27" s="464">
        <f t="shared" ca="1" si="3"/>
        <v>0</v>
      </c>
      <c r="D27" s="464">
        <f t="shared" si="4"/>
        <v>6.403608777669918</v>
      </c>
      <c r="E27" s="464">
        <f t="shared" si="5"/>
        <v>747.81837299968709</v>
      </c>
      <c r="F27" s="464">
        <f t="shared" si="6"/>
        <v>0</v>
      </c>
      <c r="G27" s="464">
        <f t="shared" si="7"/>
        <v>159529.08237454141</v>
      </c>
      <c r="H27" s="464">
        <f t="shared" si="8"/>
        <v>26402.806235010419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186687.35725131482</v>
      </c>
    </row>
    <row r="28" spans="1:17">
      <c r="A28" s="459" t="s">
        <v>563</v>
      </c>
      <c r="B28" s="460">
        <f t="shared" ca="1" si="2"/>
        <v>157.75100273250217</v>
      </c>
      <c r="C28" s="460">
        <f t="shared" ca="1" si="3"/>
        <v>0</v>
      </c>
      <c r="D28" s="460">
        <f t="shared" si="4"/>
        <v>0</v>
      </c>
      <c r="E28" s="460">
        <f t="shared" si="5"/>
        <v>0</v>
      </c>
      <c r="F28" s="460">
        <f t="shared" si="6"/>
        <v>0</v>
      </c>
      <c r="G28" s="460">
        <f t="shared" si="7"/>
        <v>6795.0901581253729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6952.8411608578754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3137.3166950026948</v>
      </c>
      <c r="C32" s="460">
        <f t="shared" ca="1" si="3"/>
        <v>0</v>
      </c>
      <c r="D32" s="460">
        <f t="shared" si="4"/>
        <v>9220.2392898375656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12357.555984840261</v>
      </c>
    </row>
    <row r="33" spans="1:17" s="472" customFormat="1">
      <c r="A33" s="469" t="s">
        <v>567</v>
      </c>
      <c r="B33" s="470">
        <f ca="1">SUM(B22:B32)</f>
        <v>128907.64613055934</v>
      </c>
      <c r="C33" s="470">
        <f t="shared" ref="C33:Q33" ca="1" si="19">SUM(C22:C32)</f>
        <v>3.3666666666666671</v>
      </c>
      <c r="D33" s="470">
        <f t="shared" ca="1" si="19"/>
        <v>230787.71109578805</v>
      </c>
      <c r="E33" s="470">
        <f t="shared" si="19"/>
        <v>4631.4814266812409</v>
      </c>
      <c r="F33" s="470">
        <f t="shared" ca="1" si="19"/>
        <v>34197.936244127908</v>
      </c>
      <c r="G33" s="470">
        <f t="shared" si="19"/>
        <v>166324.17253266679</v>
      </c>
      <c r="H33" s="470">
        <f t="shared" si="19"/>
        <v>26402.806235010419</v>
      </c>
      <c r="I33" s="470">
        <f t="shared" si="19"/>
        <v>0</v>
      </c>
      <c r="J33" s="470">
        <f t="shared" si="19"/>
        <v>466.82484419696061</v>
      </c>
      <c r="K33" s="470">
        <f t="shared" si="19"/>
        <v>0</v>
      </c>
      <c r="L33" s="470">
        <f t="shared" ca="1" si="19"/>
        <v>0</v>
      </c>
      <c r="M33" s="470">
        <f t="shared" si="19"/>
        <v>0</v>
      </c>
      <c r="N33" s="470">
        <f t="shared" ca="1" si="19"/>
        <v>0</v>
      </c>
      <c r="O33" s="470">
        <f t="shared" si="19"/>
        <v>0</v>
      </c>
      <c r="P33" s="470">
        <f t="shared" si="19"/>
        <v>0</v>
      </c>
      <c r="Q33" s="470">
        <f t="shared" ca="1" si="19"/>
        <v>591721.94517569733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61119.14038789492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15815.762352443777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v>
      </c>
      <c r="D8" s="1028">
        <f>'SEAP template'!D76</f>
        <v>3.333333333333333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0.67333333333333334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76934.902740338701</v>
      </c>
      <c r="C10" s="1032">
        <f>SUM(C4:C9)</f>
        <v>3</v>
      </c>
      <c r="D10" s="1032">
        <f t="shared" ref="D10:H10" si="0">SUM(D8:D9)</f>
        <v>3.333333333333333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0.67333333333333334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0.19524823910969408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15</v>
      </c>
      <c r="D17" s="1029">
        <f>'SEAP template'!D87</f>
        <v>16.666666666666668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3.3666666666666671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15</v>
      </c>
      <c r="D20" s="1032">
        <f t="shared" ref="D20:H20" si="2">SUM(D17:D19)</f>
        <v>16.666666666666668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3.3666666666666671</v>
      </c>
    </row>
    <row r="22" spans="1:16">
      <c r="A22" s="473" t="s">
        <v>947</v>
      </c>
      <c r="B22" s="777" t="s">
        <v>941</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0.19524823910969408</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3</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4.6900000000000004</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2019-06-29T16:05:09Z</dcterms:modified>
</cp:coreProperties>
</file>