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F20" s="1"/>
  <c r="E18"/>
  <c r="D18"/>
  <c r="D20" s="1"/>
  <c r="C18"/>
  <c r="B18"/>
  <c r="L9"/>
  <c r="K9"/>
  <c r="I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D10"/>
  <c r="B8"/>
  <c r="B6"/>
  <c r="B5"/>
  <c r="B4"/>
  <c r="O18" l="1"/>
  <c r="O9"/>
  <c r="O19"/>
  <c r="C98"/>
  <c r="D101" s="1"/>
  <c r="B17"/>
  <c r="B20" s="1"/>
  <c r="G20"/>
  <c r="B10"/>
  <c r="G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H26"/>
  <c r="E25"/>
  <c r="Q26"/>
  <c r="N26"/>
  <c r="J26"/>
  <c r="I26"/>
  <c r="R12"/>
  <c r="D5" i="17"/>
  <c r="C77" i="14" l="1"/>
  <c r="C9" i="55" s="1"/>
  <c r="F9"/>
  <c r="N78" i="14"/>
  <c r="N9" i="55"/>
  <c r="N10" s="1"/>
  <c r="M90" i="14"/>
  <c r="M17" i="55"/>
  <c r="M20" s="1"/>
  <c r="E55" i="14"/>
  <c r="D14" i="48"/>
  <c r="F90" i="14"/>
  <c r="F18" i="55"/>
  <c r="F20" s="1"/>
  <c r="N90" i="14"/>
  <c r="N18" i="55"/>
  <c r="N20" s="1"/>
  <c r="E90" i="14"/>
  <c r="E18" i="55"/>
  <c r="E20" s="1"/>
  <c r="L78" i="14"/>
  <c r="L8" i="55"/>
  <c r="G78" i="14"/>
  <c r="G9" i="55"/>
  <c r="O78" i="14"/>
  <c r="O9" i="55"/>
  <c r="P32" i="48"/>
  <c r="D22" i="14"/>
  <c r="L22"/>
  <c r="G10" i="55"/>
  <c r="P31" i="48"/>
  <c r="C101" i="18"/>
  <c r="L10" i="55"/>
  <c r="K20"/>
  <c r="F101" i="18"/>
  <c r="I8" s="1"/>
  <c r="R9" i="14"/>
  <c r="E10" i="55"/>
  <c r="O10"/>
  <c r="H20"/>
  <c r="P24" i="48"/>
  <c r="B101" i="18"/>
  <c r="C8" s="1"/>
  <c r="D76" i="14" s="1"/>
  <c r="M22"/>
  <c r="O29" i="48"/>
  <c r="O28"/>
  <c r="O25"/>
  <c r="I101" i="18"/>
  <c r="H8" s="1"/>
  <c r="G22" i="14"/>
  <c r="O22"/>
  <c r="P22"/>
  <c r="E101" i="18"/>
  <c r="E8" s="1"/>
  <c r="L90" i="14"/>
  <c r="H10" i="55"/>
  <c r="G20"/>
  <c r="O20"/>
  <c r="H101" i="18"/>
  <c r="J8" s="1"/>
  <c r="H90" i="14"/>
  <c r="Q52"/>
  <c r="K10" i="55"/>
  <c r="O32" i="48"/>
  <c r="B77" i="14"/>
  <c r="B9" i="55" s="1"/>
  <c r="H78" i="14"/>
  <c r="C88"/>
  <c r="C18" i="55" s="1"/>
  <c r="C20" i="18"/>
  <c r="E78" i="14"/>
  <c r="D87"/>
  <c r="D17" i="55" s="1"/>
  <c r="D20" s="1"/>
  <c r="G90" i="14"/>
  <c r="O90"/>
  <c r="J17" i="18"/>
  <c r="Q88" i="14"/>
  <c r="P18" i="55" s="1"/>
  <c r="Q89" i="14"/>
  <c r="P19" i="55" s="1"/>
  <c r="K78" i="14"/>
  <c r="B88"/>
  <c r="B18" i="55" s="1"/>
  <c r="C89" i="14"/>
  <c r="C19" i="55" s="1"/>
  <c r="B89" i="14"/>
  <c r="B19" i="55" s="1"/>
  <c r="I17" i="18"/>
  <c r="O27" i="48"/>
  <c r="O31"/>
  <c r="P27"/>
  <c r="P28"/>
  <c r="P29"/>
  <c r="Q11"/>
  <c r="Q12"/>
  <c r="O30"/>
  <c r="Q77" i="14"/>
  <c r="D78"/>
  <c r="K90"/>
  <c r="E10" i="18" l="1"/>
  <c r="F76" i="14"/>
  <c r="P9" i="55"/>
  <c r="H10" i="18"/>
  <c r="M76" i="14"/>
  <c r="D8" i="55"/>
  <c r="D10" s="1"/>
  <c r="O17" i="18"/>
  <c r="O20" s="1"/>
  <c r="C10"/>
  <c r="Q14" i="48"/>
  <c r="I10" i="18"/>
  <c r="I76" i="14"/>
  <c r="I8" i="55" s="1"/>
  <c r="I10" s="1"/>
  <c r="J20" i="18"/>
  <c r="J87" i="14"/>
  <c r="I20" i="18"/>
  <c r="I87" i="14"/>
  <c r="I17" i="55" s="1"/>
  <c r="I20" s="1"/>
  <c r="O8" i="18"/>
  <c r="O10" s="1"/>
  <c r="J10"/>
  <c r="J76" i="14"/>
  <c r="Q87"/>
  <c r="D90"/>
  <c r="F8" i="55" l="1"/>
  <c r="F10" s="1"/>
  <c r="F78" i="14"/>
  <c r="J78"/>
  <c r="J8" i="55"/>
  <c r="J10" s="1"/>
  <c r="M8"/>
  <c r="M10" s="1"/>
  <c r="M78" i="14"/>
  <c r="Q90"/>
  <c r="B17" i="6" s="1"/>
  <c r="P17" i="55"/>
  <c r="P20" s="1"/>
  <c r="J90" i="14"/>
  <c r="J17" i="55"/>
  <c r="J20" s="1"/>
  <c r="Q76" i="14"/>
  <c r="I78"/>
  <c r="C76"/>
  <c r="B76"/>
  <c r="I90"/>
  <c r="B87"/>
  <c r="C87"/>
  <c r="H14" i="15"/>
  <c r="H16" s="1"/>
  <c r="G14"/>
  <c r="G16" s="1"/>
  <c r="H10" i="14" l="1"/>
  <c r="H16" s="1"/>
  <c r="G5" i="48"/>
  <c r="P8" i="55"/>
  <c r="P10" s="1"/>
  <c r="Q78" i="14"/>
  <c r="B9" i="6" s="1"/>
  <c r="C78" i="14"/>
  <c r="C8" i="55"/>
  <c r="C10" s="1"/>
  <c r="B78" i="14"/>
  <c r="B4" i="6" s="1"/>
  <c r="B8" i="55"/>
  <c r="B10" s="1"/>
  <c r="B90" i="14"/>
  <c r="B17" i="55"/>
  <c r="B20" s="1"/>
  <c r="C90" i="14"/>
  <c r="C17" i="55"/>
  <c r="C20"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2"/>
  <c r="K27"/>
  <c r="K29"/>
  <c r="K28"/>
  <c r="K26"/>
  <c r="K25"/>
  <c r="K24"/>
  <c r="B10"/>
  <c r="C19" i="14"/>
  <c r="J10"/>
  <c r="J16" s="1"/>
  <c r="J27" s="1"/>
  <c r="I5" i="48"/>
  <c r="J32"/>
  <c r="J30"/>
  <c r="J28"/>
  <c r="J29"/>
  <c r="J27"/>
  <c r="J31"/>
  <c r="J24"/>
  <c r="P4"/>
  <c r="Q11" i="14"/>
  <c r="O4" i="48"/>
  <c r="P11" i="14"/>
  <c r="I30" i="48"/>
  <c r="I24"/>
  <c r="I25"/>
  <c r="I32"/>
  <c r="I22"/>
  <c r="I28"/>
  <c r="I27"/>
  <c r="I31"/>
  <c r="I26"/>
  <c r="I29"/>
  <c r="H12" i="22"/>
  <c r="H14" s="1"/>
  <c r="H13" i="48"/>
  <c r="H31" s="1"/>
  <c r="I18" i="14"/>
  <c r="E11"/>
  <c r="D4" i="48"/>
  <c r="H30"/>
  <c r="H32"/>
  <c r="H25"/>
  <c r="H26"/>
  <c r="H22"/>
  <c r="H24"/>
  <c r="H29"/>
  <c r="H28"/>
  <c r="H23"/>
  <c r="C4"/>
  <c r="D11" i="14"/>
  <c r="G30" i="48"/>
  <c r="G32"/>
  <c r="G26"/>
  <c r="G24"/>
  <c r="G22"/>
  <c r="G29"/>
  <c r="G25"/>
  <c r="G23"/>
  <c r="M5"/>
  <c r="N10" i="14"/>
  <c r="N16" s="1"/>
  <c r="B4" i="48"/>
  <c r="C11" i="14"/>
  <c r="F32" i="48"/>
  <c r="F28"/>
  <c r="F27"/>
  <c r="F29"/>
  <c r="F24"/>
  <c r="F31"/>
  <c r="F30"/>
  <c r="N32"/>
  <c r="N28"/>
  <c r="N27"/>
  <c r="N29"/>
  <c r="N24"/>
  <c r="N31"/>
  <c r="N30"/>
  <c r="B7"/>
  <c r="C24" i="14"/>
  <c r="C26" s="1"/>
  <c r="E30" i="48"/>
  <c r="E24"/>
  <c r="E32"/>
  <c r="E31"/>
  <c r="E29"/>
  <c r="E28"/>
  <c r="M32"/>
  <c r="M30"/>
  <c r="M24"/>
  <c r="M25"/>
  <c r="M29"/>
  <c r="M26"/>
  <c r="M22"/>
  <c r="L10" i="14"/>
  <c r="L16" s="1"/>
  <c r="L27" s="1"/>
  <c r="K5" i="48"/>
  <c r="D22"/>
  <c r="D30"/>
  <c r="D24"/>
  <c r="D28"/>
  <c r="D31"/>
  <c r="D29"/>
  <c r="D32"/>
  <c r="L30"/>
  <c r="L28"/>
  <c r="L24"/>
  <c r="L32"/>
  <c r="L27"/>
  <c r="L22"/>
  <c r="L29"/>
  <c r="L31"/>
  <c r="P5"/>
  <c r="P23" s="1"/>
  <c r="Q10"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0" i="14" l="1"/>
  <c r="I22" s="1"/>
  <c r="I27" s="1"/>
  <c r="H9" i="48"/>
  <c r="G12" i="22"/>
  <c r="G13" i="48"/>
  <c r="H18" i="14"/>
  <c r="M23" i="48"/>
  <c r="P22" i="16"/>
  <c r="Q43" i="14" s="1"/>
  <c r="Q13"/>
  <c r="P8" i="48"/>
  <c r="P26" s="1"/>
  <c r="K15"/>
  <c r="K23"/>
  <c r="K33" s="1"/>
  <c r="P15"/>
  <c r="P22"/>
  <c r="P33" s="1"/>
  <c r="I15"/>
  <c r="I23"/>
  <c r="I33" s="1"/>
  <c r="O22"/>
  <c r="O5"/>
  <c r="O23" s="1"/>
  <c r="P10" i="14"/>
  <c r="M13" i="48"/>
  <c r="M31" s="1"/>
  <c r="N18" i="14"/>
  <c r="F4" i="48"/>
  <c r="F22" s="1"/>
  <c r="G11" i="14"/>
  <c r="G31" i="20"/>
  <c r="H48" i="14" s="1"/>
  <c r="J63"/>
  <c r="I52"/>
  <c r="I61" s="1"/>
  <c r="I63" s="1"/>
  <c r="J46"/>
  <c r="J61" s="1"/>
  <c r="Q16"/>
  <c r="Q27" s="1"/>
  <c r="N46"/>
  <c r="D16" i="15"/>
  <c r="L46" i="14"/>
  <c r="L61" s="1"/>
  <c r="L63"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F20" i="14" l="1"/>
  <c r="F22" s="1"/>
  <c r="E9" i="48"/>
  <c r="E27" s="1"/>
  <c r="D9"/>
  <c r="D27" s="1"/>
  <c r="E20" i="14"/>
  <c r="E22" s="1"/>
  <c r="P13"/>
  <c r="P16" s="1"/>
  <c r="P27" s="1"/>
  <c r="O8" i="48"/>
  <c r="N4"/>
  <c r="N22" s="1"/>
  <c r="O11" i="14"/>
  <c r="Q63"/>
  <c r="M10" i="48"/>
  <c r="M28" s="1"/>
  <c r="N19" i="14"/>
  <c r="E12" i="13"/>
  <c r="F41" i="14" s="1"/>
  <c r="F11"/>
  <c r="E4" i="48"/>
  <c r="J4"/>
  <c r="J22" s="1"/>
  <c r="K11" i="14"/>
  <c r="G10" i="48"/>
  <c r="H19" i="14"/>
  <c r="R19" s="1"/>
  <c r="H27" i="48"/>
  <c r="H33" s="1"/>
  <c r="H15"/>
  <c r="G31"/>
  <c r="Q13"/>
  <c r="C20" i="14"/>
  <c r="B9" i="48"/>
  <c r="G14" i="22"/>
  <c r="R18"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E22" i="48"/>
  <c r="Q4"/>
  <c r="M18" i="22"/>
  <c r="N50" i="14" s="1"/>
  <c r="N52" s="1"/>
  <c r="N61" s="1"/>
  <c r="N20"/>
  <c r="N22" s="1"/>
  <c r="N27" s="1"/>
  <c r="M9" i="48"/>
  <c r="C22" i="14"/>
  <c r="R11"/>
  <c r="B15" i="48"/>
  <c r="D15"/>
  <c r="H20" i="14"/>
  <c r="H22" s="1"/>
  <c r="H27" s="1"/>
  <c r="H63" s="1"/>
  <c r="G9" i="48"/>
  <c r="O26"/>
  <c r="O33" s="1"/>
  <c r="O15"/>
  <c r="G28"/>
  <c r="Q10"/>
  <c r="G18" i="22"/>
  <c r="H50" i="14" s="1"/>
  <c r="Q9" i="48"/>
  <c r="J5"/>
  <c r="K10" i="14"/>
  <c r="E20" i="15"/>
  <c r="F40" i="14" s="1"/>
  <c r="E5" i="48"/>
  <c r="F10" i="14"/>
  <c r="L15" i="48"/>
  <c r="Q7"/>
  <c r="R24" i="14"/>
  <c r="R26" s="1"/>
  <c r="J18" i="16"/>
  <c r="N18"/>
  <c r="E18"/>
  <c r="F18"/>
  <c r="F22" s="1"/>
  <c r="G43" i="14" s="1"/>
  <c r="N63" l="1"/>
  <c r="G27" i="48"/>
  <c r="G33" s="1"/>
  <c r="G15"/>
  <c r="M27"/>
  <c r="M33" s="1"/>
  <c r="M15"/>
  <c r="R20" i="14"/>
  <c r="R22" s="1"/>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<sst xmlns="http://schemas.openxmlformats.org/spreadsheetml/2006/main" count="2493" uniqueCount="963">
  <si>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</si>
  <si>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</si>
  <si>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</si>
  <si>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</si>
  <si>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</si>
  <si>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</si>
  <si>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</si>
  <si>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</si>
  <si>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</si>
  <si>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</si>
  <si>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</si>
  <si>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</si>
  <si>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</si>
  <si>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</si>
  <si>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</si>
  <si>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</si>
  <si>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</si>
  <si>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</si>
  <si>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</si>
  <si>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</si>
  <si>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</si>
  <si>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</si>
  <si>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</si>
  <si>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</si>
  <si>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</si>
  <si>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</si>
  <si>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</si>
  <si>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</si>
  <si>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</si>
  <si>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</si>
  <si>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</si>
  <si>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</si>
  <si>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</si>
  <si>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</si>
  <si>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</si>
  <si>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</si>
  <si>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</si>
  <si>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</si>
  <si>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</si>
  <si>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</si>
  <si>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</si>
  <si>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</si>
  <si>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</si>
  <si>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</si>
  <si>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</si>
  <si>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</si>
  <si>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</si>
  <si>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</si>
  <si>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</si>
  <si>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</si>
  <si>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</si>
  <si>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</si>
  <si>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</si>
  <si>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</si>
  <si>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</si>
  <si>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</si>
  <si>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</si>
  <si>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</si>
  <si>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</si>
  <si>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</si>
  <si>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</si>
  <si>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</si>
  <si>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</si>
  <si>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</si>
  <si>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</si>
  <si>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</si>
  <si>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</si>
  <si>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</si>
  <si>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</si>
  <si>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</si>
  <si>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</si>
  <si>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</si>
  <si>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</si>
  <si>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</si>
  <si>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</si>
  <si>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</si>
  <si>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</si>
  <si>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</si>
  <si>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</si>
  <si>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</si>
  <si>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</si>
  <si>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</si>
  <si>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</si>
  <si>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</si>
  <si>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</si>
  <si>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</si>
  <si>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</si>
  <si>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</si>
  <si>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</si>
  <si>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</si>
  <si>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</si>
  <si>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</si>
  <si>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</si>
  <si>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</si>
  <si>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</si>
  <si>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</si>
  <si>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</si>
  <si>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</si>
  <si>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</si>
  <si>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</si>
  <si>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</si>
  <si>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</si>
  <si>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</si>
  <si>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</si>
  <si>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</si>
  <si>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</si>
  <si>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</si>
  <si>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</si>
  <si>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</si>
  <si>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</si>
  <si>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</si>
  <si>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</si>
  <si>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</si>
  <si>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</si>
  <si>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</si>
  <si>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</si>
  <si>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</si>
  <si>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</si>
  <si>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</si>
  <si>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</si>
  <si>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</si>
  <si>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</si>
  <si>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</si>
  <si>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</si>
  <si>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</si>
  <si>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</si>
  <si>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</si>
  <si>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</si>
  <si>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</si>
  <si>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</si>
  <si>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</si>
  <si>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</si>
  <si>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</si>
  <si>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</si>
  <si>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</si>
  <si>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</si>
  <si>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</si>
  <si>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</si>
  <si>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</si>
  <si>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</si>
  <si>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</si>
  <si>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</si>
  <si>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</si>
  <si>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</si>
  <si>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</si>
  <si>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</si>
  <si>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</si>
  <si>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</si>
  <si>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</si>
  <si>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</si>
  <si>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</si>
  <si>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</si>
  <si>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</si>
  <si>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</si>
  <si>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</si>
  <si>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</si>
  <si>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</si>
  <si>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</si>
  <si>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</si>
  <si>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</si>
  <si>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</si>
  <si>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</si>
  <si>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</si>
  <si>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</si>
  <si>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</si>
  <si>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</si>
  <si>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</si>
  <si>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</si>
  <si>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</si>
  <si>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</si>
  <si>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</si>
  <si>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</si>
  <si>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</si>
  <si>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</si>
  <si>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</si>
  <si>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</si>
  <si>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</si>
  <si>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</si>
  <si>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</si>
  <si>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</si>
  <si>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</si>
  <si>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</si>
  <si>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</si>
  <si>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</si>
  <si>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</si>
  <si>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</si>
  <si>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</si>
  <si>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</si>
  <si>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</si>
  <si>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</si>
  <si>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</si>
  <si>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</si>
  <si>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</si>
  <si>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</si>
  <si>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</si>
  <si>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</si>
  <si>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</si>
  <si>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</si>
  <si>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</si>
  <si>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</si>
  <si>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</si>
  <si>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</si>
  <si>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</si>
  <si>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</si>
  <si>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</si>
  <si>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</si>
  <si>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</si>
  <si>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</si>
  <si>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</si>
  <si>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</si>
  <si>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</si>
  <si>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</si>
  <si>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</si>
  <si>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</si>
  <si>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</si>
  <si>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</si>
  <si>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</si>
  <si>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</si>
  <si>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</si>
  <si>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</si>
  <si>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</si>
  <si>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</si>
  <si>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</si>
  <si>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</si>
  <si>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</si>
  <si>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</si>
  <si>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</si>
  <si>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</si>
  <si>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</si>
  <si>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</si>
  <si>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</si>
  <si>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</si>
  <si>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</si>
  <si>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</si>
  <si>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</si>
  <si>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</si>
  <si>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</si>
  <si>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</si>
  <si>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</si>
  <si>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</si>
  <si>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</si>
  <si>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</si>
  <si>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</si>
  <si>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</si>
  <si>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</si>
  <si>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</si>
  <si>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</si>
  <si>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</si>
  <si>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</si>
  <si>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</si>
  <si>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</si>
  <si>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</si>
  <si>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</si>
  <si>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</si>
  <si>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</si>
  <si>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</si>
  <si>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</si>
  <si>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</si>
  <si>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</si>
  <si>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</si>
  <si>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</si>
  <si>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</si>
  <si>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</si>
  <si>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</si>
  <si>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</si>
  <si>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</si>
  <si>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</si>
  <si>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</si>
  <si>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</si>
  <si>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</si>
  <si>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</si>
  <si>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</si>
  <si>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</si>
  <si>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</si>
  <si>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</si>
  <si>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</si>
  <si>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</si>
  <si>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</si>
  <si>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</si>
  <si>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</si>
  <si>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</si>
  <si>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</si>
  <si>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</si>
  <si>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</si>
  <si>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</si>
  <si>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</si>
  <si>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</si>
  <si>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</si>
  <si>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</si>
  <si>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</si>
  <si>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</si>
  <si>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</si>
  <si>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</si>
  <si>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</si>
  <si>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</si>
  <si>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</si>
  <si>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</si>
  <si>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</si>
  <si>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</si>
  <si>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</si>
  <si>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</si>
  <si>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</si>
  <si>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</si>
  <si>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</si>
  <si>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</si>
  <si>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</si>
  <si>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</si>
  <si>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</si>
  <si>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</si>
  <si>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</si>
  <si>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</si>
  <si>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</si>
  <si>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</si>
  <si>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</si>
  <si>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</si>
  <si>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</si>
  <si>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</si>
  <si>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</si>
  <si>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</si>
  <si>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</si>
  <si>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</si>
  <si>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</si>
  <si>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</si>
  <si>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</si>
  <si>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</si>
  <si>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</si>
  <si>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</si>
  <si>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</si>
  <si>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</si>
  <si>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</si>
  <si>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</si>
  <si>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</si>
  <si>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</si>
  <si>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</si>
  <si>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</si>
  <si>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</si>
  <si>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</si>
  <si>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</si>
  <si>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</si>
  <si>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</si>
  <si>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</si>
  <si>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</si>
  <si>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</si>
  <si>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</si>
  <si>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</si>
  <si>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</si>
  <si>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</si>
  <si>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</si>
  <si>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</si>
  <si>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</si>
  <si>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</si>
  <si>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</si>
  <si>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</si>
  <si>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</si>
  <si>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</si>
  <si>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</si>
  <si>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</si>
  <si>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</si>
  <si>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</si>
  <si>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</si>
  <si>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</si>
  <si>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</si>
  <si>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</si>
  <si>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</si>
  <si>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</si>
  <si>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</si>
  <si>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</si>
  <si>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</si>
  <si>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</si>
  <si>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</si>
  <si>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</si>
  <si>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</si>
  <si>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</si>
  <si>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</si>
  <si>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</si>
  <si>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</si>
  <si>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</si>
  <si>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</si>
  <si>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</si>
  <si>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</si>
  <si>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</si>
  <si>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</si>
  <si>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</si>
  <si>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</si>
  <si>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</si>
  <si>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</si>
  <si>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</si>
  <si>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</si>
  <si>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</si>
  <si>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</si>
  <si>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</si>
  <si>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</si>
  <si>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</si>
  <si>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</si>
  <si>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</si>
  <si>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</si>
  <si>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</si>
  <si>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</si>
  <si>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</si>
  <si>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</si>
  <si>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</si>
  <si>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</si>
  <si>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</si>
  <si>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</si>
  <si>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</si>
  <si>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</si>
  <si>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</si>
  <si>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</si>
  <si>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</si>
  <si>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</si>
  <si>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</si>
  <si>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</si>
  <si>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</si>
  <si>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</si>
  <si>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</si>
  <si>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</si>
  <si>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</si>
  <si>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</si>
  <si>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</si>
  <si>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</si>
  <si>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</si>
  <si>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</si>
  <si>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</si>
  <si>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</si>
  <si>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</si>
  <si>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</si>
  <si>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</si>
  <si>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</si>
  <si>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</si>
  <si>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</si>
  <si>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</si>
  <si>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</si>
  <si>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</si>
  <si>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</si>
  <si>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</si>
  <si>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</si>
  <si>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</si>
  <si>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</si>
  <si>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</si>
  <si>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</si>
  <si>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</si>
  <si>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</si>
  <si>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</si>
  <si>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</si>
  <si>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</si>
  <si>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</si>
  <si>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</si>
  <si>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</si>
  <si>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</si>
  <si>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</si>
  <si>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</si>
  <si>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</si>
  <si>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</si>
  <si>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</si>
  <si>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</si>
  <si>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</si>
  <si>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</si>
  <si>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</si>
  <si>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</si>
  <si>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</si>
  <si>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</si>
  <si>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</si>
  <si>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</si>
  <si>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</si>
  <si>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</si>
  <si>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</si>
  <si>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</si>
  <si>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</si>
  <si>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</si>
  <si>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</si>
  <si>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</si>
  <si>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</si>
  <si>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</si>
  <si>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</si>
  <si>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</si>
  <si>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</si>
  <si>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</si>
  <si>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</si>
  <si>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</si>
  <si>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</si>
  <si>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</si>
  <si>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</si>
  <si>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</si>
  <si>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</si>
  <si>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</si>
  <si>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</si>
  <si>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</si>
  <si>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</si>
  <si>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</si>
  <si>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</si>
  <si>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</si>
  <si>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</si>
  <si>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</si>
  <si>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</si>
  <si>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</si>
  <si>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</si>
  <si>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</si>
  <si>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</si>
  <si>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</si>
  <si>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</si>
  <si>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</si>
  <si>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</si>
  <si>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</si>
  <si>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</si>
  <si>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</si>
  <si>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</si>
  <si>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</si>
  <si>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</si>
  <si>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</si>
  <si>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</si>
  <si>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</si>
  <si>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</si>
  <si>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</si>
  <si>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</si>
  <si>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</si>
  <si>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</si>
  <si>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</si>
  <si>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</si>
  <si>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</si>
  <si>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</si>
  <si>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</si>
  <si>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</si>
  <si>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</si>
  <si>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</si>
  <si>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</si>
  <si>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</si>
  <si>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</si>
  <si>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</si>
  <si>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</si>
  <si>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</si>
  <si>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</si>
  <si>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</si>
  <si>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</si>
  <si>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</si>
  <si>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</si>
  <si>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</si>
  <si>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</si>
  <si>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</si>
  <si>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</si>
  <si>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</si>
  <si>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</si>
  <si>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</si>
  <si>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</si>
  <si>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</si>
  <si>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</si>
  <si>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</si>
  <si>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</si>
  <si>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</si>
  <si>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</si>
  <si>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</si>
  <si>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</si>
  <si>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</si>
  <si>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</si>
  <si>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</si>
  <si>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</si>
  <si>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</si>
  <si>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</si>
  <si>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</si>
  <si>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</si>
  <si>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</si>
  <si>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</si>
  <si>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</si>
  <si>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</si>
  <si>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</si>
  <si>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</si>
  <si>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</si>
  <si>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</si>
  <si>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</si>
  <si>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</si>
  <si>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</si>
  <si>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</si>
  <si>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</si>
  <si>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</si>
  <si>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</si>
  <si>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</si>
  <si>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</si>
  <si>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</si>
  <si>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</si>
  <si>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</si>
  <si>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</si>
  <si>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</si>
  <si>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</si>
  <si>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</si>
  <si>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</si>
  <si>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</si>
  <si>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</si>
  <si>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</si>
  <si>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</si>
  <si>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</si>
  <si>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</si>
  <si>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</si>
  <si>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</si>
  <si>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</si>
  <si>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</si>
  <si>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</si>
  <si>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</si>
  <si>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</si>
  <si>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</si>
  <si>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</si>
  <si>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</si>
  <si>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</si>
  <si>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</si>
  <si>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</si>
  <si>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</si>
  <si>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</si>
  <si>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</si>
  <si>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</si>
  <si>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</si>
  <si>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</si>
  <si>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</si>
  <si>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</si>
  <si>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</si>
  <si>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</si>
  <si>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</si>
  <si>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</si>
  <si>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</si>
  <si>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</si>
  <si>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</si>
  <si>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</si>
  <si>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</si>
  <si>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</si>
  <si>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</si>
  <si>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</si>
  <si>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</si>
  <si>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</si>
  <si>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</si>
  <si>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</si>
  <si>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</si>
  <si>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</si>
  <si>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</si>
  <si>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</si>
  <si>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</si>
  <si>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</si>
  <si>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</si>
  <si>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</si>
  <si>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</si>
  <si>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</si>
  <si>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</si>
  <si>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</si>
  <si>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</si>
  <si>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</si>
  <si>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</si>
  <si>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</si>
  <si>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</si>
  <si>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</si>
  <si>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</si>
  <si>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</si>
  <si>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</si>
  <si>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</si>
  <si>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</si>
  <si>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</si>
  <si>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</si>
  <si>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</si>
  <si>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</si>
  <si>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</si>
  <si>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</si>
  <si>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</si>
  <si>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</si>
  <si>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</si>
  <si>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</si>
  <si>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</si>
  <si>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</si>
  <si>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</si>
  <si>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</si>
  <si>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</si>
  <si>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</si>
  <si>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</si>
  <si>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</si>
  <si>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</si>
  <si>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</si>
  <si>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</si>
  <si>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</si>
  <si>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</si>
  <si>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</si>
  <si>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</si>
  <si>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</si>
  <si>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</si>
  <si>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</si>
  <si>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</si>
  <si>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</si>
  <si>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</si>
  <si>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</si>
  <si>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</si>
  <si>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</si>
  <si>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</si>
  <si>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</si>
  <si>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</si>
  <si>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</si>
  <si>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</si>
  <si>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</si>
  <si>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</si>
  <si>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</si>
  <si>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</si>
  <si>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</si>
  <si>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</si>
  <si>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</si>
  <si>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</si>
  <si>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</si>
  <si>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</si>
  <si>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</si>
  <si>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</si>
  <si>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</si>
  <si>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</si>
  <si>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</si>
  <si>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</si>
  <si>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</si>
  <si>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</si>
  <si>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</si>
  <si>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</si>
  <si>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</si>
  <si>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</si>
  <si>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</si>
  <si>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</si>
  <si>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</si>
  <si>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</si>
  <si>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</si>
  <si>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</si>
  <si>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</si>
  <si>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</si>
  <si>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</si>
  <si>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</si>
  <si>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</si>
  <si>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</si>
  <si>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</si>
  <si>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</si>
  <si>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</si>
  <si>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</si>
  <si>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</si>
  <si>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</si>
  <si>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</si>
  <si>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</si>
  <si>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</si>
  <si>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</si>
  <si>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</si>
  <si>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</si>
  <si>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</si>
  <si>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</si>
  <si>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</si>
  <si>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</si>
  <si>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</si>
  <si>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</si>
  <si>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</si>
  <si>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</si>
  <si>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</si>
  <si>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</si>
  <si>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</si>
  <si>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</si>
  <si>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</si>
  <si>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</si>
  <si>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</si>
  <si>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</si>
  <si>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</si>
  <si>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</si>
  <si>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</si>
  <si>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</si>
  <si>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</si>
  <si>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</si>
  <si>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</si>
  <si>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</si>
  <si>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</si>
  <si>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</si>
  <si>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</si>
  <si>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</si>
  <si>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</si>
  <si>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</si>
  <si>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</si>
  <si>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</si>
  <si>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</si>
  <si>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</si>
  <si>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</si>
  <si>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</si>
  <si>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</si>
  <si>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</si>
  <si>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</si>
  <si>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</si>
  <si>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</si>
  <si>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</si>
  <si>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</si>
  <si>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</si>
  <si>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</si>
  <si>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</si>
  <si>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</si>
  <si>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</si>
  <si>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</si>
  <si>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</si>
  <si>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</si>
  <si>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</si>
  <si>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</si>
  <si>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</si>
  <si>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</si>
  <si>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</si>
  <si>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</si>
  <si>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</si>
  <si>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</si>
  <si>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</si>
  <si>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</si>
  <si>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</si>
  <si>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</si>
  <si>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</si>
  <si>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</si>
  <si>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</si>
  <si>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</si>
  <si>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</si>
  <si>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</si>
  <si>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</si>
  <si>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</si>
  <si>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</si>
  <si>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</si>
  <si>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</si>
  <si>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</si>
  <si>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</si>
  <si>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</si>
  <si>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</si>
  <si>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</si>
  <si>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</si>
  <si>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</si>
  <si>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</si>
  <si>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</si>
  <si>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</si>
  <si>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</si>
  <si>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</si>
  <si>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</si>
  <si>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</si>
  <si>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</si>
  <si>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</si>
  <si>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</si>
  <si>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</si>
  <si>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</si>
  <si>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</si>
  <si>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</si>
  <si>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</si>
  <si>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</si>
  <si>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</si>
  <si>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</si>
  <si>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</si>
  <si>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</si>
  <si>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</si>
  <si>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</si>
  <si>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</si>
  <si>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</si>
  <si>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</si>
  <si>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</si>
  <si>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</si>
  <si>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</si>
  <si>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</si>
  <si>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</si>
  <si>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</si>
  <si>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</si>
  <si>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</si>
  <si>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</si>
  <si>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</si>
  <si>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</si>
  <si>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</si>
  <si>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</si>
  <si>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</si>
  <si>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</si>
  <si>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</si>
  <si>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</si>
  <si>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</si>
  <si>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</si>
  <si>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</si>
  <si>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</si>
  <si>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</si>
  <si>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</si>
  <si>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</si>
  <si>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</si>
  <si>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</si>
  <si>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</si>
  <si>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</si>
  <si>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</si>
  <si>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</si>
  <si>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</si>
  <si>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</si>
  <si>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</si>
  <si>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</si>
  <si>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</si>
  <si>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</si>
  <si>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</si>
  <si>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</si>
  <si>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</si>
  <si>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</si>
  <si>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</si>
  <si>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</si>
  <si>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</si>
  <si>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</si>
  <si>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</si>
  <si>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</si>
  <si>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</si>
  <si>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</si>
  <si>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</si>
  <si>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</si>
  <si>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</si>
  <si>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</si>
  <si>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</si>
  <si>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</si>
  <si>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</si>
  <si>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</si>
  <si>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</si>
  <si>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</si>
  <si>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</si>
  <si>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</si>
  <si>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</si>
  <si>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</si>
  <si>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</si>
  <si>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</si>
  <si>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</si>
  <si>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</si>
  <si>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</si>
  <si>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</si>
  <si>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</si>
  <si>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</si>
  <si>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</si>
  <si>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</si>
  <si>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</si>
  <si>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</si>
  <si>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</si>
  <si>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</si>
  <si>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</si>
  <si>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</si>
  <si>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</si>
  <si>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</si>
  <si>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</si>
  <si>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</si>
  <si>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</si>
  <si>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</si>
  <si>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</si>
  <si>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</si>
  <si>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</si>
  <si>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</si>
  <si>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</si>
  <si>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</si>
  <si>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</si>
  <si>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</si>
  <si>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</si>
  <si>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</si>
  <si>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</si>
  <si>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</si>
  <si>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</si>
  <si>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</si>
  <si>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</si>
  <si>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</si>
  <si>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</si>
  <si>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</si>
  <si>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</si>
  <si>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</si>
  <si>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</si>
  <si>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</si>
  <si>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</si>
  <si>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</si>
  <si>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</si>
  <si>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</si>
  <si>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</si>
  <si>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</si>
  <si>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</si>
  <si>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24104</t>
  </si>
  <si>
    <t>TERVUREN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</si>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</sst>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24104</v>
      </c>
      <c r="B6" s="396"/>
      <c r="C6" s="397"/>
    </row>
    <row r="7" spans="1:7" s="394" customFormat="1" ht="15.75" customHeight="1">
      <c r="A7" s="398" t="str">
        <f>txtMunicipality</f>
        <v>TERVUREN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0.21770945641323575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0.21770945641323575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24104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8309</v>
      </c>
      <c r="C9" s="336">
        <v>8822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748</v>
      </c>
    </row>
    <row r="15" spans="1:6">
      <c r="A15" s="1277" t="s">
        <v>184</v>
      </c>
      <c r="B15" s="333">
        <v>0</v>
      </c>
    </row>
    <row r="16" spans="1:6">
      <c r="A16" s="1277" t="s">
        <v>6</v>
      </c>
      <c r="B16" s="333">
        <v>37</v>
      </c>
    </row>
    <row r="17" spans="1:6">
      <c r="A17" s="1277" t="s">
        <v>7</v>
      </c>
      <c r="B17" s="333">
        <v>69</v>
      </c>
    </row>
    <row r="18" spans="1:6">
      <c r="A18" s="1277" t="s">
        <v>8</v>
      </c>
      <c r="B18" s="333">
        <v>151</v>
      </c>
    </row>
    <row r="19" spans="1:6">
      <c r="A19" s="1277" t="s">
        <v>9</v>
      </c>
      <c r="B19" s="333">
        <v>235</v>
      </c>
    </row>
    <row r="20" spans="1:6">
      <c r="A20" s="1277" t="s">
        <v>10</v>
      </c>
      <c r="B20" s="333">
        <v>92</v>
      </c>
    </row>
    <row r="21" spans="1:6">
      <c r="A21" s="1277" t="s">
        <v>11</v>
      </c>
      <c r="B21" s="333">
        <v>0</v>
      </c>
    </row>
    <row r="22" spans="1:6">
      <c r="A22" s="1277" t="s">
        <v>12</v>
      </c>
      <c r="B22" s="333">
        <v>5</v>
      </c>
    </row>
    <row r="23" spans="1:6">
      <c r="A23" s="1277" t="s">
        <v>13</v>
      </c>
      <c r="B23" s="333">
        <v>4</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957</v>
      </c>
      <c r="B29" s="333">
        <v>159</v>
      </c>
    </row>
    <row r="30" spans="1:6">
      <c r="A30" s="1273" t="s">
        <v>958</v>
      </c>
      <c r="B30" s="1273">
        <v>14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5529</v>
      </c>
    </row>
    <row r="37" spans="1:6">
      <c r="A37" s="1277" t="s">
        <v>25</v>
      </c>
      <c r="B37" s="1277" t="s">
        <v>28</v>
      </c>
      <c r="C37" s="333">
        <v>0</v>
      </c>
      <c r="D37" s="333">
        <v>0</v>
      </c>
      <c r="E37" s="333">
        <v>0</v>
      </c>
      <c r="F37" s="333">
        <v>0</v>
      </c>
    </row>
    <row r="38" spans="1:6">
      <c r="A38" s="1277" t="s">
        <v>25</v>
      </c>
      <c r="B38" s="1277" t="s">
        <v>29</v>
      </c>
      <c r="C38" s="333">
        <v>3</v>
      </c>
      <c r="D38" s="333">
        <v>394895.728229061</v>
      </c>
      <c r="E38" s="333">
        <v>3</v>
      </c>
      <c r="F38" s="333">
        <v>100821.300391671</v>
      </c>
    </row>
    <row r="39" spans="1:6">
      <c r="A39" s="1277" t="s">
        <v>30</v>
      </c>
      <c r="B39" s="1277" t="s">
        <v>31</v>
      </c>
      <c r="C39" s="333">
        <v>6133</v>
      </c>
      <c r="D39" s="333">
        <v>141909934.32139999</v>
      </c>
      <c r="E39" s="333">
        <v>8418</v>
      </c>
      <c r="F39" s="333">
        <v>37897279.001667298</v>
      </c>
    </row>
    <row r="40" spans="1:6">
      <c r="A40" s="1277" t="s">
        <v>30</v>
      </c>
      <c r="B40" s="1277" t="s">
        <v>29</v>
      </c>
      <c r="C40" s="333">
        <v>0</v>
      </c>
      <c r="D40" s="333">
        <v>0</v>
      </c>
      <c r="E40" s="333">
        <v>1</v>
      </c>
      <c r="F40" s="333">
        <v>56390</v>
      </c>
    </row>
    <row r="41" spans="1:6">
      <c r="A41" s="1277" t="s">
        <v>32</v>
      </c>
      <c r="B41" s="1277" t="s">
        <v>33</v>
      </c>
      <c r="C41" s="333">
        <v>28</v>
      </c>
      <c r="D41" s="333">
        <v>887992.08747438202</v>
      </c>
      <c r="E41" s="333">
        <v>53</v>
      </c>
      <c r="F41" s="333">
        <v>295540.44585007703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17436.366391763899</v>
      </c>
    </row>
    <row r="48" spans="1:6">
      <c r="A48" s="1277" t="s">
        <v>32</v>
      </c>
      <c r="B48" s="1277" t="s">
        <v>29</v>
      </c>
      <c r="C48" s="333">
        <v>16</v>
      </c>
      <c r="D48" s="333">
        <v>382416.49749811098</v>
      </c>
      <c r="E48" s="333">
        <v>16</v>
      </c>
      <c r="F48" s="333">
        <v>314903.95522363199</v>
      </c>
    </row>
    <row r="49" spans="1:6">
      <c r="A49" s="1277" t="s">
        <v>32</v>
      </c>
      <c r="B49" s="1277" t="s">
        <v>40</v>
      </c>
      <c r="C49" s="333">
        <v>0</v>
      </c>
      <c r="D49" s="333">
        <v>0</v>
      </c>
      <c r="E49" s="333">
        <v>0</v>
      </c>
      <c r="F49" s="333">
        <v>0</v>
      </c>
    </row>
    <row r="50" spans="1:6">
      <c r="A50" s="1277" t="s">
        <v>32</v>
      </c>
      <c r="B50" s="1277" t="s">
        <v>41</v>
      </c>
      <c r="C50" s="333">
        <v>8</v>
      </c>
      <c r="D50" s="333">
        <v>890664.93395858002</v>
      </c>
      <c r="E50" s="333">
        <v>12</v>
      </c>
      <c r="F50" s="333">
        <v>505555.62153116899</v>
      </c>
    </row>
    <row r="51" spans="1:6">
      <c r="A51" s="1277" t="s">
        <v>42</v>
      </c>
      <c r="B51" s="1277" t="s">
        <v>43</v>
      </c>
      <c r="C51" s="333">
        <v>3</v>
      </c>
      <c r="D51" s="333">
        <v>100923.788197095</v>
      </c>
      <c r="E51" s="333">
        <v>53</v>
      </c>
      <c r="F51" s="333">
        <v>217810.833488545</v>
      </c>
    </row>
    <row r="52" spans="1:6">
      <c r="A52" s="1277" t="s">
        <v>42</v>
      </c>
      <c r="B52" s="1277" t="s">
        <v>29</v>
      </c>
      <c r="C52" s="333">
        <v>6</v>
      </c>
      <c r="D52" s="333">
        <v>194522.847559213</v>
      </c>
      <c r="E52" s="333">
        <v>3</v>
      </c>
      <c r="F52" s="333">
        <v>17185.728928123899</v>
      </c>
    </row>
    <row r="53" spans="1:6">
      <c r="A53" s="1277" t="s">
        <v>44</v>
      </c>
      <c r="B53" s="1277" t="s">
        <v>45</v>
      </c>
      <c r="C53" s="333">
        <v>200</v>
      </c>
      <c r="D53" s="333">
        <v>5719907.8238062104</v>
      </c>
      <c r="E53" s="333">
        <v>284</v>
      </c>
      <c r="F53" s="333">
        <v>1682025.8509408</v>
      </c>
    </row>
    <row r="54" spans="1:6">
      <c r="A54" s="1277" t="s">
        <v>46</v>
      </c>
      <c r="B54" s="1277" t="s">
        <v>47</v>
      </c>
      <c r="C54" s="333">
        <v>0</v>
      </c>
      <c r="D54" s="333">
        <v>0</v>
      </c>
      <c r="E54" s="333">
        <v>1</v>
      </c>
      <c r="F54" s="333">
        <v>1348040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28</v>
      </c>
      <c r="D57" s="333">
        <v>2777887.95899837</v>
      </c>
      <c r="E57" s="333">
        <v>71</v>
      </c>
      <c r="F57" s="333">
        <v>3426016.99779023</v>
      </c>
    </row>
    <row r="58" spans="1:6">
      <c r="A58" s="1277" t="s">
        <v>49</v>
      </c>
      <c r="B58" s="1277" t="s">
        <v>51</v>
      </c>
      <c r="C58" s="333">
        <v>24</v>
      </c>
      <c r="D58" s="333">
        <v>650046.72792166006</v>
      </c>
      <c r="E58" s="333">
        <v>26</v>
      </c>
      <c r="F58" s="333">
        <v>316944.23493578797</v>
      </c>
    </row>
    <row r="59" spans="1:6">
      <c r="A59" s="1277" t="s">
        <v>49</v>
      </c>
      <c r="B59" s="1277" t="s">
        <v>52</v>
      </c>
      <c r="C59" s="333">
        <v>49</v>
      </c>
      <c r="D59" s="333">
        <v>2242095.51183841</v>
      </c>
      <c r="E59" s="333">
        <v>117</v>
      </c>
      <c r="F59" s="333">
        <v>4153963.5282650199</v>
      </c>
    </row>
    <row r="60" spans="1:6">
      <c r="A60" s="1277" t="s">
        <v>49</v>
      </c>
      <c r="B60" s="1277" t="s">
        <v>53</v>
      </c>
      <c r="C60" s="333">
        <v>26</v>
      </c>
      <c r="D60" s="333">
        <v>927865.72271195601</v>
      </c>
      <c r="E60" s="333">
        <v>33</v>
      </c>
      <c r="F60" s="333">
        <v>602861.18499958899</v>
      </c>
    </row>
    <row r="61" spans="1:6">
      <c r="A61" s="1277" t="s">
        <v>49</v>
      </c>
      <c r="B61" s="1277" t="s">
        <v>54</v>
      </c>
      <c r="C61" s="333">
        <v>258</v>
      </c>
      <c r="D61" s="333">
        <v>18491029.798518401</v>
      </c>
      <c r="E61" s="333">
        <v>459</v>
      </c>
      <c r="F61" s="333">
        <v>8713707.9236646909</v>
      </c>
    </row>
    <row r="62" spans="1:6">
      <c r="A62" s="1277" t="s">
        <v>49</v>
      </c>
      <c r="B62" s="1277" t="s">
        <v>55</v>
      </c>
      <c r="C62" s="333">
        <v>4</v>
      </c>
      <c r="D62" s="333">
        <v>356608.94608602801</v>
      </c>
      <c r="E62" s="333">
        <v>7</v>
      </c>
      <c r="F62" s="333">
        <v>1461648.2442143899</v>
      </c>
    </row>
    <row r="63" spans="1:6">
      <c r="A63" s="1277" t="s">
        <v>49</v>
      </c>
      <c r="B63" s="1277" t="s">
        <v>29</v>
      </c>
      <c r="C63" s="333">
        <v>82</v>
      </c>
      <c r="D63" s="333">
        <v>3757916.7631979799</v>
      </c>
      <c r="E63" s="333">
        <v>83</v>
      </c>
      <c r="F63" s="333">
        <v>1122878.37022982</v>
      </c>
    </row>
    <row r="64" spans="1:6">
      <c r="A64" s="1277" t="s">
        <v>56</v>
      </c>
      <c r="B64" s="1277" t="s">
        <v>57</v>
      </c>
      <c r="C64" s="333">
        <v>0</v>
      </c>
      <c r="D64" s="333">
        <v>0</v>
      </c>
      <c r="E64" s="333">
        <v>0</v>
      </c>
      <c r="F64" s="333">
        <v>0</v>
      </c>
    </row>
    <row r="65" spans="1:6">
      <c r="A65" s="1277" t="s">
        <v>56</v>
      </c>
      <c r="B65" s="1277" t="s">
        <v>29</v>
      </c>
      <c r="C65" s="333">
        <v>2</v>
      </c>
      <c r="D65" s="333">
        <v>25023.2682083072</v>
      </c>
      <c r="E65" s="333">
        <v>3</v>
      </c>
      <c r="F65" s="333">
        <v>3786.7727051751999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58284377</v>
      </c>
      <c r="E73" s="333">
        <v>59240431.933905996</v>
      </c>
      <c r="F73" s="333">
        <v>57796931</v>
      </c>
    </row>
    <row r="74" spans="1:6">
      <c r="A74" s="1277" t="s">
        <v>64</v>
      </c>
      <c r="B74" s="1277" t="s">
        <v>774</v>
      </c>
      <c r="C74" s="1288" t="s">
        <v>775</v>
      </c>
      <c r="D74" s="333">
        <v>728347.07515424595</v>
      </c>
      <c r="E74" s="333">
        <v>784873.73221503571</v>
      </c>
      <c r="F74" s="333">
        <v>787120.05644601677</v>
      </c>
    </row>
    <row r="75" spans="1:6">
      <c r="A75" s="1277" t="s">
        <v>65</v>
      </c>
      <c r="B75" s="1277" t="s">
        <v>772</v>
      </c>
      <c r="C75" s="1288" t="s">
        <v>776</v>
      </c>
      <c r="D75" s="333">
        <v>54506606</v>
      </c>
      <c r="E75" s="333">
        <v>55857780.414064012</v>
      </c>
      <c r="F75" s="333">
        <v>54442877</v>
      </c>
    </row>
    <row r="76" spans="1:6">
      <c r="A76" s="1277" t="s">
        <v>65</v>
      </c>
      <c r="B76" s="1277" t="s">
        <v>774</v>
      </c>
      <c r="C76" s="1288" t="s">
        <v>777</v>
      </c>
      <c r="D76" s="333">
        <v>86517.075154245947</v>
      </c>
      <c r="E76" s="333">
        <v>170205.9923094007</v>
      </c>
      <c r="F76" s="333">
        <v>144840.05644601677</v>
      </c>
    </row>
    <row r="77" spans="1:6">
      <c r="A77" s="1277" t="s">
        <v>66</v>
      </c>
      <c r="B77" s="1277" t="s">
        <v>772</v>
      </c>
      <c r="C77" s="1288" t="s">
        <v>778</v>
      </c>
      <c r="D77" s="333">
        <v>138594969</v>
      </c>
      <c r="E77" s="333">
        <v>144489834.35569435</v>
      </c>
      <c r="F77" s="333">
        <v>139041428</v>
      </c>
    </row>
    <row r="78" spans="1:6">
      <c r="A78" s="1273" t="s">
        <v>66</v>
      </c>
      <c r="B78" s="1273" t="s">
        <v>774</v>
      </c>
      <c r="C78" s="1273" t="s">
        <v>779</v>
      </c>
      <c r="D78" s="1273">
        <v>12298380</v>
      </c>
      <c r="E78" s="1273">
        <v>12677874.305459997</v>
      </c>
      <c r="F78" s="336">
        <v>12200836</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1365893.8496915081</v>
      </c>
      <c r="C83" s="333">
        <v>1257136.3092332305</v>
      </c>
      <c r="D83" s="333">
        <v>1264695.8871079665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939.39193646790648</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4567</v>
      </c>
    </row>
    <row r="98" spans="1:6">
      <c r="A98" s="1277" t="s">
        <v>72</v>
      </c>
      <c r="B98" s="333">
        <v>3</v>
      </c>
    </row>
    <row r="99" spans="1:6">
      <c r="A99" s="1277" t="s">
        <v>73</v>
      </c>
      <c r="B99" s="333">
        <v>27</v>
      </c>
    </row>
    <row r="100" spans="1:6">
      <c r="A100" s="1277" t="s">
        <v>74</v>
      </c>
      <c r="B100" s="333">
        <v>358</v>
      </c>
    </row>
    <row r="101" spans="1:6">
      <c r="A101" s="1277" t="s">
        <v>75</v>
      </c>
      <c r="B101" s="333">
        <v>36</v>
      </c>
    </row>
    <row r="102" spans="1:6">
      <c r="A102" s="1277" t="s">
        <v>76</v>
      </c>
      <c r="B102" s="333">
        <v>91</v>
      </c>
    </row>
    <row r="103" spans="1:6">
      <c r="A103" s="1277" t="s">
        <v>77</v>
      </c>
      <c r="B103" s="333">
        <v>63</v>
      </c>
    </row>
    <row r="104" spans="1:6">
      <c r="A104" s="1277" t="s">
        <v>78</v>
      </c>
      <c r="B104" s="333">
        <v>2221</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95</v>
      </c>
    </row>
    <row r="130" spans="1:6">
      <c r="A130" s="1277" t="s">
        <v>295</v>
      </c>
      <c r="B130" s="333">
        <v>2</v>
      </c>
    </row>
    <row r="131" spans="1:6">
      <c r="A131" s="1277" t="s">
        <v>296</v>
      </c>
      <c r="B131" s="333">
        <v>2</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63091.5872971481</v>
      </c>
      <c r="C3" s="43" t="s">
        <v>170</v>
      </c>
      <c r="D3" s="43"/>
      <c r="E3" s="156"/>
      <c r="F3" s="43"/>
      <c r="G3" s="43"/>
      <c r="H3" s="43"/>
      <c r="I3" s="43"/>
      <c r="J3" s="43"/>
      <c r="K3" s="96"/>
    </row>
    <row r="4" spans="1:11">
      <c r="A4" s="364" t="s">
        <v>171</v>
      </c>
      <c r="B4" s="49">
        <f>IF(ISERROR('SEAP template'!B78),0,'SEAP template'!B78)</f>
        <v>939.39193646790648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0.21770945641323575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1348.04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1348.04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0.21770945641323575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293.48105562329829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37953.669001667302</v>
      </c>
      <c r="C5" s="17">
        <f>IF(ISERROR('Eigen informatie GS &amp; warmtenet'!B57),0,'Eigen informatie GS &amp; warmtenet'!B57)</f>
        <v>0</v>
      </c>
      <c r="D5" s="30">
        <f>(SUM(HH_hh_gas_kWh,HH_rest_gas_kWh)/1000)*0.902</f>
        <v>128002.76075790278</v>
      </c>
      <c r="E5" s="17">
        <f>B46*B57</f>
        <v>1778.8035156599985</v>
      </c>
      <c r="F5" s="17">
        <f>B51*B62</f>
        <v>18506.189116492056</v>
      </c>
      <c r="G5" s="18"/>
      <c r="H5" s="17"/>
      <c r="I5" s="17"/>
      <c r="J5" s="17">
        <f>B50*B61+C50*C61</f>
        <v>0</v>
      </c>
      <c r="K5" s="17"/>
      <c r="L5" s="17"/>
      <c r="M5" s="17"/>
      <c r="N5" s="17">
        <f>B48*B59+C48*C59</f>
        <v>6862.251276292458</v>
      </c>
      <c r="O5" s="17">
        <f>B69*B70*B71</f>
        <v>157.89666666666668</v>
      </c>
      <c r="P5" s="17">
        <f>B77*B78*B79/1000-B77*B78*B79/1000/B80</f>
        <v>305.06666666666666</v>
      </c>
    </row>
    <row r="6" spans="1:16">
      <c r="A6" s="16" t="s">
        <v>632</v>
      </c>
      <c r="B6" s="779">
        <f>kWh_PV_kleiner_dan_10kW</f>
        <v>939.39193646790648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38893.060938135211</v>
      </c>
      <c r="C8" s="21">
        <f>C5</f>
        <v>0</v>
      </c>
      <c r="D8" s="21">
        <f>D5</f>
        <v>128002.76075790278</v>
      </c>
      <c r="E8" s="21">
        <f>E5</f>
        <v>1778.8035156599985</v>
      </c>
      <c r="F8" s="21">
        <f>F5</f>
        <v>18506.189116492056</v>
      </c>
      <c r="G8" s="21"/>
      <c r="H8" s="21"/>
      <c r="I8" s="21"/>
      <c r="J8" s="21">
        <f>J5</f>
        <v>0</v>
      </c>
      <c r="K8" s="21"/>
      <c r="L8" s="21">
        <f>L5</f>
        <v>0</v>
      </c>
      <c r="M8" s="21">
        <f>M5</f>
        <v>0</v>
      </c>
      <c r="N8" s="21">
        <f>N5</f>
        <v>6862.251276292458</v>
      </c>
      <c r="O8" s="21">
        <f>O5</f>
        <v>157.89666666666668</v>
      </c>
      <c r="P8" s="21">
        <f>P5</f>
        <v>305.06666666666666</v>
      </c>
    </row>
    <row r="9" spans="1:16">
      <c r="B9" s="19"/>
      <c r="C9" s="19"/>
      <c r="D9" s="260"/>
      <c r="E9" s="19"/>
      <c r="F9" s="19"/>
      <c r="G9" s="19"/>
      <c r="H9" s="19"/>
      <c r="I9" s="19"/>
      <c r="J9" s="19"/>
      <c r="K9" s="19"/>
      <c r="L9" s="19"/>
      <c r="M9" s="19"/>
      <c r="N9" s="19"/>
      <c r="O9" s="19"/>
      <c r="P9" s="19"/>
    </row>
    <row r="10" spans="1:16">
      <c r="A10" s="24" t="s">
        <v>214</v>
      </c>
      <c r="B10" s="25">
        <f ca="1">'EF ele_warmte'!B12</f>
        <v>0.21770945641323575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8467.3871550882704</v>
      </c>
      <c r="C12" s="23">
        <f ca="1">C10*C8</f>
        <v>0</v>
      </c>
      <c r="D12" s="23">
        <f>D8*D10</f>
        <v>25856.557673096362</v>
      </c>
      <c r="E12" s="23">
        <f>E10*E8</f>
        <v>403.78839805481971</v>
      </c>
      <c r="F12" s="23">
        <f>F10*F8</f>
        <v>4941.1524941033795</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4567</v>
      </c>
      <c r="C18" s="167" t="s">
        <v>111</v>
      </c>
      <c r="D18" s="229"/>
      <c r="E18" s="15"/>
    </row>
    <row r="19" spans="1:7">
      <c r="A19" s="172" t="s">
        <v>72</v>
      </c>
      <c r="B19" s="37">
        <f>aantalw2001_ander</f>
        <v>3</v>
      </c>
      <c r="C19" s="167" t="s">
        <v>111</v>
      </c>
      <c r="D19" s="230"/>
      <c r="E19" s="15"/>
    </row>
    <row r="20" spans="1:7">
      <c r="A20" s="172" t="s">
        <v>73</v>
      </c>
      <c r="B20" s="37">
        <f>aantalw2001_propaan</f>
        <v>27</v>
      </c>
      <c r="C20" s="168">
        <f>IF(ISERROR(B20/SUM($B$20,$B$21,$B$22)*100),0,B20/SUM($B$20,$B$21,$B$22)*100)</f>
        <v>6.4133016627078394</v>
      </c>
      <c r="D20" s="230"/>
      <c r="E20" s="15"/>
    </row>
    <row r="21" spans="1:7">
      <c r="A21" s="172" t="s">
        <v>74</v>
      </c>
      <c r="B21" s="37">
        <f>aantalw2001_elektriciteit</f>
        <v>358</v>
      </c>
      <c r="C21" s="168">
        <f>IF(ISERROR(B21/SUM($B$20,$B$21,$B$22)*100),0,B21/SUM($B$20,$B$21,$B$22)*100)</f>
        <v>85.035629453681707</v>
      </c>
      <c r="D21" s="230"/>
      <c r="E21" s="15"/>
    </row>
    <row r="22" spans="1:7">
      <c r="A22" s="172" t="s">
        <v>75</v>
      </c>
      <c r="B22" s="37">
        <f>aantalw2001_hout</f>
        <v>36</v>
      </c>
      <c r="C22" s="168">
        <f>IF(ISERROR(B22/SUM($B$20,$B$21,$B$22)*100),0,B22/SUM($B$20,$B$21,$B$22)*100)</f>
        <v>8.5510688836104514</v>
      </c>
      <c r="D22" s="230"/>
      <c r="E22" s="15"/>
    </row>
    <row r="23" spans="1:7">
      <c r="A23" s="172" t="s">
        <v>76</v>
      </c>
      <c r="B23" s="37">
        <f>aantalw2001_niet_gespec</f>
        <v>91</v>
      </c>
      <c r="C23" s="167" t="s">
        <v>111</v>
      </c>
      <c r="D23" s="229"/>
      <c r="E23" s="15"/>
    </row>
    <row r="24" spans="1:7">
      <c r="A24" s="172" t="s">
        <v>77</v>
      </c>
      <c r="B24" s="37">
        <f>aantalw2001_steenkool</f>
        <v>63</v>
      </c>
      <c r="C24" s="167" t="s">
        <v>111</v>
      </c>
      <c r="D24" s="230"/>
      <c r="E24" s="15"/>
    </row>
    <row r="25" spans="1:7">
      <c r="A25" s="172" t="s">
        <v>78</v>
      </c>
      <c r="B25" s="37">
        <f>aantalw2001_stookolie</f>
        <v>2221</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8309</v>
      </c>
      <c r="C28" s="36"/>
      <c r="D28" s="229"/>
    </row>
    <row r="29" spans="1:7" s="15" customFormat="1">
      <c r="A29" s="231" t="s">
        <v>713</v>
      </c>
      <c r="B29" s="37">
        <f>SUM(HH_hh_gas_aantal,HH_rest_gas_aantal)</f>
        <v>6133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6133</v>
      </c>
      <c r="C32" s="168">
        <f>IF(ISERROR(B32/SUM($B$32,$B$34,$B$35,$B$36,$B$38,$B$39)*100),0,B32/SUM($B$32,$B$34,$B$35,$B$36,$B$38,$B$39)*100)</f>
        <v>73.953937055347879</v>
      </c>
      <c r="D32" s="234"/>
      <c r="G32" s="15"/>
    </row>
    <row r="33" spans="1:7">
      <c r="A33" s="172" t="s">
        <v>72</v>
      </c>
      <c r="B33" s="34" t="s">
        <v>111</v>
      </c>
      <c r="C33" s="168"/>
      <c r="D33" s="234"/>
      <c r="G33" s="15"/>
    </row>
    <row r="34" spans="1:7">
      <c r="A34" s="172" t="s">
        <v>73</v>
      </c>
      <c r="B34" s="33">
        <f>IF((($B$28-$B$32-$B$39-$B$77-$B$38)*C20/100)&lt;0,0,($B$28-$B$32-$B$39-$B$77-$B$38)*C20/100)</f>
        <v>86.47695961995251</v>
      </c>
      <c r="C34" s="168">
        <f>IF(ISERROR(B34/SUM($B$32,$B$34,$B$35,$B$36,$B$38,$B$39)*100),0,B34/SUM($B$32,$B$34,$B$35,$B$36,$B$38,$B$39)*100)</f>
        <v>1.0427705247793624</v>
      </c>
      <c r="D34" s="234"/>
      <c r="G34" s="15"/>
    </row>
    <row r="35" spans="1:7">
      <c r="A35" s="172" t="s">
        <v>74</v>
      </c>
      <c r="B35" s="33">
        <f>IF((($B$28-$B$32-$B$39-$B$77-$B$38)*C21/100)&lt;0,0,($B$28-$B$32-$B$39-$B$77-$B$38)*C21/100)</f>
        <v>1146.6204275534442</v>
      </c>
      <c r="C35" s="168">
        <f>IF(ISERROR(B35/SUM($B$32,$B$34,$B$35,$B$36,$B$38,$B$39)*100),0,B35/SUM($B$32,$B$34,$B$35,$B$36,$B$38,$B$39)*100)</f>
        <v>13.826364735963391</v>
      </c>
      <c r="D35" s="234"/>
      <c r="G35" s="15"/>
    </row>
    <row r="36" spans="1:7">
      <c r="A36" s="172" t="s">
        <v>75</v>
      </c>
      <c r="B36" s="33">
        <f>IF((($B$28-$B$32-$B$39-$B$77-$B$38)*C22/100)&lt;0,0,($B$28-$B$32-$B$39-$B$77-$B$38)*C22/100)</f>
        <v>115.30261282660332</v>
      </c>
      <c r="C36" s="168">
        <f>IF(ISERROR(B36/SUM($B$32,$B$34,$B$35,$B$36,$B$38,$B$39)*100),0,B36/SUM($B$32,$B$34,$B$35,$B$36,$B$38,$B$39)*100)</f>
        <v>1.390360699705816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811.59999999999991</v>
      </c>
      <c r="C39" s="168">
        <f>IF(ISERROR(B39/SUM($B$32,$B$34,$B$35,$B$36,$B$38,$B$39)*100),0,B39/SUM($B$32,$B$34,$B$35,$B$36,$B$38,$B$39)*100)</f>
        <v>9.7865669842035441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6133</v>
      </c>
      <c r="C44" s="34" t="s">
        <v>111</v>
      </c>
      <c r="D44" s="175"/>
    </row>
    <row r="45" spans="1:7">
      <c r="A45" s="172" t="s">
        <v>72</v>
      </c>
      <c r="B45" s="33" t="str">
        <f t="shared" si="0"/>
        <v>-</v>
      </c>
      <c r="C45" s="34" t="s">
        <v>111</v>
      </c>
      <c r="D45" s="175"/>
    </row>
    <row r="46" spans="1:7">
      <c r="A46" s="172" t="s">
        <v>73</v>
      </c>
      <c r="B46" s="33">
        <f t="shared" si="0"/>
        <v>86.47695961995251</v>
      </c>
      <c r="C46" s="34" t="s">
        <v>111</v>
      </c>
      <c r="D46" s="175"/>
    </row>
    <row r="47" spans="1:7">
      <c r="A47" s="172" t="s">
        <v>74</v>
      </c>
      <c r="B47" s="33">
        <f t="shared" si="0"/>
        <v>1146.6204275534442</v>
      </c>
      <c r="C47" s="34" t="s">
        <v>111</v>
      </c>
      <c r="D47" s="175"/>
    </row>
    <row r="48" spans="1:7">
      <c r="A48" s="172" t="s">
        <v>75</v>
      </c>
      <c r="B48" s="33">
        <f t="shared" si="0"/>
        <v>115.30261282660332</v>
      </c>
      <c r="C48" s="33">
        <f>B48*10</f>
        <v>1153.0261282660333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811.59999999999991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101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19798.020484099528</v>
      </c>
      <c r="C5" s="17">
        <f>IF(ISERROR('Eigen informatie GS &amp; warmtenet'!B58),0,'Eigen informatie GS &amp; warmtenet'!B58)</f>
        <v>0</v>
      </c>
      <c r="D5" s="30">
        <f>SUM(D6:D12)</f>
        <v>26341.51318920407</v>
      </c>
      <c r="E5" s="17">
        <f>SUM(E6:E12)</f>
        <v>406.56220852940356</v>
      </c>
      <c r="F5" s="17">
        <f>SUM(F6:F12)</f>
        <v>4332.3194144136951</v>
      </c>
      <c r="G5" s="18"/>
      <c r="H5" s="17"/>
      <c r="I5" s="17"/>
      <c r="J5" s="17">
        <f>SUM(J6:J12)</f>
        <v>0</v>
      </c>
      <c r="K5" s="17"/>
      <c r="L5" s="17"/>
      <c r="M5" s="17"/>
      <c r="N5" s="17">
        <f>SUM(N6:N12)</f>
        <v>897.81488084270484</v>
      </c>
      <c r="O5" s="17">
        <f>B38*B39*B40</f>
        <v>3.1266666666666669</v>
      </c>
      <c r="P5" s="17">
        <f>B46*B47*B48/1000-B46*B47*B48/1000/B49</f>
        <v>38.133333333333333</v>
      </c>
      <c r="R5" s="32"/>
    </row>
    <row r="6" spans="1:18">
      <c r="A6" s="32" t="s">
        <v>54</v>
      </c>
      <c r="B6" s="37">
        <f>B26</f>
        <v>8713.7079236646914</v>
      </c>
      <c r="C6" s="33"/>
      <c r="D6" s="37">
        <f>IF(ISERROR(TER_kantoor_gas_kWh/1000),0,TER_kantoor_gas_kWh/1000)*0.902</f>
        <v>16678.908878263599</v>
      </c>
      <c r="E6" s="33">
        <f>$C$26*'E Balans VL '!I12/100/3.6*1000000</f>
        <v>305.01405484748932</v>
      </c>
      <c r="F6" s="33">
        <f>$C$26*('E Balans VL '!L12+'E Balans VL '!N12)/100/3.6*1000000</f>
        <v>1321.1852027034577</v>
      </c>
      <c r="G6" s="34"/>
      <c r="H6" s="33"/>
      <c r="I6" s="33"/>
      <c r="J6" s="33">
        <f>$C$26*('E Balans VL '!D12+'E Balans VL '!E12)/100/3.6*1000000</f>
        <v>0</v>
      </c>
      <c r="K6" s="33"/>
      <c r="L6" s="33"/>
      <c r="M6" s="33"/>
      <c r="N6" s="33">
        <f>$C$26*'E Balans VL '!Y12/100/3.6*1000000</f>
        <v>67.354234934407032</v>
      </c>
      <c r="O6" s="33"/>
      <c r="P6" s="33"/>
      <c r="R6" s="32"/>
    </row>
    <row r="7" spans="1:18">
      <c r="A7" s="32" t="s">
        <v>53</v>
      </c>
      <c r="B7" s="37">
        <f t="shared" ref="B7:B12" si="0">B27</f>
        <v>602.861184999589</v>
      </c>
      <c r="C7" s="33"/>
      <c r="D7" s="37">
        <f>IF(ISERROR(TER_horeca_gas_kWh/1000),0,TER_horeca_gas_kWh/1000)*0.902</f>
        <v>836.93488188618437</v>
      </c>
      <c r="E7" s="33">
        <f>$C$27*'E Balans VL '!I9/100/3.6*1000000</f>
        <v>34.009386935485807</v>
      </c>
      <c r="F7" s="33">
        <f>$C$27*('E Balans VL '!L9+'E Balans VL '!N9)/100/3.6*1000000</f>
        <v>105.02175470356197</v>
      </c>
      <c r="G7" s="34"/>
      <c r="H7" s="33"/>
      <c r="I7" s="33"/>
      <c r="J7" s="33">
        <f>$C$27*('E Balans VL '!D9+'E Balans VL '!E9)/100/3.6*1000000</f>
        <v>0</v>
      </c>
      <c r="K7" s="33"/>
      <c r="L7" s="33"/>
      <c r="M7" s="33"/>
      <c r="N7" s="33">
        <f>$C$27*'E Balans VL '!Y9/100/3.6*1000000</f>
        <v>0</v>
      </c>
      <c r="O7" s="33"/>
      <c r="P7" s="33"/>
      <c r="R7" s="32"/>
    </row>
    <row r="8" spans="1:18">
      <c r="A8" s="6" t="s">
        <v>52</v>
      </c>
      <c r="B8" s="37">
        <f t="shared" si="0"/>
        <v>4153.9635282650197</v>
      </c>
      <c r="C8" s="33"/>
      <c r="D8" s="37">
        <f>IF(ISERROR(TER_handel_gas_kWh/1000),0,TER_handel_gas_kWh/1000)*0.902</f>
        <v>2022.3701516782457</v>
      </c>
      <c r="E8" s="33">
        <f>$C$28*'E Balans VL '!I13/100/3.6*1000000</f>
        <v>21.326026717539094</v>
      </c>
      <c r="F8" s="33">
        <f>$C$28*('E Balans VL '!L13+'E Balans VL '!N13)/100/3.6*1000000</f>
        <v>640.47699073304295</v>
      </c>
      <c r="G8" s="34"/>
      <c r="H8" s="33"/>
      <c r="I8" s="33"/>
      <c r="J8" s="33">
        <f>$C$28*('E Balans VL '!D13+'E Balans VL '!E13)/100/3.6*1000000</f>
        <v>0</v>
      </c>
      <c r="K8" s="33"/>
      <c r="L8" s="33"/>
      <c r="M8" s="33"/>
      <c r="N8" s="33">
        <f>$C$28*'E Balans VL '!Y13/100/3.6*1000000</f>
        <v>1.9428594481196235</v>
      </c>
      <c r="O8" s="33"/>
      <c r="P8" s="33"/>
      <c r="R8" s="32"/>
    </row>
    <row r="9" spans="1:18">
      <c r="A9" s="32" t="s">
        <v>51</v>
      </c>
      <c r="B9" s="37">
        <f t="shared" si="0"/>
        <v>316.94423493578796</v>
      </c>
      <c r="C9" s="33"/>
      <c r="D9" s="37">
        <f>IF(ISERROR(TER_gezond_gas_kWh/1000),0,TER_gezond_gas_kWh/1000)*0.902</f>
        <v>586.34214858533733</v>
      </c>
      <c r="E9" s="33">
        <f>$C$29*'E Balans VL '!I10/100/3.6*1000000</f>
        <v>0.13137112818494034</v>
      </c>
      <c r="F9" s="33">
        <f>$C$29*('E Balans VL '!L10+'E Balans VL '!N10)/100/3.6*1000000</f>
        <v>78.058819478008303</v>
      </c>
      <c r="G9" s="34"/>
      <c r="H9" s="33"/>
      <c r="I9" s="33"/>
      <c r="J9" s="33">
        <f>$C$29*('E Balans VL '!D10+'E Balans VL '!E10)/100/3.6*1000000</f>
        <v>0</v>
      </c>
      <c r="K9" s="33"/>
      <c r="L9" s="33"/>
      <c r="M9" s="33"/>
      <c r="N9" s="33">
        <f>$C$29*'E Balans VL '!Y10/100/3.6*1000000</f>
        <v>2.739182666482054</v>
      </c>
      <c r="O9" s="33"/>
      <c r="P9" s="33"/>
      <c r="R9" s="32"/>
    </row>
    <row r="10" spans="1:18">
      <c r="A10" s="32" t="s">
        <v>50</v>
      </c>
      <c r="B10" s="37">
        <f t="shared" si="0"/>
        <v>3426.0169977902301</v>
      </c>
      <c r="C10" s="33"/>
      <c r="D10" s="37">
        <f>IF(ISERROR(TER_ander_gas_kWh/1000),0,TER_ander_gas_kWh/1000)*0.902</f>
        <v>2505.6549390165296</v>
      </c>
      <c r="E10" s="33">
        <f>$C$30*'E Balans VL '!I14/100/3.6*1000000</f>
        <v>20.885084147610094</v>
      </c>
      <c r="F10" s="33">
        <f>$C$30*('E Balans VL '!L14+'E Balans VL '!N14)/100/3.6*1000000</f>
        <v>908.28403722343273</v>
      </c>
      <c r="G10" s="34"/>
      <c r="H10" s="33"/>
      <c r="I10" s="33"/>
      <c r="J10" s="33">
        <f>$C$30*('E Balans VL '!D14+'E Balans VL '!E14)/100/3.6*1000000</f>
        <v>0</v>
      </c>
      <c r="K10" s="33"/>
      <c r="L10" s="33"/>
      <c r="M10" s="33"/>
      <c r="N10" s="33">
        <f>$C$30*'E Balans VL '!Y14/100/3.6*1000000</f>
        <v>789.62288721230334</v>
      </c>
      <c r="O10" s="33"/>
      <c r="P10" s="33"/>
      <c r="R10" s="32"/>
    </row>
    <row r="11" spans="1:18">
      <c r="A11" s="32" t="s">
        <v>55</v>
      </c>
      <c r="B11" s="37">
        <f t="shared" si="0"/>
        <v>1461.6482442143899</v>
      </c>
      <c r="C11" s="33"/>
      <c r="D11" s="37">
        <f>IF(ISERROR(TER_onderwijs_gas_kWh/1000),0,TER_onderwijs_gas_kWh/1000)*0.902</f>
        <v>321.66126936959728</v>
      </c>
      <c r="E11" s="33">
        <f>$C$31*'E Balans VL '!I11/100/3.6*1000000</f>
        <v>1.1138520709194808</v>
      </c>
      <c r="F11" s="33">
        <f>$C$31*('E Balans VL '!L11+'E Balans VL '!N11)/100/3.6*1000000</f>
        <v>1057.7287711701715</v>
      </c>
      <c r="G11" s="34"/>
      <c r="H11" s="33"/>
      <c r="I11" s="33"/>
      <c r="J11" s="33">
        <f>$C$31*('E Balans VL '!D11+'E Balans VL '!E11)/100/3.6*1000000</f>
        <v>0</v>
      </c>
      <c r="K11" s="33"/>
      <c r="L11" s="33"/>
      <c r="M11" s="33"/>
      <c r="N11" s="33">
        <f>$C$31*'E Balans VL '!Y11/100/3.6*1000000</f>
        <v>4.307826703264741</v>
      </c>
      <c r="O11" s="33"/>
      <c r="P11" s="33"/>
      <c r="R11" s="32"/>
    </row>
    <row r="12" spans="1:18">
      <c r="A12" s="32" t="s">
        <v>260</v>
      </c>
      <c r="B12" s="37">
        <f t="shared" si="0"/>
        <v>1122.8783702298201</v>
      </c>
      <c r="C12" s="33"/>
      <c r="D12" s="37">
        <f>IF(ISERROR(TER_rest_gas_kWh/1000),0,TER_rest_gas_kWh/1000)*0.902</f>
        <v>3389.6409204045781</v>
      </c>
      <c r="E12" s="33">
        <f>$C$32*'E Balans VL '!I8/100/3.6*1000000</f>
        <v>24.082432682174844</v>
      </c>
      <c r="F12" s="33">
        <f>$C$32*('E Balans VL '!L8+'E Balans VL '!N8)/100/3.6*1000000</f>
        <v>221.56383840201985</v>
      </c>
      <c r="G12" s="34"/>
      <c r="H12" s="33"/>
      <c r="I12" s="33"/>
      <c r="J12" s="33">
        <f>$C$32*('E Balans VL '!D8+'E Balans VL '!E8)/100/3.6*1000000</f>
        <v>0</v>
      </c>
      <c r="K12" s="33"/>
      <c r="L12" s="33"/>
      <c r="M12" s="33"/>
      <c r="N12" s="33">
        <f>$C$32*'E Balans VL '!Y8/100/3.6*1000000</f>
        <v>31.847889878128068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19798.020484099528</v>
      </c>
      <c r="C16" s="21">
        <f ca="1">C5+C13+C14</f>
        <v>0</v>
      </c>
      <c r="D16" s="21">
        <f t="shared" ref="D16:N16" ca="1" si="1">MAX((D5+D13+D14),0)</f>
        <v>26341.51318920407</v>
      </c>
      <c r="E16" s="21">
        <f t="shared" si="1"/>
        <v>406.56220852940356</v>
      </c>
      <c r="F16" s="21">
        <f t="shared" ca="1" si="1"/>
        <v>4332.3194144136951</v>
      </c>
      <c r="G16" s="21">
        <f t="shared" si="1"/>
        <v>0</v>
      </c>
      <c r="H16" s="21">
        <f t="shared" si="1"/>
        <v>0</v>
      </c>
      <c r="I16" s="21">
        <f t="shared" si="1"/>
        <v>0</v>
      </c>
      <c r="J16" s="21">
        <f t="shared" si="1"/>
        <v>0</v>
      </c>
      <c r="K16" s="21">
        <f t="shared" si="1"/>
        <v>0</v>
      </c>
      <c r="L16" s="21">
        <f t="shared" ca="1" si="1"/>
        <v>0</v>
      </c>
      <c r="M16" s="21">
        <f t="shared" si="1"/>
        <v>0</v>
      </c>
      <c r="N16" s="21">
        <f t="shared" ca="1" si="1"/>
        <v>897.81488084270484</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0.21770945641323575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4310.2162776514151</v>
      </c>
      <c r="C20" s="23">
        <f t="shared" ref="C20:P20" ca="1" si="2">C16*C18</f>
        <v>0</v>
      </c>
      <c r="D20" s="23">
        <f t="shared" ca="1" si="2"/>
        <v>5320.9856642192226</v>
      </c>
      <c r="E20" s="23">
        <f t="shared" si="2"/>
        <v>92.289621336174605</v>
      </c>
      <c r="F20" s="23">
        <f t="shared" ca="1" si="2"/>
        <v>1156.7292836484567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8713.7079236646914</v>
      </c>
      <c r="C26" s="39">
        <f>IF(ISERROR(B26*3.6/1000000/'E Balans VL '!Z12*100),0,B26*3.6/1000000/'E Balans VL '!Z12*100)</f>
        <v>0.18336553265666333</v>
      </c>
      <c r="D26" s="238" t="s">
        <v>719</v>
      </c>
      <c r="F26" s="6"/>
    </row>
    <row r="27" spans="1:18">
      <c r="A27" s="232" t="s">
        <v>53</v>
      </c>
      <c r="B27" s="33">
        <f>IF(ISERROR(TER_horeca_ele_kWh/1000),0,TER_horeca_ele_kWh/1000)</f>
        <v>602.861184999589</v>
      </c>
      <c r="C27" s="39">
        <f>IF(ISERROR(B27*3.6/1000000/'E Balans VL '!Z9*100),0,B27*3.6/1000000/'E Balans VL '!Z9*100)</f>
        <v>5.1042562509673081E-2</v>
      </c>
      <c r="D27" s="238" t="s">
        <v>719</v>
      </c>
      <c r="F27" s="6"/>
    </row>
    <row r="28" spans="1:18">
      <c r="A28" s="172" t="s">
        <v>52</v>
      </c>
      <c r="B28" s="33">
        <f>IF(ISERROR(TER_handel_ele_kWh/1000),0,TER_handel_ele_kWh/1000)</f>
        <v>4153.9635282650197</v>
      </c>
      <c r="C28" s="39">
        <f>IF(ISERROR(B28*3.6/1000000/'E Balans VL '!Z13*100),0,B28*3.6/1000000/'E Balans VL '!Z13*100)</f>
        <v>0.11500190587390448</v>
      </c>
      <c r="D28" s="238" t="s">
        <v>719</v>
      </c>
      <c r="F28" s="6"/>
    </row>
    <row r="29" spans="1:18">
      <c r="A29" s="232" t="s">
        <v>51</v>
      </c>
      <c r="B29" s="33">
        <f>IF(ISERROR(TER_gezond_ele_kWh/1000),0,TER_gezond_ele_kWh/1000)</f>
        <v>316.94423493578796</v>
      </c>
      <c r="C29" s="39">
        <f>IF(ISERROR(B29*3.6/1000000/'E Balans VL '!Z10*100),0,B29*3.6/1000000/'E Balans VL '!Z10*100)</f>
        <v>4.1199236805142619E-2</v>
      </c>
      <c r="D29" s="238" t="s">
        <v>719</v>
      </c>
      <c r="F29" s="6"/>
    </row>
    <row r="30" spans="1:18">
      <c r="A30" s="232" t="s">
        <v>50</v>
      </c>
      <c r="B30" s="33">
        <f>IF(ISERROR(TER_ander_ele_kWh/1000),0,TER_ander_ele_kWh/1000)</f>
        <v>3426.0169977902301</v>
      </c>
      <c r="C30" s="39">
        <f>IF(ISERROR(B30*3.6/1000000/'E Balans VL '!Z14*100),0,B30*3.6/1000000/'E Balans VL '!Z14*100)</f>
        <v>0.26554773630474016</v>
      </c>
      <c r="D30" s="238" t="s">
        <v>719</v>
      </c>
      <c r="F30" s="6"/>
    </row>
    <row r="31" spans="1:18">
      <c r="A31" s="232" t="s">
        <v>55</v>
      </c>
      <c r="B31" s="33">
        <f>IF(ISERROR(TER_onderwijs_ele_kWh/1000),0,TER_onderwijs_ele_kWh/1000)</f>
        <v>1461.6482442143899</v>
      </c>
      <c r="C31" s="39">
        <f>IF(ISERROR(B31*3.6/1000000/'E Balans VL '!Z11*100),0,B31*3.6/1000000/'E Balans VL '!Z11*100)</f>
        <v>0.2796382150772308</v>
      </c>
      <c r="D31" s="238" t="s">
        <v>719</v>
      </c>
    </row>
    <row r="32" spans="1:18">
      <c r="A32" s="232" t="s">
        <v>260</v>
      </c>
      <c r="B32" s="33">
        <f>IF(ISERROR(TER_rest_ele_kWh/1000),0,TER_rest_ele_kWh/1000)</f>
        <v>1122.8783702298201</v>
      </c>
      <c r="C32" s="39">
        <f>IF(ISERROR(B32*3.6/1000000/'E Balans VL '!Z8*100),0,B32*3.6/1000000/'E Balans VL '!Z8*100)</f>
        <v>9.2589944383209954E-3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1133.4363889966419</v>
      </c>
      <c r="C5" s="17">
        <f>IF(ISERROR('Eigen informatie GS &amp; warmtenet'!B59),0,'Eigen informatie GS &amp; warmtenet'!B59)</f>
        <v>0</v>
      </c>
      <c r="D5" s="30">
        <f>SUM(D6:D15)</f>
        <v>1949.2883140758279</v>
      </c>
      <c r="E5" s="17">
        <f>SUM(E6:E15)</f>
        <v>12.954848454679865</v>
      </c>
      <c r="F5" s="17">
        <f>SUM(F6:F15)</f>
        <v>379.25280167687976</v>
      </c>
      <c r="G5" s="18"/>
      <c r="H5" s="17"/>
      <c r="I5" s="17"/>
      <c r="J5" s="17">
        <f>SUM(J6:J15)</f>
        <v>4.2292238940453526</v>
      </c>
      <c r="K5" s="17"/>
      <c r="L5" s="17"/>
      <c r="M5" s="17"/>
      <c r="N5" s="17">
        <f>SUM(N6:N15)</f>
        <v>34.967135191393723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295.54044585007705</v>
      </c>
      <c r="C9" s="33"/>
      <c r="D9" s="37">
        <f>IF( ISERROR(IND_andere_gas_kWh/1000),0,IND_andere_gas_kWh/1000)*0.902</f>
        <v>800.96886290189263</v>
      </c>
      <c r="E9" s="33">
        <f>C31*'E Balans VL '!I19/100/3.6*1000000</f>
        <v>4.9639638366577774</v>
      </c>
      <c r="F9" s="33">
        <f>C31*'E Balans VL '!L19/100/3.6*1000000+C31*'E Balans VL '!N19/100/3.6*1000000</f>
        <v>231.03668783865348</v>
      </c>
      <c r="G9" s="34"/>
      <c r="H9" s="33"/>
      <c r="I9" s="33"/>
      <c r="J9" s="40">
        <f>C31*'E Balans VL '!D19/100/3.6*1000000+C31*'E Balans VL '!E19/100/3.6*1000000</f>
        <v>2.6655139366403853E-2</v>
      </c>
      <c r="K9" s="33"/>
      <c r="L9" s="33"/>
      <c r="M9" s="33"/>
      <c r="N9" s="33">
        <f>C31*'E Balans VL '!Y19/100/3.6*1000000</f>
        <v>21.90428856651311</v>
      </c>
      <c r="O9" s="33"/>
      <c r="P9" s="33"/>
      <c r="R9" s="32"/>
    </row>
    <row r="10" spans="1:18">
      <c r="A10" s="6" t="s">
        <v>41</v>
      </c>
      <c r="B10" s="37">
        <f t="shared" si="0"/>
        <v>505.55562153116898</v>
      </c>
      <c r="C10" s="33"/>
      <c r="D10" s="37">
        <f>IF( ISERROR(IND_voed_gas_kWh/1000),0,IND_voed_gas_kWh/1000)*0.902</f>
        <v>803.37977043063927</v>
      </c>
      <c r="E10" s="33">
        <f>C32*'E Balans VL '!I20/100/3.6*1000000</f>
        <v>4.6124794072219597</v>
      </c>
      <c r="F10" s="33">
        <f>C32*'E Balans VL '!L20/100/3.6*1000000+C32*'E Balans VL '!N20/100/3.6*1000000</f>
        <v>81.561934607418607</v>
      </c>
      <c r="G10" s="34"/>
      <c r="H10" s="33"/>
      <c r="I10" s="33"/>
      <c r="J10" s="40">
        <f>C32*'E Balans VL '!D20/100/3.6*1000000+C32*'E Balans VL '!E20/100/3.6*1000000</f>
        <v>2.0822095077750959</v>
      </c>
      <c r="K10" s="33"/>
      <c r="L10" s="33"/>
      <c r="M10" s="33"/>
      <c r="N10" s="33">
        <f>C32*'E Balans VL '!Y20/100/3.6*1000000</f>
        <v>7.3958801012051172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17.436366391763897</v>
      </c>
      <c r="C13" s="33"/>
      <c r="D13" s="37">
        <f>IF( ISERROR(IND_papier_gas_kWh/1000),0,IND_papier_gas_kWh/1000)*0.902</f>
        <v>0</v>
      </c>
      <c r="E13" s="33">
        <f>C35*'E Balans VL '!I23/100/3.6*1000000</f>
        <v>0.53647148901106978</v>
      </c>
      <c r="F13" s="33">
        <f>C35*'E Balans VL '!L23/100/3.6*1000000+C35*'E Balans VL '!N23/100/3.6*1000000</f>
        <v>3.7023499499741286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314.90395522363201</v>
      </c>
      <c r="C15" s="33"/>
      <c r="D15" s="37">
        <f>IF( ISERROR(IND_rest_gas_kWh/1000),0,IND_rest_gas_kWh/1000)*0.902</f>
        <v>344.93968074329609</v>
      </c>
      <c r="E15" s="33">
        <f>C37*'E Balans VL '!I15/100/3.6*1000000</f>
        <v>2.8419337217890579</v>
      </c>
      <c r="F15" s="33">
        <f>C37*'E Balans VL '!L15/100/3.6*1000000+C37*'E Balans VL '!N15/100/3.6*1000000</f>
        <v>62.951829280833515</v>
      </c>
      <c r="G15" s="34"/>
      <c r="H15" s="33"/>
      <c r="I15" s="33"/>
      <c r="J15" s="40">
        <f>C37*'E Balans VL '!D15/100/3.6*1000000+C37*'E Balans VL '!E15/100/3.6*1000000</f>
        <v>2.1203592469038526</v>
      </c>
      <c r="K15" s="33"/>
      <c r="L15" s="33"/>
      <c r="M15" s="33"/>
      <c r="N15" s="33">
        <f>C37*'E Balans VL '!Y15/100/3.6*1000000</f>
        <v>5.6669665236755016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1133.4363889966419</v>
      </c>
      <c r="C18" s="21">
        <f>C5+C16</f>
        <v>0</v>
      </c>
      <c r="D18" s="21">
        <f>MAX((D5+D16),0)</f>
        <v>1949.2883140758279</v>
      </c>
      <c r="E18" s="21">
        <f>MAX((E5+E16),0)</f>
        <v>12.954848454679865</v>
      </c>
      <c r="F18" s="21">
        <f>MAX((F5+F16),0)</f>
        <v>379.25280167687976</v>
      </c>
      <c r="G18" s="21"/>
      <c r="H18" s="21"/>
      <c r="I18" s="21"/>
      <c r="J18" s="21">
        <f>MAX((J5+J16),0)</f>
        <v>4.2292238940453526</v>
      </c>
      <c r="K18" s="21"/>
      <c r="L18" s="21">
        <f>MAX((L5+L16),0)</f>
        <v>0</v>
      </c>
      <c r="M18" s="21"/>
      <c r="N18" s="21">
        <f>MAX((N5+N16),0)</f>
        <v>34.967135191393723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0.21770945641323575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246.75982012743972</v>
      </c>
      <c r="C22" s="23">
        <f ca="1">C18*C20</f>
        <v>0</v>
      </c>
      <c r="D22" s="23">
        <f>D18*D20</f>
        <v>393.75623944331727</v>
      </c>
      <c r="E22" s="23">
        <f>E18*E20</f>
        <v>2.9407505992123295</v>
      </c>
      <c r="F22" s="23">
        <f>F18*F20</f>
        <v>101.2604980477269</v>
      </c>
      <c r="G22" s="23"/>
      <c r="H22" s="23"/>
      <c r="I22" s="23"/>
      <c r="J22" s="23">
        <f>J18*J20</f>
        <v>1.4971452584920548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295.54044585007705</v>
      </c>
      <c r="C31" s="39">
        <f>IF(ISERROR(B31*3.6/1000000/'E Balans VL '!Z19*100),0,B31*3.6/1000000/'E Balans VL '!Z19*100)</f>
        <v>1.3100136753454455E-2</v>
      </c>
      <c r="D31" s="238" t="s">
        <v>719</v>
      </c>
    </row>
    <row r="32" spans="1:18">
      <c r="A32" s="172" t="s">
        <v>41</v>
      </c>
      <c r="B32" s="37">
        <f>IF( ISERROR(IND_voed_ele_kWh/1000),0,IND_voed_ele_kWh/1000)</f>
        <v>505.55562153116898</v>
      </c>
      <c r="C32" s="39">
        <f>IF(ISERROR(B32*3.6/1000000/'E Balans VL '!Z20*100),0,B32*3.6/1000000/'E Balans VL '!Z20*100)</f>
        <v>1.6887008010520007E-2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17.436366391763897</v>
      </c>
      <c r="C35" s="39">
        <f>IF(ISERROR(B35*3.6/1000000/'E Balans VL '!Z22*100),0,B35*3.6/1000000/'E Balans VL '!Z22*100)</f>
        <v>3.391181735600352E-3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314.90395522363201</v>
      </c>
      <c r="C37" s="39">
        <f>IF(ISERROR(B37*3.6/1000000/'E Balans VL '!Z15*100),0,B37*3.6/1000000/'E Balans VL '!Z15*100)</f>
        <v>2.3423724044372121E-3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234.99656241666889</v>
      </c>
      <c r="C5" s="17">
        <f>'Eigen informatie GS &amp; warmtenet'!B60</f>
        <v>0</v>
      </c>
      <c r="D5" s="30">
        <f>IF(ISERROR(SUM(LB_lb_gas_kWh,LB_rest_gas_kWh)/1000),0,SUM(LB_lb_gas_kWh,LB_rest_gas_kWh)/1000)*0.902</f>
        <v>266.49286545218979</v>
      </c>
      <c r="E5" s="17">
        <f>B17*'E Balans VL '!I25/3.6*1000000/100</f>
        <v>2.4609348763084626</v>
      </c>
      <c r="F5" s="17">
        <f>B17*('E Balans VL '!L25/3.6*1000000+'E Balans VL '!N25/3.6*1000000)/100</f>
        <v>1005.9638466084448</v>
      </c>
      <c r="G5" s="18"/>
      <c r="H5" s="17"/>
      <c r="I5" s="17"/>
      <c r="J5" s="17">
        <f>('E Balans VL '!D25+'E Balans VL '!E25)/3.6*1000000*landbouw!B17/100</f>
        <v>20.987299333930409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234.99656241666889</v>
      </c>
      <c r="C8" s="21">
        <f>C5+C6</f>
        <v>0</v>
      </c>
      <c r="D8" s="21">
        <f>MAX((D5+D6),0)</f>
        <v>266.49286545218979</v>
      </c>
      <c r="E8" s="21">
        <f>MAX((E5+E6),0)</f>
        <v>2.4609348763084626</v>
      </c>
      <c r="F8" s="21">
        <f>MAX((F5+F6),0)</f>
        <v>1005.9638466084448</v>
      </c>
      <c r="G8" s="21"/>
      <c r="H8" s="21"/>
      <c r="I8" s="21"/>
      <c r="J8" s="21">
        <f>MAX((J5+J6),0)</f>
        <v>20.987299333930409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0.21770945641323575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51.160973862712012</v>
      </c>
      <c r="C12" s="23">
        <f ca="1">C8*C10</f>
        <v>0</v>
      </c>
      <c r="D12" s="23">
        <f>D8*D10</f>
        <v>53.831558821342341</v>
      </c>
      <c r="E12" s="23">
        <f>E8*E10</f>
        <v>0.55863221692202103</v>
      </c>
      <c r="F12" s="23">
        <f>F8*F10</f>
        <v>268.59234704445475</v>
      </c>
      <c r="G12" s="23"/>
      <c r="H12" s="23"/>
      <c r="I12" s="23"/>
      <c r="J12" s="23">
        <f>J8*J10</f>
        <v>7.4295039642113645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3.6170507227875959E-2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32.047631923101783</v>
      </c>
      <c r="C26" s="248">
        <f>B26*'GWP N2O_CH4'!B5</f>
        <v>673.00027038513747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4.360938339781927</v>
      </c>
      <c r="C27" s="248">
        <f>B27*'GWP N2O_CH4'!B5</f>
        <v>91.579705135420468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0.53263519300160633</v>
      </c>
      <c r="C28" s="248">
        <f>B28*'GWP N2O_CH4'!B4</f>
        <v>165.11690983049797</v>
      </c>
      <c r="D28" s="50"/>
    </row>
    <row r="29" spans="1:4">
      <c r="A29" s="41" t="s">
        <v>277</v>
      </c>
      <c r="B29" s="248">
        <f>B34*'ha_N2O bodem landbouw'!B4</f>
        <v>6.7298026496250083</v>
      </c>
      <c r="C29" s="248">
        <f>B29*'GWP N2O_CH4'!B4</f>
        <v>2086.2388213837526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1.1121882750376182E-3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7.2254612133128469E-6</v>
      </c>
      <c r="C5" s="446" t="s">
        <v>211</v>
      </c>
      <c r="D5" s="431">
        <f>SUM(D6:D11)</f>
        <v>3.7130182522544589E-5</v>
      </c>
      <c r="E5" s="431">
        <f>SUM(E6:E11)</f>
        <v>4.2199641508320982E-3</v>
      </c>
      <c r="F5" s="444" t="s">
        <v>211</v>
      </c>
      <c r="G5" s="431">
        <f>SUM(G6:G11)</f>
        <v>0.60765367876242438</v>
      </c>
      <c r="H5" s="431">
        <f>SUM(H6:H11)</f>
        <v>0.12660123481148214</v>
      </c>
      <c r="I5" s="446" t="s">
        <v>211</v>
      </c>
      <c r="J5" s="446" t="s">
        <v>211</v>
      </c>
      <c r="K5" s="446" t="s">
        <v>211</v>
      </c>
      <c r="L5" s="446" t="s">
        <v>211</v>
      </c>
      <c r="M5" s="431">
        <f>SUM(M6:M11)</f>
        <v>3.2097103381249235E-2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1.6752388190554234E-6</v>
      </c>
      <c r="C6" s="432"/>
      <c r="D6" s="432">
        <f>vkm_2011_GW_PW*SUMIFS(TableVerdeelsleutelVkm[CNG],TableVerdeelsleutelVkm[Voertuigtype],"Lichte voertuigen")*SUMIFS(TableECFTransport[EnergieConsumptieFactor (PJ per km)],TableECFTransport[Index],CONCATENATE($A6,"_CNG_CNG"))</f>
        <v>7.221759819402605E-6</v>
      </c>
      <c r="E6" s="434">
        <f>vkm_2011_GW_PW*SUMIFS(TableVerdeelsleutelVkm[LPG],TableVerdeelsleutelVkm[Voertuigtype],"Lichte voertuigen")*SUMIFS(TableECFTransport[EnergieConsumptieFactor (PJ per km)],TableECFTransport[Index],CONCATENATE($A6,"_LPG_LPG"))</f>
        <v>7.5137979742061027E-4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9.2421777829828702E-2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2.433273884423684E-2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5.116742663261036E-3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6.8112937267626851E-3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2.3354982304010676E-6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2.9423512684479742E-4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1.5666562287550791E-6</v>
      </c>
      <c r="C8" s="432"/>
      <c r="D8" s="434">
        <f>vkm_2011_NGW_PW*SUMIFS(TableVerdeelsleutelVkm[CNG],TableVerdeelsleutelVkm[Voertuigtype],"Lichte voertuigen")*SUMIFS(TableECFTransport[EnergieConsumptieFactor (PJ per km)],TableECFTransport[Index],CONCATENATE($A8,"_CNG_CNG"))</f>
        <v>1.2116253671477992E-5</v>
      </c>
      <c r="E8" s="434">
        <f>vkm_2011_NGW_PW*SUMIFS(TableVerdeelsleutelVkm[LPG],TableVerdeelsleutelVkm[Voertuigtype],"Lichte voertuigen")*SUMIFS(TableECFTransport[EnergieConsumptieFactor (PJ per km)],TableECFTransport[Index],CONCATENATE($A8,"_LPG_LPG"))</f>
        <v>1.1510412494798198E-3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0.13428657633962474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3.8969360256936057E-2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7.6017268988091431E-3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1.1242471988783694E-3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3.3488370535898462E-7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4.8563031258966189E-5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3.9835661655023442E-6</v>
      </c>
      <c r="C10" s="432"/>
      <c r="D10" s="434">
        <f>vkm_2011_SW_PW*SUMIFS(TableVerdeelsleutelVkm[CNG],TableVerdeelsleutelVkm[Voertuigtype],"Lichte voertuigen")*SUMIFS(TableECFTransport[EnergieConsumptieFactor (PJ per km)],TableECFTransport[Index],CONCATENATE($A10,"_CNG_CNG"))</f>
        <v>1.7792169031663993E-5</v>
      </c>
      <c r="E10" s="434">
        <f>vkm_2011_SW_PW*SUMIFS(TableVerdeelsleutelVkm[LPG],TableVerdeelsleutelVkm[Voertuigtype],"Lichte voertuigen")*SUMIFS(TableECFTransport[EnergieConsumptieFactor (PJ per km)],TableECFTransport[Index],CONCATENATE($A10,"_LPG_LPG"))</f>
        <v>2.3175431039316676E-3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0.2620710197710151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6.3255878871234419E-2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1.4243371081989902E-2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0.11093876389631478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4.0586457139046832E-5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4.7924645790853888E-3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2.0070725592535683</v>
      </c>
      <c r="C14" s="21"/>
      <c r="D14" s="21">
        <f t="shared" ref="D14:M14" si="0">((D5)*10^9/3600)+D12</f>
        <v>10.313939589595719</v>
      </c>
      <c r="E14" s="21">
        <f t="shared" si="0"/>
        <v>1172.2122641200272</v>
      </c>
      <c r="F14" s="21"/>
      <c r="G14" s="21">
        <f t="shared" si="0"/>
        <v>168792.68854511788</v>
      </c>
      <c r="H14" s="21">
        <f t="shared" si="0"/>
        <v>35167.009669856147</v>
      </c>
      <c r="I14" s="21"/>
      <c r="J14" s="21"/>
      <c r="K14" s="21"/>
      <c r="L14" s="21"/>
      <c r="M14" s="21">
        <f t="shared" si="0"/>
        <v>8915.8620503470102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0.21770945641323575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0.43695867585701625</v>
      </c>
      <c r="C18" s="23"/>
      <c r="D18" s="23">
        <f t="shared" ref="D18:M18" si="1">D14*D16</f>
        <v>2.0834157970983354</v>
      </c>
      <c r="E18" s="23">
        <f t="shared" si="1"/>
        <v>266.09218395524618</v>
      </c>
      <c r="F18" s="23"/>
      <c r="G18" s="23">
        <f t="shared" si="1"/>
        <v>45067.647841546474</v>
      </c>
      <c r="H18" s="23">
        <f t="shared" si="1"/>
        <v>8756.5854077941804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1.7934711925723539E-2</v>
      </c>
      <c r="H50" s="322">
        <f t="shared" si="2"/>
        <v>0</v>
      </c>
      <c r="I50" s="322">
        <f t="shared" si="2"/>
        <v>0</v>
      </c>
      <c r="J50" s="322">
        <f t="shared" si="2"/>
        <v>0</v>
      </c>
      <c r="K50" s="322">
        <f t="shared" si="2"/>
        <v>0</v>
      </c>
      <c r="L50" s="322">
        <f t="shared" si="2"/>
        <v>0</v>
      </c>
      <c r="M50" s="322">
        <f t="shared" si="2"/>
        <v>7.64478852457901E-4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1.7934711925723539E-2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7.64478852457901E-4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4981.8644238120942</v>
      </c>
      <c r="H54" s="21">
        <f t="shared" si="3"/>
        <v>0</v>
      </c>
      <c r="I54" s="21">
        <f t="shared" si="3"/>
        <v>0</v>
      </c>
      <c r="J54" s="21">
        <f t="shared" si="3"/>
        <v>0</v>
      </c>
      <c r="K54" s="21">
        <f t="shared" si="3"/>
        <v>0</v>
      </c>
      <c r="L54" s="21">
        <f t="shared" si="3"/>
        <v>0</v>
      </c>
      <c r="M54" s="21">
        <f t="shared" si="3"/>
        <v>212.35523679386139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0.21770945641323575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1330.1578011578292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21146.060484099529</v>
      </c>
      <c r="D10" s="687">
        <f ca="1">tertiair!C16</f>
        <v>0</v>
      </c>
      <c r="E10" s="687">
        <f ca="1">tertiair!D16</f>
        <v>26341.51318920407</v>
      </c>
      <c r="F10" s="687">
        <f>tertiair!E16</f>
        <v>406.56220852940356</v>
      </c>
      <c r="G10" s="687">
        <f ca="1">tertiair!F16</f>
        <v>4332.3194144136951</v>
      </c>
      <c r="H10" s="687">
        <f>tertiair!G16</f>
        <v>0</v>
      </c>
      <c r="I10" s="687">
        <f>tertiair!H16</f>
        <v>0</v>
      </c>
      <c r="J10" s="687">
        <f>tertiair!I16</f>
        <v>0</v>
      </c>
      <c r="K10" s="687">
        <f>tertiair!J16</f>
        <v>0</v>
      </c>
      <c r="L10" s="687">
        <f>tertiair!K16</f>
        <v>0</v>
      </c>
      <c r="M10" s="687">
        <f ca="1">tertiair!L16</f>
        <v>0</v>
      </c>
      <c r="N10" s="687">
        <f>tertiair!M16</f>
        <v>0</v>
      </c>
      <c r="O10" s="687">
        <f ca="1">tertiair!N16</f>
        <v>897.81488084270484</v>
      </c>
      <c r="P10" s="687">
        <f>tertiair!O16</f>
        <v>3.1266666666666669</v>
      </c>
      <c r="Q10" s="688">
        <f>tertiair!P16</f>
        <v>38.133333333333333</v>
      </c>
      <c r="R10" s="690">
        <f ca="1">SUM(C10:Q10)</f>
        <v>53165.5301770894</v>
      </c>
      <c r="S10" s="67"/>
    </row>
    <row r="11" spans="1:19" s="456" customFormat="1">
      <c r="A11" s="802" t="s">
        <v>225</v>
      </c>
      <c r="B11" s="807"/>
      <c r="C11" s="687">
        <f>huishoudens!B8</f>
        <v>38893.060938135211</v>
      </c>
      <c r="D11" s="687">
        <f>huishoudens!C8</f>
        <v>0</v>
      </c>
      <c r="E11" s="687">
        <f>huishoudens!D8</f>
        <v>128002.76075790278</v>
      </c>
      <c r="F11" s="687">
        <f>huishoudens!E8</f>
        <v>1778.8035156599985</v>
      </c>
      <c r="G11" s="687">
        <f>huishoudens!F8</f>
        <v>18506.189116492056</v>
      </c>
      <c r="H11" s="687">
        <f>huishoudens!G8</f>
        <v>0</v>
      </c>
      <c r="I11" s="687">
        <f>huishoudens!H8</f>
        <v>0</v>
      </c>
      <c r="J11" s="687">
        <f>huishoudens!I8</f>
        <v>0</v>
      </c>
      <c r="K11" s="687">
        <f>huishoudens!J8</f>
        <v>0</v>
      </c>
      <c r="L11" s="687">
        <f>huishoudens!K8</f>
        <v>0</v>
      </c>
      <c r="M11" s="687">
        <f>huishoudens!L8</f>
        <v>0</v>
      </c>
      <c r="N11" s="687">
        <f>huishoudens!M8</f>
        <v>0</v>
      </c>
      <c r="O11" s="687">
        <f>huishoudens!N8</f>
        <v>6862.251276292458</v>
      </c>
      <c r="P11" s="687">
        <f>huishoudens!O8</f>
        <v>157.89666666666668</v>
      </c>
      <c r="Q11" s="688">
        <f>huishoudens!P8</f>
        <v>305.06666666666666</v>
      </c>
      <c r="R11" s="690">
        <f>SUM(C11:Q11)</f>
        <v>194506.02893781586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1133.4363889966419</v>
      </c>
      <c r="D13" s="687">
        <f>industrie!C18</f>
        <v>0</v>
      </c>
      <c r="E13" s="687">
        <f>industrie!D18</f>
        <v>1949.2883140758279</v>
      </c>
      <c r="F13" s="687">
        <f>industrie!E18</f>
        <v>12.954848454679865</v>
      </c>
      <c r="G13" s="687">
        <f>industrie!F18</f>
        <v>379.25280167687976</v>
      </c>
      <c r="H13" s="687">
        <f>industrie!G18</f>
        <v>0</v>
      </c>
      <c r="I13" s="687">
        <f>industrie!H18</f>
        <v>0</v>
      </c>
      <c r="J13" s="687">
        <f>industrie!I18</f>
        <v>0</v>
      </c>
      <c r="K13" s="687">
        <f>industrie!J18</f>
        <v>4.2292238940453526</v>
      </c>
      <c r="L13" s="687">
        <f>industrie!K18</f>
        <v>0</v>
      </c>
      <c r="M13" s="687">
        <f>industrie!L18</f>
        <v>0</v>
      </c>
      <c r="N13" s="687">
        <f>industrie!M18</f>
        <v>0</v>
      </c>
      <c r="O13" s="687">
        <f>industrie!N18</f>
        <v>34.967135191393723</v>
      </c>
      <c r="P13" s="687">
        <f>industrie!O18</f>
        <v>0</v>
      </c>
      <c r="Q13" s="688">
        <f>industrie!P18</f>
        <v>0</v>
      </c>
      <c r="R13" s="690">
        <f>SUM(C13:Q13)</f>
        <v>3514.1287122894687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61172.557811231381</v>
      </c>
      <c r="D16" s="720">
        <f t="shared" ref="D16:R16" ca="1" si="0">SUM(D9:D15)</f>
        <v>0</v>
      </c>
      <c r="E16" s="720">
        <f t="shared" ca="1" si="0"/>
        <v>156293.56226118267</v>
      </c>
      <c r="F16" s="720">
        <f t="shared" si="0"/>
        <v>2198.3205726440819</v>
      </c>
      <c r="G16" s="720">
        <f t="shared" ca="1" si="0"/>
        <v>23217.761332582631</v>
      </c>
      <c r="H16" s="720">
        <f t="shared" si="0"/>
        <v>0</v>
      </c>
      <c r="I16" s="720">
        <f t="shared" si="0"/>
        <v>0</v>
      </c>
      <c r="J16" s="720">
        <f t="shared" si="0"/>
        <v>0</v>
      </c>
      <c r="K16" s="720">
        <f t="shared" si="0"/>
        <v>4.2292238940453526</v>
      </c>
      <c r="L16" s="720">
        <f t="shared" si="0"/>
        <v>0</v>
      </c>
      <c r="M16" s="720">
        <f t="shared" ca="1" si="0"/>
        <v>0</v>
      </c>
      <c r="N16" s="720">
        <f t="shared" si="0"/>
        <v>0</v>
      </c>
      <c r="O16" s="720">
        <f t="shared" ca="1" si="0"/>
        <v>7795.0332923265569</v>
      </c>
      <c r="P16" s="720">
        <f t="shared" si="0"/>
        <v>161.02333333333334</v>
      </c>
      <c r="Q16" s="720">
        <f t="shared" si="0"/>
        <v>343.2</v>
      </c>
      <c r="R16" s="720">
        <f t="shared" ca="1" si="0"/>
        <v>251185.68782719472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4981.8644238120942</v>
      </c>
      <c r="I19" s="687">
        <f>transport!H54</f>
        <v>0</v>
      </c>
      <c r="J19" s="687">
        <f>transport!I54</f>
        <v>0</v>
      </c>
      <c r="K19" s="687">
        <f>transport!J54</f>
        <v>0</v>
      </c>
      <c r="L19" s="687">
        <f>transport!K54</f>
        <v>0</v>
      </c>
      <c r="M19" s="687">
        <f>transport!L54</f>
        <v>0</v>
      </c>
      <c r="N19" s="687">
        <f>transport!M54</f>
        <v>212.35523679386139</v>
      </c>
      <c r="O19" s="687">
        <f>transport!N54</f>
        <v>0</v>
      </c>
      <c r="P19" s="687">
        <f>transport!O54</f>
        <v>0</v>
      </c>
      <c r="Q19" s="688">
        <f>transport!P54</f>
        <v>0</v>
      </c>
      <c r="R19" s="690">
        <f>SUM(C19:Q19)</f>
        <v>5194.2196606059551</v>
      </c>
      <c r="S19" s="67"/>
    </row>
    <row r="20" spans="1:19" s="456" customFormat="1">
      <c r="A20" s="802" t="s">
        <v>307</v>
      </c>
      <c r="B20" s="807"/>
      <c r="C20" s="687">
        <f>transport!B14</f>
        <v>2.0070725592535683</v>
      </c>
      <c r="D20" s="687">
        <f>transport!C14</f>
        <v>0</v>
      </c>
      <c r="E20" s="687">
        <f>transport!D14</f>
        <v>10.313939589595719</v>
      </c>
      <c r="F20" s="687">
        <f>transport!E14</f>
        <v>1172.2122641200272</v>
      </c>
      <c r="G20" s="687">
        <f>transport!F14</f>
        <v>0</v>
      </c>
      <c r="H20" s="687">
        <f>transport!G14</f>
        <v>168792.68854511788</v>
      </c>
      <c r="I20" s="687">
        <f>transport!H14</f>
        <v>35167.009669856147</v>
      </c>
      <c r="J20" s="687">
        <f>transport!I14</f>
        <v>0</v>
      </c>
      <c r="K20" s="687">
        <f>transport!J14</f>
        <v>0</v>
      </c>
      <c r="L20" s="687">
        <f>transport!K14</f>
        <v>0</v>
      </c>
      <c r="M20" s="687">
        <f>transport!L14</f>
        <v>0</v>
      </c>
      <c r="N20" s="687">
        <f>transport!M14</f>
        <v>8915.8620503470102</v>
      </c>
      <c r="O20" s="687">
        <f>transport!N14</f>
        <v>0</v>
      </c>
      <c r="P20" s="687">
        <f>transport!O14</f>
        <v>0</v>
      </c>
      <c r="Q20" s="688">
        <f>transport!P14</f>
        <v>0</v>
      </c>
      <c r="R20" s="690">
        <f>SUM(C20:Q20)</f>
        <v>214060.09354158989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2.0070725592535683</v>
      </c>
      <c r="D22" s="805">
        <f t="shared" ref="D22:R22" si="1">SUM(D18:D21)</f>
        <v>0</v>
      </c>
      <c r="E22" s="805">
        <f t="shared" si="1"/>
        <v>10.313939589595719</v>
      </c>
      <c r="F22" s="805">
        <f t="shared" si="1"/>
        <v>1172.2122641200272</v>
      </c>
      <c r="G22" s="805">
        <f t="shared" si="1"/>
        <v>0</v>
      </c>
      <c r="H22" s="805">
        <f t="shared" si="1"/>
        <v>173774.55296892999</v>
      </c>
      <c r="I22" s="805">
        <f t="shared" si="1"/>
        <v>35167.009669856147</v>
      </c>
      <c r="J22" s="805">
        <f t="shared" si="1"/>
        <v>0</v>
      </c>
      <c r="K22" s="805">
        <f t="shared" si="1"/>
        <v>0</v>
      </c>
      <c r="L22" s="805">
        <f t="shared" si="1"/>
        <v>0</v>
      </c>
      <c r="M22" s="805">
        <f t="shared" si="1"/>
        <v>0</v>
      </c>
      <c r="N22" s="805">
        <f t="shared" si="1"/>
        <v>9128.2172871408711</v>
      </c>
      <c r="O22" s="805">
        <f t="shared" si="1"/>
        <v>0</v>
      </c>
      <c r="P22" s="805">
        <f t="shared" si="1"/>
        <v>0</v>
      </c>
      <c r="Q22" s="805">
        <f t="shared" si="1"/>
        <v>0</v>
      </c>
      <c r="R22" s="805">
        <f t="shared" si="1"/>
        <v>219254.31320219583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234.99656241666889</v>
      </c>
      <c r="D24" s="687">
        <f>+landbouw!C8</f>
        <v>0</v>
      </c>
      <c r="E24" s="687">
        <f>+landbouw!D8</f>
        <v>266.49286545218979</v>
      </c>
      <c r="F24" s="687">
        <f>+landbouw!E8</f>
        <v>2.4609348763084626</v>
      </c>
      <c r="G24" s="687">
        <f>+landbouw!F8</f>
        <v>1005.9638466084448</v>
      </c>
      <c r="H24" s="687">
        <f>+landbouw!G8</f>
        <v>0</v>
      </c>
      <c r="I24" s="687">
        <f>+landbouw!H8</f>
        <v>0</v>
      </c>
      <c r="J24" s="687">
        <f>+landbouw!I8</f>
        <v>0</v>
      </c>
      <c r="K24" s="687">
        <f>+landbouw!J8</f>
        <v>20.987299333930409</v>
      </c>
      <c r="L24" s="687">
        <f>+landbouw!K8</f>
        <v>0</v>
      </c>
      <c r="M24" s="687">
        <f>+landbouw!L8</f>
        <v>0</v>
      </c>
      <c r="N24" s="687">
        <f>+landbouw!M8</f>
        <v>0</v>
      </c>
      <c r="O24" s="687">
        <f>+landbouw!N8</f>
        <v>0</v>
      </c>
      <c r="P24" s="687">
        <f>+landbouw!O8</f>
        <v>0</v>
      </c>
      <c r="Q24" s="688">
        <f>+landbouw!P8</f>
        <v>0</v>
      </c>
      <c r="R24" s="690">
        <f>SUM(C24:Q24)</f>
        <v>1530.9015086875424</v>
      </c>
      <c r="S24" s="67"/>
    </row>
    <row r="25" spans="1:19" s="456" customFormat="1" ht="15" thickBot="1">
      <c r="A25" s="824" t="s">
        <v>925</v>
      </c>
      <c r="B25" s="988"/>
      <c r="C25" s="989">
        <f>IF(Onbekend_ele_kWh="---",0,Onbekend_ele_kWh)/1000+IF(REST_rest_ele_kWh="---",0,REST_rest_ele_kWh)/1000</f>
        <v>1682.0258509408</v>
      </c>
      <c r="D25" s="989"/>
      <c r="E25" s="989">
        <f>IF(onbekend_gas_kWh="---",0,onbekend_gas_kWh)/1000+IF(REST_rest_gas_kWh="---",0,REST_rest_gas_kWh)/1000</f>
        <v>5719.9078238062102</v>
      </c>
      <c r="F25" s="989"/>
      <c r="G25" s="989"/>
      <c r="H25" s="989"/>
      <c r="I25" s="989"/>
      <c r="J25" s="989"/>
      <c r="K25" s="989"/>
      <c r="L25" s="989"/>
      <c r="M25" s="989"/>
      <c r="N25" s="989"/>
      <c r="O25" s="989"/>
      <c r="P25" s="989"/>
      <c r="Q25" s="990"/>
      <c r="R25" s="690">
        <f>SUM(C25:Q25)</f>
        <v>7401.9336747470097</v>
      </c>
      <c r="S25" s="67"/>
    </row>
    <row r="26" spans="1:19" s="456" customFormat="1" ht="15.75" thickBot="1">
      <c r="A26" s="693" t="s">
        <v>926</v>
      </c>
      <c r="B26" s="810"/>
      <c r="C26" s="805">
        <f>SUM(C24:C25)</f>
        <v>1917.0224133574688</v>
      </c>
      <c r="D26" s="805">
        <f t="shared" ref="D26:R26" si="2">SUM(D24:D25)</f>
        <v>0</v>
      </c>
      <c r="E26" s="805">
        <f t="shared" si="2"/>
        <v>5986.4006892584002</v>
      </c>
      <c r="F26" s="805">
        <f t="shared" si="2"/>
        <v>2.4609348763084626</v>
      </c>
      <c r="G26" s="805">
        <f t="shared" si="2"/>
        <v>1005.9638466084448</v>
      </c>
      <c r="H26" s="805">
        <f t="shared" si="2"/>
        <v>0</v>
      </c>
      <c r="I26" s="805">
        <f t="shared" si="2"/>
        <v>0</v>
      </c>
      <c r="J26" s="805">
        <f t="shared" si="2"/>
        <v>0</v>
      </c>
      <c r="K26" s="805">
        <f t="shared" si="2"/>
        <v>20.987299333930409</v>
      </c>
      <c r="L26" s="805">
        <f t="shared" si="2"/>
        <v>0</v>
      </c>
      <c r="M26" s="805">
        <f t="shared" si="2"/>
        <v>0</v>
      </c>
      <c r="N26" s="805">
        <f t="shared" si="2"/>
        <v>0</v>
      </c>
      <c r="O26" s="805">
        <f t="shared" si="2"/>
        <v>0</v>
      </c>
      <c r="P26" s="805">
        <f t="shared" si="2"/>
        <v>0</v>
      </c>
      <c r="Q26" s="805">
        <f t="shared" si="2"/>
        <v>0</v>
      </c>
      <c r="R26" s="805">
        <f t="shared" si="2"/>
        <v>8932.8351834345522</v>
      </c>
      <c r="S26" s="67"/>
    </row>
    <row r="27" spans="1:19" s="456" customFormat="1" ht="17.25" thickTop="1" thickBot="1">
      <c r="A27" s="694" t="s">
        <v>116</v>
      </c>
      <c r="B27" s="797"/>
      <c r="C27" s="695">
        <f ca="1">C22+C16+C26</f>
        <v>63091.5872971481</v>
      </c>
      <c r="D27" s="695">
        <f t="shared" ref="D27:R27" ca="1" si="3">D22+D16+D26</f>
        <v>0</v>
      </c>
      <c r="E27" s="695">
        <f t="shared" ca="1" si="3"/>
        <v>162290.27689003065</v>
      </c>
      <c r="F27" s="695">
        <f t="shared" si="3"/>
        <v>3372.9937716404174</v>
      </c>
      <c r="G27" s="695">
        <f t="shared" ca="1" si="3"/>
        <v>24223.725179191075</v>
      </c>
      <c r="H27" s="695">
        <f t="shared" si="3"/>
        <v>173774.55296892999</v>
      </c>
      <c r="I27" s="695">
        <f t="shared" si="3"/>
        <v>35167.009669856147</v>
      </c>
      <c r="J27" s="695">
        <f t="shared" si="3"/>
        <v>0</v>
      </c>
      <c r="K27" s="695">
        <f t="shared" si="3"/>
        <v>25.216523227975763</v>
      </c>
      <c r="L27" s="695">
        <f t="shared" si="3"/>
        <v>0</v>
      </c>
      <c r="M27" s="695">
        <f t="shared" ca="1" si="3"/>
        <v>0</v>
      </c>
      <c r="N27" s="695">
        <f t="shared" si="3"/>
        <v>9128.2172871408711</v>
      </c>
      <c r="O27" s="695">
        <f t="shared" ca="1" si="3"/>
        <v>7795.0332923265569</v>
      </c>
      <c r="P27" s="695">
        <f t="shared" si="3"/>
        <v>161.02333333333334</v>
      </c>
      <c r="Q27" s="695">
        <f t="shared" si="3"/>
        <v>343.2</v>
      </c>
      <c r="R27" s="695">
        <f t="shared" ca="1" si="3"/>
        <v>479372.83621282509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4603.6973332747129</v>
      </c>
      <c r="D40" s="687">
        <f ca="1">tertiair!C20</f>
        <v>0</v>
      </c>
      <c r="E40" s="687">
        <f ca="1">tertiair!D20</f>
        <v>5320.9856642192226</v>
      </c>
      <c r="F40" s="687">
        <f>tertiair!E20</f>
        <v>92.289621336174605</v>
      </c>
      <c r="G40" s="687">
        <f ca="1">tertiair!F20</f>
        <v>1156.7292836484567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11173.701902478566</v>
      </c>
    </row>
    <row r="41" spans="1:18">
      <c r="A41" s="815" t="s">
        <v>225</v>
      </c>
      <c r="B41" s="822"/>
      <c r="C41" s="687">
        <f ca="1">huishoudens!B12</f>
        <v>8467.3871550882704</v>
      </c>
      <c r="D41" s="687">
        <f ca="1">huishoudens!C12</f>
        <v>0</v>
      </c>
      <c r="E41" s="687">
        <f>huishoudens!D12</f>
        <v>25856.557673096362</v>
      </c>
      <c r="F41" s="687">
        <f>huishoudens!E12</f>
        <v>403.78839805481971</v>
      </c>
      <c r="G41" s="687">
        <f>huishoudens!F12</f>
        <v>4941.1524941033795</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39668.885720342834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246.75982012743972</v>
      </c>
      <c r="D43" s="687">
        <f ca="1">industrie!C22</f>
        <v>0</v>
      </c>
      <c r="E43" s="687">
        <f>industrie!D22</f>
        <v>393.75623944331727</v>
      </c>
      <c r="F43" s="687">
        <f>industrie!E22</f>
        <v>2.9407505992123295</v>
      </c>
      <c r="G43" s="687">
        <f>industrie!F22</f>
        <v>101.2604980477269</v>
      </c>
      <c r="H43" s="687">
        <f>industrie!G22</f>
        <v>0</v>
      </c>
      <c r="I43" s="687">
        <f>industrie!H22</f>
        <v>0</v>
      </c>
      <c r="J43" s="687">
        <f>industrie!I22</f>
        <v>0</v>
      </c>
      <c r="K43" s="687">
        <f>industrie!J22</f>
        <v>1.4971452584920548</v>
      </c>
      <c r="L43" s="687">
        <f>industrie!K22</f>
        <v>0</v>
      </c>
      <c r="M43" s="687">
        <f>industrie!L22</f>
        <v>0</v>
      </c>
      <c r="N43" s="687">
        <f>industrie!M22</f>
        <v>0</v>
      </c>
      <c r="O43" s="687">
        <f>industrie!N22</f>
        <v>0</v>
      </c>
      <c r="P43" s="687">
        <f>industrie!O22</f>
        <v>0</v>
      </c>
      <c r="Q43" s="762">
        <f>industrie!P22</f>
        <v>0</v>
      </c>
      <c r="R43" s="842">
        <f t="shared" ca="1" si="4"/>
        <v>746.21445347618828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13317.844308490423</v>
      </c>
      <c r="D46" s="720">
        <f t="shared" ref="D46:Q46" ca="1" si="5">SUM(D39:D45)</f>
        <v>0</v>
      </c>
      <c r="E46" s="720">
        <f t="shared" ca="1" si="5"/>
        <v>31571.299576758902</v>
      </c>
      <c r="F46" s="720">
        <f t="shared" si="5"/>
        <v>499.01876999020664</v>
      </c>
      <c r="G46" s="720">
        <f t="shared" ca="1" si="5"/>
        <v>6199.1422757995633</v>
      </c>
      <c r="H46" s="720">
        <f t="shared" si="5"/>
        <v>0</v>
      </c>
      <c r="I46" s="720">
        <f t="shared" si="5"/>
        <v>0</v>
      </c>
      <c r="J46" s="720">
        <f t="shared" si="5"/>
        <v>0</v>
      </c>
      <c r="K46" s="720">
        <f t="shared" si="5"/>
        <v>1.4971452584920548</v>
      </c>
      <c r="L46" s="720">
        <f t="shared" si="5"/>
        <v>0</v>
      </c>
      <c r="M46" s="720">
        <f t="shared" ca="1" si="5"/>
        <v>0</v>
      </c>
      <c r="N46" s="720">
        <f t="shared" si="5"/>
        <v>0</v>
      </c>
      <c r="O46" s="720">
        <f t="shared" ca="1" si="5"/>
        <v>0</v>
      </c>
      <c r="P46" s="720">
        <f t="shared" si="5"/>
        <v>0</v>
      </c>
      <c r="Q46" s="720">
        <f t="shared" si="5"/>
        <v>0</v>
      </c>
      <c r="R46" s="720">
        <f ca="1">SUM(R39:R45)</f>
        <v>51588.802076297594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1330.1578011578292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1330.1578011578292</v>
      </c>
    </row>
    <row r="50" spans="1:18">
      <c r="A50" s="818" t="s">
        <v>307</v>
      </c>
      <c r="B50" s="828"/>
      <c r="C50" s="995">
        <f ca="1">transport!B18</f>
        <v>0.43695867585701625</v>
      </c>
      <c r="D50" s="995">
        <f>transport!C18</f>
        <v>0</v>
      </c>
      <c r="E50" s="995">
        <f>transport!D18</f>
        <v>2.0834157970983354</v>
      </c>
      <c r="F50" s="995">
        <f>transport!E18</f>
        <v>266.09218395524618</v>
      </c>
      <c r="G50" s="995">
        <f>transport!F18</f>
        <v>0</v>
      </c>
      <c r="H50" s="995">
        <f>transport!G18</f>
        <v>45067.647841546474</v>
      </c>
      <c r="I50" s="995">
        <f>transport!H18</f>
        <v>8756.5854077941804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54092.845807768856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0.43695867585701625</v>
      </c>
      <c r="D52" s="720">
        <f t="shared" ref="D52:Q52" ca="1" si="6">SUM(D48:D51)</f>
        <v>0</v>
      </c>
      <c r="E52" s="720">
        <f t="shared" si="6"/>
        <v>2.0834157970983354</v>
      </c>
      <c r="F52" s="720">
        <f t="shared" si="6"/>
        <v>266.09218395524618</v>
      </c>
      <c r="G52" s="720">
        <f t="shared" si="6"/>
        <v>0</v>
      </c>
      <c r="H52" s="720">
        <f t="shared" si="6"/>
        <v>46397.805642704305</v>
      </c>
      <c r="I52" s="720">
        <f t="shared" si="6"/>
        <v>8756.5854077941804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55423.003608926687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51.160973862712012</v>
      </c>
      <c r="D54" s="995">
        <f ca="1">+landbouw!C12</f>
        <v>0</v>
      </c>
      <c r="E54" s="995">
        <f>+landbouw!D12</f>
        <v>53.831558821342341</v>
      </c>
      <c r="F54" s="995">
        <f>+landbouw!E12</f>
        <v>0.55863221692202103</v>
      </c>
      <c r="G54" s="995">
        <f>+landbouw!F12</f>
        <v>268.59234704445475</v>
      </c>
      <c r="H54" s="995">
        <f>+landbouw!G12</f>
        <v>0</v>
      </c>
      <c r="I54" s="995">
        <f>+landbouw!H12</f>
        <v>0</v>
      </c>
      <c r="J54" s="995">
        <f>+landbouw!I12</f>
        <v>0</v>
      </c>
      <c r="K54" s="995">
        <f>+landbouw!J12</f>
        <v>7.4295039642113645</v>
      </c>
      <c r="L54" s="995">
        <f>+landbouw!K12</f>
        <v>0</v>
      </c>
      <c r="M54" s="995">
        <f>+landbouw!L12</f>
        <v>0</v>
      </c>
      <c r="N54" s="995">
        <f>+landbouw!M12</f>
        <v>0</v>
      </c>
      <c r="O54" s="995">
        <f>+landbouw!N12</f>
        <v>0</v>
      </c>
      <c r="P54" s="995">
        <f>+landbouw!O12</f>
        <v>0</v>
      </c>
      <c r="Q54" s="996">
        <f>+landbouw!P12</f>
        <v>0</v>
      </c>
      <c r="R54" s="719">
        <f ca="1">SUM(C54:Q54)</f>
        <v>381.57301590964249</v>
      </c>
    </row>
    <row r="55" spans="1:18" ht="15" thickBot="1">
      <c r="A55" s="818" t="s">
        <v>925</v>
      </c>
      <c r="B55" s="828"/>
      <c r="C55" s="995">
        <f ca="1">C25*'EF ele_warmte'!B12</f>
        <v>366.19293368133185</v>
      </c>
      <c r="D55" s="995"/>
      <c r="E55" s="995">
        <f>E25*EF_CO2_aardgas</f>
        <v>1155.4213804088545</v>
      </c>
      <c r="F55" s="995"/>
      <c r="G55" s="995"/>
      <c r="H55" s="995"/>
      <c r="I55" s="995"/>
      <c r="J55" s="995"/>
      <c r="K55" s="995"/>
      <c r="L55" s="995"/>
      <c r="M55" s="995"/>
      <c r="N55" s="995"/>
      <c r="O55" s="995"/>
      <c r="P55" s="995"/>
      <c r="Q55" s="996"/>
      <c r="R55" s="719">
        <f ca="1">SUM(C55:Q55)</f>
        <v>1521.6143140901863</v>
      </c>
    </row>
    <row r="56" spans="1:18" ht="15.75" thickBot="1">
      <c r="A56" s="816" t="s">
        <v>926</v>
      </c>
      <c r="B56" s="829"/>
      <c r="C56" s="720">
        <f ca="1">SUM(C54:C55)</f>
        <v>417.35390754404386</v>
      </c>
      <c r="D56" s="720">
        <f t="shared" ref="D56:Q56" ca="1" si="7">SUM(D54:D55)</f>
        <v>0</v>
      </c>
      <c r="E56" s="720">
        <f t="shared" si="7"/>
        <v>1209.2529392301967</v>
      </c>
      <c r="F56" s="720">
        <f t="shared" si="7"/>
        <v>0.55863221692202103</v>
      </c>
      <c r="G56" s="720">
        <f t="shared" si="7"/>
        <v>268.59234704445475</v>
      </c>
      <c r="H56" s="720">
        <f t="shared" si="7"/>
        <v>0</v>
      </c>
      <c r="I56" s="720">
        <f t="shared" si="7"/>
        <v>0</v>
      </c>
      <c r="J56" s="720">
        <f t="shared" si="7"/>
        <v>0</v>
      </c>
      <c r="K56" s="720">
        <f t="shared" si="7"/>
        <v>7.4295039642113645</v>
      </c>
      <c r="L56" s="720">
        <f t="shared" si="7"/>
        <v>0</v>
      </c>
      <c r="M56" s="720">
        <f t="shared" si="7"/>
        <v>0</v>
      </c>
      <c r="N56" s="720">
        <f t="shared" si="7"/>
        <v>0</v>
      </c>
      <c r="O56" s="720">
        <f t="shared" si="7"/>
        <v>0</v>
      </c>
      <c r="P56" s="720">
        <f t="shared" si="7"/>
        <v>0</v>
      </c>
      <c r="Q56" s="721">
        <f t="shared" si="7"/>
        <v>0</v>
      </c>
      <c r="R56" s="722">
        <f ca="1">SUM(R54:R55)</f>
        <v>1903.1873299998288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13735.635174710324</v>
      </c>
      <c r="D61" s="728">
        <f t="shared" ref="D61:Q61" ca="1" si="8">D46+D52+D56</f>
        <v>0</v>
      </c>
      <c r="E61" s="728">
        <f t="shared" ca="1" si="8"/>
        <v>32782.635931786193</v>
      </c>
      <c r="F61" s="728">
        <f t="shared" si="8"/>
        <v>765.6695861623748</v>
      </c>
      <c r="G61" s="728">
        <f t="shared" ca="1" si="8"/>
        <v>6467.7346228440183</v>
      </c>
      <c r="H61" s="728">
        <f t="shared" si="8"/>
        <v>46397.805642704305</v>
      </c>
      <c r="I61" s="728">
        <f t="shared" si="8"/>
        <v>8756.5854077941804</v>
      </c>
      <c r="J61" s="728">
        <f t="shared" si="8"/>
        <v>0</v>
      </c>
      <c r="K61" s="728">
        <f t="shared" si="8"/>
        <v>8.9266492227034195</v>
      </c>
      <c r="L61" s="728">
        <f t="shared" si="8"/>
        <v>0</v>
      </c>
      <c r="M61" s="728">
        <f t="shared" ca="1" si="8"/>
        <v>0</v>
      </c>
      <c r="N61" s="728">
        <f t="shared" si="8"/>
        <v>0</v>
      </c>
      <c r="O61" s="728">
        <f t="shared" ca="1" si="8"/>
        <v>0</v>
      </c>
      <c r="P61" s="728">
        <f t="shared" si="8"/>
        <v>0</v>
      </c>
      <c r="Q61" s="728">
        <f t="shared" si="8"/>
        <v>0</v>
      </c>
      <c r="R61" s="728">
        <f ca="1">R46+R52+R56</f>
        <v>108914.9930152241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0.21770945641323577</v>
      </c>
      <c r="D63" s="772">
        <f t="shared" ca="1" si="9"/>
        <v>0</v>
      </c>
      <c r="E63" s="997">
        <f t="shared" ca="1" si="9"/>
        <v>0.20200000000000001</v>
      </c>
      <c r="F63" s="772">
        <f t="shared" si="9"/>
        <v>0.22700000000000001</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939.39193646790648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939.39193646790648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939.39193646790648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939.39193646790648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38893.060938135211</v>
      </c>
      <c r="C4" s="460">
        <f>huishoudens!C8</f>
        <v>0</v>
      </c>
      <c r="D4" s="460">
        <f>huishoudens!D8</f>
        <v>128002.76075790278</v>
      </c>
      <c r="E4" s="460">
        <f>huishoudens!E8</f>
        <v>1778.8035156599985</v>
      </c>
      <c r="F4" s="460">
        <f>huishoudens!F8</f>
        <v>18506.189116492056</v>
      </c>
      <c r="G4" s="460">
        <f>huishoudens!G8</f>
        <v>0</v>
      </c>
      <c r="H4" s="460">
        <f>huishoudens!H8</f>
        <v>0</v>
      </c>
      <c r="I4" s="460">
        <f>huishoudens!I8</f>
        <v>0</v>
      </c>
      <c r="J4" s="460">
        <f>huishoudens!J8</f>
        <v>0</v>
      </c>
      <c r="K4" s="460">
        <f>huishoudens!K8</f>
        <v>0</v>
      </c>
      <c r="L4" s="460">
        <f>huishoudens!L8</f>
        <v>0</v>
      </c>
      <c r="M4" s="460">
        <f>huishoudens!M8</f>
        <v>0</v>
      </c>
      <c r="N4" s="460">
        <f>huishoudens!N8</f>
        <v>6862.251276292458</v>
      </c>
      <c r="O4" s="460">
        <f>huishoudens!O8</f>
        <v>157.89666666666668</v>
      </c>
      <c r="P4" s="461">
        <f>huishoudens!P8</f>
        <v>305.06666666666666</v>
      </c>
      <c r="Q4" s="462">
        <f>SUM(B4:P4)</f>
        <v>194506.02893781586</v>
      </c>
    </row>
    <row r="5" spans="1:17">
      <c r="A5" s="459" t="s">
        <v>156</v>
      </c>
      <c r="B5" s="460">
        <f ca="1">tertiair!B16</f>
        <v>19798.020484099528</v>
      </c>
      <c r="C5" s="460">
        <f ca="1">tertiair!C16</f>
        <v>0</v>
      </c>
      <c r="D5" s="460">
        <f ca="1">tertiair!D16</f>
        <v>26341.51318920407</v>
      </c>
      <c r="E5" s="460">
        <f>tertiair!E16</f>
        <v>406.56220852940356</v>
      </c>
      <c r="F5" s="460">
        <f ca="1">tertiair!F16</f>
        <v>4332.3194144136951</v>
      </c>
      <c r="G5" s="460">
        <f>tertiair!G16</f>
        <v>0</v>
      </c>
      <c r="H5" s="460">
        <f>tertiair!H16</f>
        <v>0</v>
      </c>
      <c r="I5" s="460">
        <f>tertiair!I16</f>
        <v>0</v>
      </c>
      <c r="J5" s="460">
        <f>tertiair!J16</f>
        <v>0</v>
      </c>
      <c r="K5" s="460">
        <f>tertiair!K16</f>
        <v>0</v>
      </c>
      <c r="L5" s="460">
        <f ca="1">tertiair!L16</f>
        <v>0</v>
      </c>
      <c r="M5" s="460">
        <f>tertiair!M16</f>
        <v>0</v>
      </c>
      <c r="N5" s="460">
        <f ca="1">tertiair!N16</f>
        <v>897.81488084270484</v>
      </c>
      <c r="O5" s="460">
        <f>tertiair!O16</f>
        <v>3.1266666666666669</v>
      </c>
      <c r="P5" s="461">
        <f>tertiair!P16</f>
        <v>38.133333333333333</v>
      </c>
      <c r="Q5" s="459">
        <f t="shared" ref="Q5:Q14" ca="1" si="0">SUM(B5:P5)</f>
        <v>51817.490177089392</v>
      </c>
    </row>
    <row r="6" spans="1:17">
      <c r="A6" s="459" t="s">
        <v>194</v>
      </c>
      <c r="B6" s="460">
        <f>'openbare verlichting'!B8</f>
        <v>1348.04</v>
      </c>
      <c r="C6" s="460"/>
      <c r="D6" s="460"/>
      <c r="E6" s="460"/>
      <c r="F6" s="460"/>
      <c r="G6" s="460"/>
      <c r="H6" s="460"/>
      <c r="I6" s="460"/>
      <c r="J6" s="460"/>
      <c r="K6" s="460"/>
      <c r="L6" s="460"/>
      <c r="M6" s="460"/>
      <c r="N6" s="460"/>
      <c r="O6" s="460"/>
      <c r="P6" s="461"/>
      <c r="Q6" s="459">
        <f t="shared" si="0"/>
        <v>1348.04</v>
      </c>
    </row>
    <row r="7" spans="1:17">
      <c r="A7" s="459" t="s">
        <v>112</v>
      </c>
      <c r="B7" s="460">
        <f>landbouw!B8</f>
        <v>234.99656241666889</v>
      </c>
      <c r="C7" s="460">
        <f>landbouw!C8</f>
        <v>0</v>
      </c>
      <c r="D7" s="460">
        <f>landbouw!D8</f>
        <v>266.49286545218979</v>
      </c>
      <c r="E7" s="460">
        <f>landbouw!E8</f>
        <v>2.4609348763084626</v>
      </c>
      <c r="F7" s="460">
        <f>landbouw!F8</f>
        <v>1005.9638466084448</v>
      </c>
      <c r="G7" s="460">
        <f>landbouw!G8</f>
        <v>0</v>
      </c>
      <c r="H7" s="460">
        <f>landbouw!H8</f>
        <v>0</v>
      </c>
      <c r="I7" s="460">
        <f>landbouw!I8</f>
        <v>0</v>
      </c>
      <c r="J7" s="460">
        <f>landbouw!J8</f>
        <v>20.987299333930409</v>
      </c>
      <c r="K7" s="460">
        <f>landbouw!K8</f>
        <v>0</v>
      </c>
      <c r="L7" s="460">
        <f>landbouw!L8</f>
        <v>0</v>
      </c>
      <c r="M7" s="460">
        <f>landbouw!M8</f>
        <v>0</v>
      </c>
      <c r="N7" s="460">
        <f>landbouw!N8</f>
        <v>0</v>
      </c>
      <c r="O7" s="460">
        <f>landbouw!O8</f>
        <v>0</v>
      </c>
      <c r="P7" s="461">
        <f>landbouw!P8</f>
        <v>0</v>
      </c>
      <c r="Q7" s="459">
        <f t="shared" si="0"/>
        <v>1530.9015086875424</v>
      </c>
    </row>
    <row r="8" spans="1:17">
      <c r="A8" s="459" t="s">
        <v>655</v>
      </c>
      <c r="B8" s="460">
        <f>industrie!B18</f>
        <v>1133.4363889966419</v>
      </c>
      <c r="C8" s="460">
        <f>industrie!C18</f>
        <v>0</v>
      </c>
      <c r="D8" s="460">
        <f>industrie!D18</f>
        <v>1949.2883140758279</v>
      </c>
      <c r="E8" s="460">
        <f>industrie!E18</f>
        <v>12.954848454679865</v>
      </c>
      <c r="F8" s="460">
        <f>industrie!F18</f>
        <v>379.25280167687976</v>
      </c>
      <c r="G8" s="460">
        <f>industrie!G18</f>
        <v>0</v>
      </c>
      <c r="H8" s="460">
        <f>industrie!H18</f>
        <v>0</v>
      </c>
      <c r="I8" s="460">
        <f>industrie!I18</f>
        <v>0</v>
      </c>
      <c r="J8" s="460">
        <f>industrie!J18</f>
        <v>4.2292238940453526</v>
      </c>
      <c r="K8" s="460">
        <f>industrie!K18</f>
        <v>0</v>
      </c>
      <c r="L8" s="460">
        <f>industrie!L18</f>
        <v>0</v>
      </c>
      <c r="M8" s="460">
        <f>industrie!M18</f>
        <v>0</v>
      </c>
      <c r="N8" s="460">
        <f>industrie!N18</f>
        <v>34.967135191393723</v>
      </c>
      <c r="O8" s="460">
        <f>industrie!O18</f>
        <v>0</v>
      </c>
      <c r="P8" s="461">
        <f>industrie!P18</f>
        <v>0</v>
      </c>
      <c r="Q8" s="459">
        <f t="shared" si="0"/>
        <v>3514.1287122894687</v>
      </c>
    </row>
    <row r="9" spans="1:17" s="465" customFormat="1">
      <c r="A9" s="463" t="s">
        <v>573</v>
      </c>
      <c r="B9" s="464">
        <f>transport!B14</f>
        <v>2.0070725592535683</v>
      </c>
      <c r="C9" s="464">
        <f>transport!C14</f>
        <v>0</v>
      </c>
      <c r="D9" s="464">
        <f>transport!D14</f>
        <v>10.313939589595719</v>
      </c>
      <c r="E9" s="464">
        <f>transport!E14</f>
        <v>1172.2122641200272</v>
      </c>
      <c r="F9" s="464">
        <f>transport!F14</f>
        <v>0</v>
      </c>
      <c r="G9" s="464">
        <f>transport!G14</f>
        <v>168792.68854511788</v>
      </c>
      <c r="H9" s="464">
        <f>transport!H14</f>
        <v>35167.009669856147</v>
      </c>
      <c r="I9" s="464">
        <f>transport!I14</f>
        <v>0</v>
      </c>
      <c r="J9" s="464">
        <f>transport!J14</f>
        <v>0</v>
      </c>
      <c r="K9" s="464">
        <f>transport!K14</f>
        <v>0</v>
      </c>
      <c r="L9" s="464">
        <f>transport!L14</f>
        <v>0</v>
      </c>
      <c r="M9" s="464">
        <f>transport!M14</f>
        <v>8915.8620503470102</v>
      </c>
      <c r="N9" s="464">
        <f>transport!N14</f>
        <v>0</v>
      </c>
      <c r="O9" s="464">
        <f>transport!O14</f>
        <v>0</v>
      </c>
      <c r="P9" s="464">
        <f>transport!P14</f>
        <v>0</v>
      </c>
      <c r="Q9" s="463">
        <f>SUM(B9:P9)</f>
        <v>214060.09354158989</v>
      </c>
    </row>
    <row r="10" spans="1:17">
      <c r="A10" s="459" t="s">
        <v>563</v>
      </c>
      <c r="B10" s="460">
        <f>transport!B54</f>
        <v>0</v>
      </c>
      <c r="C10" s="460">
        <f>transport!C54</f>
        <v>0</v>
      </c>
      <c r="D10" s="460">
        <f>transport!D54</f>
        <v>0</v>
      </c>
      <c r="E10" s="460">
        <f>transport!E54</f>
        <v>0</v>
      </c>
      <c r="F10" s="460">
        <f>transport!F54</f>
        <v>0</v>
      </c>
      <c r="G10" s="460">
        <f>transport!G54</f>
        <v>4981.8644238120942</v>
      </c>
      <c r="H10" s="460">
        <f>transport!H54</f>
        <v>0</v>
      </c>
      <c r="I10" s="460">
        <f>transport!I54</f>
        <v>0</v>
      </c>
      <c r="J10" s="460">
        <f>transport!J54</f>
        <v>0</v>
      </c>
      <c r="K10" s="460">
        <f>transport!K54</f>
        <v>0</v>
      </c>
      <c r="L10" s="460">
        <f>transport!L54</f>
        <v>0</v>
      </c>
      <c r="M10" s="460">
        <f>transport!M54</f>
        <v>212.35523679386139</v>
      </c>
      <c r="N10" s="460">
        <f>transport!N54</f>
        <v>0</v>
      </c>
      <c r="O10" s="460">
        <f>transport!O54</f>
        <v>0</v>
      </c>
      <c r="P10" s="461">
        <f>transport!P54</f>
        <v>0</v>
      </c>
      <c r="Q10" s="459">
        <f t="shared" si="0"/>
        <v>5194.2196606059551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1682.0258509408</v>
      </c>
      <c r="C14" s="467"/>
      <c r="D14" s="467">
        <f>'SEAP template'!E25</f>
        <v>5719.9078238062102</v>
      </c>
      <c r="E14" s="467"/>
      <c r="F14" s="467"/>
      <c r="G14" s="467"/>
      <c r="H14" s="467"/>
      <c r="I14" s="467"/>
      <c r="J14" s="467"/>
      <c r="K14" s="467"/>
      <c r="L14" s="467"/>
      <c r="M14" s="467"/>
      <c r="N14" s="467"/>
      <c r="O14" s="467"/>
      <c r="P14" s="468"/>
      <c r="Q14" s="459">
        <f t="shared" si="0"/>
        <v>7401.9336747470097</v>
      </c>
    </row>
    <row r="15" spans="1:17" s="472" customFormat="1">
      <c r="A15" s="469" t="s">
        <v>567</v>
      </c>
      <c r="B15" s="470">
        <f ca="1">SUM(B4:B14)</f>
        <v>63091.587297148108</v>
      </c>
      <c r="C15" s="470">
        <f t="shared" ref="C15:Q15" ca="1" si="1">SUM(C4:C14)</f>
        <v>0</v>
      </c>
      <c r="D15" s="470">
        <f t="shared" ca="1" si="1"/>
        <v>162290.27689003068</v>
      </c>
      <c r="E15" s="470">
        <f t="shared" si="1"/>
        <v>3372.9937716404174</v>
      </c>
      <c r="F15" s="470">
        <f t="shared" ca="1" si="1"/>
        <v>24223.725179191075</v>
      </c>
      <c r="G15" s="470">
        <f t="shared" si="1"/>
        <v>173774.55296892999</v>
      </c>
      <c r="H15" s="470">
        <f t="shared" si="1"/>
        <v>35167.009669856147</v>
      </c>
      <c r="I15" s="470">
        <f t="shared" si="1"/>
        <v>0</v>
      </c>
      <c r="J15" s="470">
        <f t="shared" si="1"/>
        <v>25.216523227975763</v>
      </c>
      <c r="K15" s="470">
        <f t="shared" si="1"/>
        <v>0</v>
      </c>
      <c r="L15" s="470">
        <f t="shared" ca="1" si="1"/>
        <v>0</v>
      </c>
      <c r="M15" s="470">
        <f t="shared" si="1"/>
        <v>9128.2172871408711</v>
      </c>
      <c r="N15" s="470">
        <f t="shared" ca="1" si="1"/>
        <v>7795.0332923265569</v>
      </c>
      <c r="O15" s="470">
        <f t="shared" si="1"/>
        <v>161.02333333333334</v>
      </c>
      <c r="P15" s="470">
        <f t="shared" si="1"/>
        <v>343.2</v>
      </c>
      <c r="Q15" s="470">
        <f t="shared" ca="1" si="1"/>
        <v>479372.83621282509</v>
      </c>
    </row>
    <row r="17" spans="1:17">
      <c r="A17" s="473" t="s">
        <v>568</v>
      </c>
      <c r="B17" s="777">
        <f ca="1">huishoudens!B10</f>
        <v>0.21770945641323575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8467.3871550882704</v>
      </c>
      <c r="C22" s="460">
        <f t="shared" ref="C22:C32" ca="1" si="3">C4*$C$17</f>
        <v>0</v>
      </c>
      <c r="D22" s="460">
        <f t="shared" ref="D22:D32" si="4">D4*$D$17</f>
        <v>25856.557673096362</v>
      </c>
      <c r="E22" s="460">
        <f t="shared" ref="E22:E32" si="5">E4*$E$17</f>
        <v>403.78839805481971</v>
      </c>
      <c r="F22" s="460">
        <f t="shared" ref="F22:F32" si="6">F4*$F$17</f>
        <v>4941.1524941033795</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39668.885720342834</v>
      </c>
    </row>
    <row r="23" spans="1:17">
      <c r="A23" s="459" t="s">
        <v>156</v>
      </c>
      <c r="B23" s="460">
        <f t="shared" ca="1" si="2"/>
        <v>4310.2162776514151</v>
      </c>
      <c r="C23" s="460">
        <f t="shared" ca="1" si="3"/>
        <v>0</v>
      </c>
      <c r="D23" s="460">
        <f t="shared" ca="1" si="4"/>
        <v>5320.9856642192226</v>
      </c>
      <c r="E23" s="460">
        <f t="shared" si="5"/>
        <v>92.289621336174605</v>
      </c>
      <c r="F23" s="460">
        <f t="shared" ca="1" si="6"/>
        <v>1156.7292836484567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10880.220846855267</v>
      </c>
    </row>
    <row r="24" spans="1:17">
      <c r="A24" s="459" t="s">
        <v>194</v>
      </c>
      <c r="B24" s="460">
        <f t="shared" ca="1" si="2"/>
        <v>293.48105562329829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293.48105562329829</v>
      </c>
    </row>
    <row r="25" spans="1:17">
      <c r="A25" s="459" t="s">
        <v>112</v>
      </c>
      <c r="B25" s="460">
        <f t="shared" ca="1" si="2"/>
        <v>51.160973862712012</v>
      </c>
      <c r="C25" s="460">
        <f t="shared" ca="1" si="3"/>
        <v>0</v>
      </c>
      <c r="D25" s="460">
        <f t="shared" si="4"/>
        <v>53.831558821342341</v>
      </c>
      <c r="E25" s="460">
        <f t="shared" si="5"/>
        <v>0.55863221692202103</v>
      </c>
      <c r="F25" s="460">
        <f t="shared" si="6"/>
        <v>268.59234704445475</v>
      </c>
      <c r="G25" s="460">
        <f t="shared" si="7"/>
        <v>0</v>
      </c>
      <c r="H25" s="460">
        <f t="shared" si="8"/>
        <v>0</v>
      </c>
      <c r="I25" s="460">
        <f t="shared" si="9"/>
        <v>0</v>
      </c>
      <c r="J25" s="460">
        <f t="shared" si="10"/>
        <v>7.4295039642113645</v>
      </c>
      <c r="K25" s="460">
        <f t="shared" si="11"/>
        <v>0</v>
      </c>
      <c r="L25" s="460">
        <f t="shared" si="12"/>
        <v>0</v>
      </c>
      <c r="M25" s="460">
        <f t="shared" si="13"/>
        <v>0</v>
      </c>
      <c r="N25" s="460">
        <f t="shared" si="14"/>
        <v>0</v>
      </c>
      <c r="O25" s="460">
        <f t="shared" si="15"/>
        <v>0</v>
      </c>
      <c r="P25" s="461">
        <f t="shared" si="16"/>
        <v>0</v>
      </c>
      <c r="Q25" s="459">
        <f t="shared" ca="1" si="17"/>
        <v>381.57301590964249</v>
      </c>
    </row>
    <row r="26" spans="1:17">
      <c r="A26" s="459" t="s">
        <v>655</v>
      </c>
      <c r="B26" s="460">
        <f t="shared" ca="1" si="2"/>
        <v>246.75982012743972</v>
      </c>
      <c r="C26" s="460">
        <f t="shared" ca="1" si="3"/>
        <v>0</v>
      </c>
      <c r="D26" s="460">
        <f t="shared" si="4"/>
        <v>393.75623944331727</v>
      </c>
      <c r="E26" s="460">
        <f t="shared" si="5"/>
        <v>2.9407505992123295</v>
      </c>
      <c r="F26" s="460">
        <f t="shared" si="6"/>
        <v>101.2604980477269</v>
      </c>
      <c r="G26" s="460">
        <f t="shared" si="7"/>
        <v>0</v>
      </c>
      <c r="H26" s="460">
        <f t="shared" si="8"/>
        <v>0</v>
      </c>
      <c r="I26" s="460">
        <f t="shared" si="9"/>
        <v>0</v>
      </c>
      <c r="J26" s="460">
        <f t="shared" si="10"/>
        <v>1.4971452584920548</v>
      </c>
      <c r="K26" s="460">
        <f t="shared" si="11"/>
        <v>0</v>
      </c>
      <c r="L26" s="460">
        <f t="shared" si="12"/>
        <v>0</v>
      </c>
      <c r="M26" s="460">
        <f t="shared" si="13"/>
        <v>0</v>
      </c>
      <c r="N26" s="460">
        <f t="shared" si="14"/>
        <v>0</v>
      </c>
      <c r="O26" s="460">
        <f t="shared" si="15"/>
        <v>0</v>
      </c>
      <c r="P26" s="461">
        <f t="shared" si="16"/>
        <v>0</v>
      </c>
      <c r="Q26" s="459">
        <f t="shared" ca="1" si="17"/>
        <v>746.21445347618828</v>
      </c>
    </row>
    <row r="27" spans="1:17" s="465" customFormat="1">
      <c r="A27" s="463" t="s">
        <v>573</v>
      </c>
      <c r="B27" s="771">
        <f t="shared" ca="1" si="2"/>
        <v>0.43695867585701625</v>
      </c>
      <c r="C27" s="464">
        <f t="shared" ca="1" si="3"/>
        <v>0</v>
      </c>
      <c r="D27" s="464">
        <f t="shared" si="4"/>
        <v>2.0834157970983354</v>
      </c>
      <c r="E27" s="464">
        <f t="shared" si="5"/>
        <v>266.09218395524618</v>
      </c>
      <c r="F27" s="464">
        <f t="shared" si="6"/>
        <v>0</v>
      </c>
      <c r="G27" s="464">
        <f t="shared" si="7"/>
        <v>45067.647841546474</v>
      </c>
      <c r="H27" s="464">
        <f t="shared" si="8"/>
        <v>8756.5854077941804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54092.845807768856</v>
      </c>
    </row>
    <row r="28" spans="1:17">
      <c r="A28" s="459" t="s">
        <v>563</v>
      </c>
      <c r="B28" s="460">
        <f t="shared" ca="1" si="2"/>
        <v>0</v>
      </c>
      <c r="C28" s="460">
        <f t="shared" ca="1" si="3"/>
        <v>0</v>
      </c>
      <c r="D28" s="460">
        <f t="shared" si="4"/>
        <v>0</v>
      </c>
      <c r="E28" s="460">
        <f t="shared" si="5"/>
        <v>0</v>
      </c>
      <c r="F28" s="460">
        <f t="shared" si="6"/>
        <v>0</v>
      </c>
      <c r="G28" s="460">
        <f t="shared" si="7"/>
        <v>1330.1578011578292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1330.1578011578292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366.19293368133185</v>
      </c>
      <c r="C32" s="460">
        <f t="shared" ca="1" si="3"/>
        <v>0</v>
      </c>
      <c r="D32" s="460">
        <f t="shared" si="4"/>
        <v>1155.4213804088545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1521.6143140901863</v>
      </c>
    </row>
    <row r="33" spans="1:17" s="472" customFormat="1">
      <c r="A33" s="469" t="s">
        <v>567</v>
      </c>
      <c r="B33" s="470">
        <f ca="1">SUM(B22:B32)</f>
        <v>13735.635174710324</v>
      </c>
      <c r="C33" s="470">
        <f t="shared" ref="C33:Q33" ca="1" si="19">SUM(C22:C32)</f>
        <v>0</v>
      </c>
      <c r="D33" s="470">
        <f t="shared" ca="1" si="19"/>
        <v>32782.635931786193</v>
      </c>
      <c r="E33" s="470">
        <f t="shared" si="19"/>
        <v>765.6695861623748</v>
      </c>
      <c r="F33" s="470">
        <f t="shared" ca="1" si="19"/>
        <v>6467.7346228440183</v>
      </c>
      <c r="G33" s="470">
        <f t="shared" si="19"/>
        <v>46397.805642704305</v>
      </c>
      <c r="H33" s="470">
        <f t="shared" si="19"/>
        <v>8756.5854077941804</v>
      </c>
      <c r="I33" s="470">
        <f t="shared" si="19"/>
        <v>0</v>
      </c>
      <c r="J33" s="470">
        <f t="shared" si="19"/>
        <v>8.9266492227034195</v>
      </c>
      <c r="K33" s="470">
        <f t="shared" si="19"/>
        <v>0</v>
      </c>
      <c r="L33" s="470">
        <f t="shared" ca="1" si="19"/>
        <v>0</v>
      </c>
      <c r="M33" s="470">
        <f t="shared" si="19"/>
        <v>0</v>
      </c>
      <c r="N33" s="470">
        <f t="shared" ca="1" si="19"/>
        <v>0</v>
      </c>
      <c r="O33" s="470">
        <f t="shared" si="19"/>
        <v>0</v>
      </c>
      <c r="P33" s="470">
        <f t="shared" si="19"/>
        <v>0</v>
      </c>
      <c r="Q33" s="470">
        <f t="shared" ca="1" si="19"/>
        <v>108914.9930152241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939.39193646790648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939.39193646790648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0.21770945641323575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0.21770945641323575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2019-06-29T16:05:00Z</dcterms:modified>
</cp:coreProperties>
</file>