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M23"/>
  <c r="O5"/>
  <c r="O23" s="1"/>
  <c r="P10" i="14"/>
  <c r="M13" i="48"/>
  <c r="M31" s="1"/>
  <c r="N18" i="14"/>
  <c r="K15" i="48"/>
  <c r="K23"/>
  <c r="K33" s="1"/>
  <c r="P22"/>
  <c r="I23"/>
  <c r="I33" s="1"/>
  <c r="I15"/>
  <c r="F4"/>
  <c r="F22" s="1"/>
  <c r="G11" i="14"/>
  <c r="I22"/>
  <c r="I27" s="1"/>
  <c r="J63"/>
  <c r="D16" i="15"/>
  <c r="L46" i="14"/>
  <c r="L61" s="1"/>
  <c r="L63" s="1"/>
  <c r="G12" i="22"/>
  <c r="G13" i="48"/>
  <c r="H18" i="14"/>
  <c r="R18" s="1"/>
  <c r="O22" i="48"/>
  <c r="P22" i="16"/>
  <c r="Q43" i="14" s="1"/>
  <c r="P8" i="48"/>
  <c r="P26" s="1"/>
  <c r="Q13" i="14"/>
  <c r="Q16" s="1"/>
  <c r="Q27" s="1"/>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E20" i="14"/>
  <c r="E22" s="1"/>
  <c r="D9" i="48"/>
  <c r="D27" s="1"/>
  <c r="P13" i="14"/>
  <c r="P16" s="1"/>
  <c r="P27" s="1"/>
  <c r="O8" i="48"/>
  <c r="O26" s="1"/>
  <c r="O33" s="1"/>
  <c r="N4"/>
  <c r="N22" s="1"/>
  <c r="O11" i="14"/>
  <c r="E12" i="13"/>
  <c r="F41" i="14" s="1"/>
  <c r="E4" i="48"/>
  <c r="F11" i="14"/>
  <c r="R11" s="1"/>
  <c r="H27" i="48"/>
  <c r="H33" s="1"/>
  <c r="H15"/>
  <c r="P15"/>
  <c r="Q46" i="14"/>
  <c r="Q61" s="1"/>
  <c r="Q63" s="1"/>
  <c r="P33" i="48"/>
  <c r="O15"/>
  <c r="G14" i="22"/>
  <c r="M10" i="48"/>
  <c r="M28" s="1"/>
  <c r="N19" i="14"/>
  <c r="J4" i="48"/>
  <c r="J22" s="1"/>
  <c r="K11" i="14"/>
  <c r="G10" i="48"/>
  <c r="H19" i="14"/>
  <c r="G31" i="48"/>
  <c r="Q13"/>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M18" i="22"/>
  <c r="N50" i="14" s="1"/>
  <c r="N20"/>
  <c r="R20" s="1"/>
  <c r="M9" i="48"/>
  <c r="E22"/>
  <c r="Q4"/>
  <c r="G28"/>
  <c r="Q10"/>
  <c r="C22" i="14"/>
  <c r="Q9" i="48"/>
  <c r="B15"/>
  <c r="H20" i="14"/>
  <c r="H22" s="1"/>
  <c r="H27" s="1"/>
  <c r="H63" s="1"/>
  <c r="G9" i="48"/>
  <c r="R19" i="14"/>
  <c r="J5" i="48"/>
  <c r="K10" i="14"/>
  <c r="E20" i="15"/>
  <c r="F40" i="14" s="1"/>
  <c r="E5" i="48"/>
  <c r="F10" i="14"/>
  <c r="L15" i="48"/>
  <c r="Q7"/>
  <c r="R24" i="14"/>
  <c r="R26" s="1"/>
  <c r="J18" i="16"/>
  <c r="N18"/>
  <c r="E18"/>
  <c r="F18"/>
  <c r="F22" s="1"/>
  <c r="G43" i="14" s="1"/>
  <c r="N22" l="1"/>
  <c r="N27" s="1"/>
  <c r="N63" s="1"/>
  <c r="M27" i="48"/>
  <c r="M33" s="1"/>
  <c r="M15"/>
  <c r="G27"/>
  <c r="G33" s="1"/>
  <c r="G15"/>
  <c r="R22"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<sst xmlns="http://schemas.openxmlformats.org/spreadsheetml/2006/main" count="2493" uniqueCount="963">
  <si>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</si>
  <si>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</si>
  <si>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</si>
  <si>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</si>
  <si>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</si>
  <si>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</si>
  <si>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</si>
  <si>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</si>
  <si>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</si>
  <si>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</si>
  <si>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</si>
  <si>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</si>
  <si>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</si>
  <si>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</si>
  <si>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</si>
  <si>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</si>
  <si>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</si>
  <si>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</si>
  <si>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</si>
  <si>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</si>
  <si>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</si>
  <si>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</si>
  <si>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</si>
  <si>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</si>
  <si>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</si>
  <si>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</si>
  <si>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</si>
  <si>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</si>
  <si>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</si>
  <si>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</si>
  <si>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</si>
  <si>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</si>
  <si>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</si>
  <si>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</si>
  <si>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</si>
  <si>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</si>
  <si>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</si>
  <si>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</si>
  <si>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</si>
  <si>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</si>
  <si>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</si>
  <si>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</si>
  <si>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</si>
  <si>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</si>
  <si>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</si>
  <si>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</si>
  <si>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</si>
  <si>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</si>
  <si>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</si>
  <si>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</si>
  <si>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</si>
  <si>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</si>
  <si>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</si>
  <si>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</si>
  <si>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</si>
  <si>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</si>
  <si>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</si>
  <si>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</si>
  <si>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</si>
  <si>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</si>
  <si>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</si>
  <si>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</si>
  <si>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</si>
  <si>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</si>
  <si>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</si>
  <si>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</si>
  <si>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</si>
  <si>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</si>
  <si>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</si>
  <si>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</si>
  <si>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</si>
  <si>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</si>
  <si>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</si>
  <si>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</si>
  <si>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</si>
  <si>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</si>
  <si>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</si>
  <si>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</si>
  <si>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</si>
  <si>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</si>
  <si>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</si>
  <si>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</si>
  <si>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</si>
  <si>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</si>
  <si>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</si>
  <si>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</si>
  <si>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</si>
  <si>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</si>
  <si>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</si>
  <si>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</si>
  <si>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</si>
  <si>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</si>
  <si>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</si>
  <si>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</si>
  <si>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</si>
  <si>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</si>
  <si>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</si>
  <si>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</si>
  <si>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</si>
  <si>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</si>
  <si>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</si>
  <si>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</si>
  <si>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</si>
  <si>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</si>
  <si>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</si>
  <si>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</si>
  <si>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</si>
  <si>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</si>
  <si>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</si>
  <si>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</si>
  <si>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</si>
  <si>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</si>
  <si>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</si>
  <si>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</si>
  <si>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</si>
  <si>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</si>
  <si>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</si>
  <si>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</si>
  <si>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</si>
  <si>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</si>
  <si>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</si>
  <si>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</si>
  <si>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</si>
  <si>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</si>
  <si>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</si>
  <si>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</si>
  <si>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</si>
  <si>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</si>
  <si>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</si>
  <si>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</si>
  <si>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</si>
  <si>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</si>
  <si>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</si>
  <si>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</si>
  <si>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</si>
  <si>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</si>
  <si>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</si>
  <si>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</si>
  <si>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</si>
  <si>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</si>
  <si>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</si>
  <si>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</si>
  <si>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</si>
  <si>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</si>
  <si>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</si>
  <si>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</si>
  <si>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</si>
  <si>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</si>
  <si>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</si>
  <si>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</si>
  <si>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</si>
  <si>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</si>
  <si>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</si>
  <si>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</si>
  <si>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</si>
  <si>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</si>
  <si>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</si>
  <si>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</si>
  <si>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</si>
  <si>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</si>
  <si>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</si>
  <si>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</si>
  <si>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</si>
  <si>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</si>
  <si>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</si>
  <si>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</si>
  <si>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</si>
  <si>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</si>
  <si>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</si>
  <si>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</si>
  <si>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</si>
  <si>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</si>
  <si>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</si>
  <si>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</si>
  <si>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</si>
  <si>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</si>
  <si>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</si>
  <si>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</si>
  <si>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</si>
  <si>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</si>
  <si>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</si>
  <si>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</si>
  <si>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</si>
  <si>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</si>
  <si>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</si>
  <si>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</si>
  <si>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</si>
  <si>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</si>
  <si>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</si>
  <si>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</si>
  <si>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</si>
  <si>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</si>
  <si>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</si>
  <si>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</si>
  <si>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</si>
  <si>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</si>
  <si>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</si>
  <si>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</si>
  <si>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</si>
  <si>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</si>
  <si>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</si>
  <si>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</si>
  <si>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</si>
  <si>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</si>
  <si>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</si>
  <si>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</si>
  <si>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</si>
  <si>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</si>
  <si>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</si>
  <si>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</si>
  <si>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</si>
  <si>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</si>
  <si>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</si>
  <si>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</si>
  <si>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</si>
  <si>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</si>
  <si>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</si>
  <si>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</si>
  <si>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</si>
  <si>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</si>
  <si>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</si>
  <si>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</si>
  <si>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</si>
  <si>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</si>
  <si>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</si>
  <si>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</si>
  <si>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</si>
  <si>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</si>
  <si>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</si>
  <si>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</si>
  <si>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</si>
  <si>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</si>
  <si>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</si>
  <si>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</si>
  <si>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</si>
  <si>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</si>
  <si>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</si>
  <si>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</si>
  <si>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</si>
  <si>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</si>
  <si>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</si>
  <si>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</si>
  <si>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</si>
  <si>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</si>
  <si>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</si>
  <si>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</si>
  <si>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</si>
  <si>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</si>
  <si>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</si>
  <si>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</si>
  <si>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</si>
  <si>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</si>
  <si>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</si>
  <si>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</si>
  <si>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</si>
  <si>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</si>
  <si>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</si>
  <si>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</si>
  <si>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</si>
  <si>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</si>
  <si>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</si>
  <si>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</si>
  <si>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</si>
  <si>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</si>
  <si>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</si>
  <si>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</si>
  <si>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</si>
  <si>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</si>
  <si>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</si>
  <si>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</si>
  <si>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</si>
  <si>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</si>
  <si>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</si>
  <si>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</si>
  <si>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</si>
  <si>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</si>
  <si>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</si>
  <si>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</si>
  <si>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</si>
  <si>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</si>
  <si>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</si>
  <si>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</si>
  <si>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</si>
  <si>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</si>
  <si>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</si>
  <si>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</si>
  <si>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</si>
  <si>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</si>
  <si>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</si>
  <si>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</si>
  <si>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</si>
  <si>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</si>
  <si>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</si>
  <si>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</si>
  <si>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</si>
  <si>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</si>
  <si>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</si>
  <si>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</si>
  <si>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</si>
  <si>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</si>
  <si>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</si>
  <si>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</si>
  <si>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</si>
  <si>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</si>
  <si>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</si>
  <si>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</si>
  <si>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</si>
  <si>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</si>
  <si>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</si>
  <si>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</si>
  <si>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</si>
  <si>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</si>
  <si>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</si>
  <si>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</si>
  <si>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</si>
  <si>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</si>
  <si>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</si>
  <si>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</si>
  <si>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</si>
  <si>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</si>
  <si>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</si>
  <si>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</si>
  <si>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</si>
  <si>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</si>
  <si>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</si>
  <si>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</si>
  <si>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</si>
  <si>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</si>
  <si>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</si>
  <si>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</si>
  <si>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</si>
  <si>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</si>
  <si>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</si>
  <si>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</si>
  <si>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</si>
  <si>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</si>
  <si>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</si>
  <si>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</si>
  <si>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</si>
  <si>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</si>
  <si>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</si>
  <si>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</si>
  <si>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</si>
  <si>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</si>
  <si>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</si>
  <si>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</si>
  <si>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</si>
  <si>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</si>
  <si>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</si>
  <si>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</si>
  <si>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</si>
  <si>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</si>
  <si>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</si>
  <si>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</si>
  <si>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</si>
  <si>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</si>
  <si>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</si>
  <si>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</si>
  <si>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</si>
  <si>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</si>
  <si>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</si>
  <si>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</si>
  <si>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</si>
  <si>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</si>
  <si>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</si>
  <si>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</si>
  <si>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</si>
  <si>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</si>
  <si>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</si>
  <si>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</si>
  <si>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</si>
  <si>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</si>
  <si>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</si>
  <si>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</si>
  <si>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</si>
  <si>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</si>
  <si>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</si>
  <si>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</si>
  <si>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</si>
  <si>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</si>
  <si>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</si>
  <si>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</si>
  <si>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</si>
  <si>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</si>
  <si>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</si>
  <si>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</si>
  <si>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</si>
  <si>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</si>
  <si>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</si>
  <si>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</si>
  <si>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</si>
  <si>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</si>
  <si>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</si>
  <si>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</si>
  <si>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</si>
  <si>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</si>
  <si>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</si>
  <si>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</si>
  <si>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</si>
  <si>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</si>
  <si>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</si>
  <si>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</si>
  <si>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</si>
  <si>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</si>
  <si>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</si>
  <si>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</si>
  <si>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</si>
  <si>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</si>
  <si>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</si>
  <si>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</si>
  <si>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</si>
  <si>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</si>
  <si>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</si>
  <si>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</si>
  <si>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</si>
  <si>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</si>
  <si>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</si>
  <si>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</si>
  <si>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</si>
  <si>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</si>
  <si>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</si>
  <si>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</si>
  <si>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</si>
  <si>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</si>
  <si>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</si>
  <si>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</si>
  <si>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</si>
  <si>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</si>
  <si>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</si>
  <si>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</si>
  <si>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</si>
  <si>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</si>
  <si>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</si>
  <si>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</si>
  <si>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</si>
  <si>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</si>
  <si>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</si>
  <si>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</si>
  <si>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</si>
  <si>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</si>
  <si>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</si>
  <si>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</si>
  <si>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</si>
  <si>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</si>
  <si>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</si>
  <si>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</si>
  <si>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</si>
  <si>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</si>
  <si>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</si>
  <si>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</si>
  <si>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</si>
  <si>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</si>
  <si>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</si>
  <si>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</si>
  <si>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</si>
  <si>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</si>
  <si>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</si>
  <si>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</si>
  <si>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</si>
  <si>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</si>
  <si>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</si>
  <si>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</si>
  <si>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</si>
  <si>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</si>
  <si>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</si>
  <si>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</si>
  <si>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</si>
  <si>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</si>
  <si>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</si>
  <si>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</si>
  <si>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</si>
  <si>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</si>
  <si>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</si>
  <si>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</si>
  <si>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</si>
  <si>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</si>
  <si>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</si>
  <si>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</si>
  <si>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</si>
  <si>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</si>
  <si>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</si>
  <si>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</si>
  <si>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</si>
  <si>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</si>
  <si>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</si>
  <si>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</si>
  <si>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</si>
  <si>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</si>
  <si>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</si>
  <si>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</si>
  <si>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</si>
  <si>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</si>
  <si>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</si>
  <si>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</si>
  <si>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</si>
  <si>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</si>
  <si>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</si>
  <si>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</si>
  <si>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</si>
  <si>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</si>
  <si>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</si>
  <si>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</si>
  <si>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</si>
  <si>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</si>
  <si>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</si>
  <si>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</si>
  <si>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</si>
  <si>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</si>
  <si>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</si>
  <si>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</si>
  <si>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</si>
  <si>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</si>
  <si>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</si>
  <si>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</si>
  <si>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</si>
  <si>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</si>
  <si>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</si>
  <si>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</si>
  <si>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</si>
  <si>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</si>
  <si>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</si>
  <si>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</si>
  <si>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</si>
  <si>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</si>
  <si>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</si>
  <si>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</si>
  <si>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</si>
  <si>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</si>
  <si>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</si>
  <si>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</si>
  <si>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</si>
  <si>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</si>
  <si>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</si>
  <si>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</si>
  <si>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</si>
  <si>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</si>
  <si>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</si>
  <si>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</si>
  <si>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</si>
  <si>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</si>
  <si>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</si>
  <si>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</si>
  <si>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</si>
  <si>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</si>
  <si>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</si>
  <si>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</si>
  <si>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</si>
  <si>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</si>
  <si>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</si>
  <si>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</si>
  <si>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</si>
  <si>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</si>
  <si>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</si>
  <si>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</si>
  <si>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</si>
  <si>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</si>
  <si>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</si>
  <si>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</si>
  <si>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</si>
  <si>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</si>
  <si>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</si>
  <si>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</si>
  <si>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</si>
  <si>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</si>
  <si>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</si>
  <si>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</si>
  <si>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</si>
  <si>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</si>
  <si>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</si>
  <si>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</si>
  <si>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</si>
  <si>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</si>
  <si>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</si>
  <si>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</si>
  <si>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</si>
  <si>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</si>
  <si>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</si>
  <si>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</si>
  <si>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</si>
  <si>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</si>
  <si>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</si>
  <si>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</si>
  <si>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</si>
  <si>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</si>
  <si>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</si>
  <si>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</si>
  <si>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</si>
  <si>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</si>
  <si>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</si>
  <si>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</si>
  <si>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</si>
  <si>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</si>
  <si>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</si>
  <si>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</si>
  <si>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</si>
  <si>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</si>
  <si>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</si>
  <si>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</si>
  <si>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</si>
  <si>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</si>
  <si>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</si>
  <si>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</si>
  <si>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</si>
  <si>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</si>
  <si>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</si>
  <si>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</si>
  <si>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</si>
  <si>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</si>
  <si>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</si>
  <si>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</si>
  <si>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</si>
  <si>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</si>
  <si>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</si>
  <si>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</si>
  <si>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</si>
  <si>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</si>
  <si>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</si>
  <si>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</si>
  <si>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</si>
  <si>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</si>
  <si>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</si>
  <si>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</si>
  <si>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</si>
  <si>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</si>
  <si>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</si>
  <si>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</si>
  <si>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</si>
  <si>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</si>
  <si>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</si>
  <si>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</si>
  <si>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</si>
  <si>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</si>
  <si>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</si>
  <si>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</si>
  <si>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</si>
  <si>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</si>
  <si>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</si>
  <si>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</si>
  <si>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</si>
  <si>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</si>
  <si>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</si>
  <si>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</si>
  <si>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</si>
  <si>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</si>
  <si>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</si>
  <si>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</si>
  <si>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</si>
  <si>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</si>
  <si>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</si>
  <si>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</si>
  <si>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</si>
  <si>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</si>
  <si>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</si>
  <si>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</si>
  <si>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</si>
  <si>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</si>
  <si>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</si>
  <si>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</si>
  <si>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</si>
  <si>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</si>
  <si>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</si>
  <si>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</si>
  <si>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</si>
  <si>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</si>
  <si>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</si>
  <si>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</si>
  <si>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</si>
  <si>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</si>
  <si>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</si>
  <si>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</si>
  <si>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</si>
  <si>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</si>
  <si>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</si>
  <si>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</si>
  <si>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</si>
  <si>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</si>
  <si>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</si>
  <si>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</si>
  <si>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</si>
  <si>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</si>
  <si>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</si>
  <si>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</si>
  <si>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</si>
  <si>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</si>
  <si>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</si>
  <si>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</si>
  <si>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</si>
  <si>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</si>
  <si>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</si>
  <si>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</si>
  <si>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</si>
  <si>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</si>
  <si>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</si>
  <si>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</si>
  <si>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</si>
  <si>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</si>
  <si>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</si>
  <si>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</si>
  <si>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</si>
  <si>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</si>
  <si>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</si>
  <si>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</si>
  <si>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</si>
  <si>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</si>
  <si>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</si>
  <si>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</si>
  <si>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</si>
  <si>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</si>
  <si>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</si>
  <si>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</si>
  <si>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</si>
  <si>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</si>
  <si>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</si>
  <si>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</si>
  <si>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</si>
  <si>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</si>
  <si>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</si>
  <si>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</si>
  <si>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</si>
  <si>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</si>
  <si>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</si>
  <si>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</si>
  <si>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</si>
  <si>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</si>
  <si>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</si>
  <si>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</si>
  <si>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</si>
  <si>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</si>
  <si>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</si>
  <si>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</si>
  <si>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</si>
  <si>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</si>
  <si>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</si>
  <si>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</si>
  <si>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</si>
  <si>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</si>
  <si>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</si>
  <si>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</si>
  <si>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</si>
  <si>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</si>
  <si>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</si>
  <si>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</si>
  <si>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</si>
  <si>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</si>
  <si>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</si>
  <si>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</si>
  <si>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</si>
  <si>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</si>
  <si>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</si>
  <si>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</si>
  <si>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</si>
  <si>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</si>
  <si>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</si>
  <si>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</si>
  <si>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</si>
  <si>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</si>
  <si>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</si>
  <si>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</si>
  <si>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</si>
  <si>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</si>
  <si>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</si>
  <si>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</si>
  <si>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</si>
  <si>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</si>
  <si>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</si>
  <si>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</si>
  <si>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</si>
  <si>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</si>
  <si>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</si>
  <si>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</si>
  <si>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</si>
  <si>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</si>
  <si>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</si>
  <si>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</si>
  <si>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</si>
  <si>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</si>
  <si>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</si>
  <si>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</si>
  <si>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</si>
  <si>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</si>
  <si>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</si>
  <si>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</si>
  <si>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</si>
  <si>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</si>
  <si>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</si>
  <si>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</si>
  <si>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</si>
  <si>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</si>
  <si>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</si>
  <si>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</si>
  <si>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</si>
  <si>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</si>
  <si>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</si>
  <si>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</si>
  <si>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</si>
  <si>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</si>
  <si>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</si>
  <si>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</si>
  <si>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</si>
  <si>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</si>
  <si>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</si>
  <si>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</si>
  <si>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</si>
  <si>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</si>
  <si>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</si>
  <si>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</si>
  <si>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</si>
  <si>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</si>
  <si>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</si>
  <si>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</si>
  <si>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</si>
  <si>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</si>
  <si>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</si>
  <si>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</si>
  <si>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</si>
  <si>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</si>
  <si>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</si>
  <si>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</si>
  <si>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</si>
  <si>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</si>
  <si>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</si>
  <si>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</si>
  <si>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</si>
  <si>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</si>
  <si>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</si>
  <si>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</si>
  <si>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</si>
  <si>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</si>
  <si>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</si>
  <si>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</si>
  <si>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</si>
  <si>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</si>
  <si>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</si>
  <si>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</si>
  <si>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</si>
  <si>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</si>
  <si>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</si>
  <si>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</si>
  <si>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</si>
  <si>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</si>
  <si>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</si>
  <si>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</si>
  <si>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</si>
  <si>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</si>
  <si>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</si>
  <si>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</si>
  <si>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</si>
  <si>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</si>
  <si>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</si>
  <si>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</si>
  <si>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</si>
  <si>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</si>
  <si>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</si>
  <si>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</si>
  <si>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</si>
  <si>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</si>
  <si>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</si>
  <si>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</si>
  <si>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</si>
  <si>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</si>
  <si>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</si>
  <si>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</si>
  <si>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</si>
  <si>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</si>
  <si>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</si>
  <si>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</si>
  <si>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</si>
  <si>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</si>
  <si>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</si>
  <si>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</si>
  <si>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</si>
  <si>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</si>
  <si>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</si>
  <si>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</si>
  <si>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</si>
  <si>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</si>
  <si>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</si>
  <si>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</si>
  <si>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</si>
  <si>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</si>
  <si>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</si>
  <si>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</si>
  <si>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</si>
  <si>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</si>
  <si>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</si>
  <si>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</si>
  <si>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</si>
  <si>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</si>
  <si>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</si>
  <si>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</si>
  <si>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</si>
  <si>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</si>
  <si>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</si>
  <si>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</si>
  <si>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</si>
  <si>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</si>
  <si>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</si>
  <si>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</si>
  <si>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</si>
  <si>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</si>
  <si>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</si>
  <si>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</si>
  <si>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</si>
  <si>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</si>
  <si>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</si>
  <si>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</si>
  <si>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</si>
  <si>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</si>
  <si>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</si>
  <si>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</si>
  <si>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</si>
  <si>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</si>
  <si>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</si>
  <si>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</si>
  <si>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</si>
  <si>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</si>
  <si>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</si>
  <si>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</si>
  <si>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</si>
  <si>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</si>
  <si>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</si>
  <si>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</si>
  <si>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</si>
  <si>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</si>
  <si>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</si>
  <si>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</si>
  <si>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</si>
  <si>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</si>
  <si>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</si>
  <si>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</si>
  <si>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</si>
  <si>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</si>
  <si>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</si>
  <si>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</si>
  <si>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</si>
  <si>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</si>
  <si>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</si>
  <si>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</si>
  <si>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</si>
  <si>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</si>
  <si>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</si>
  <si>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</si>
  <si>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</si>
  <si>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</si>
  <si>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</si>
  <si>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</si>
  <si>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</si>
  <si>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</si>
  <si>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</si>
  <si>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</si>
  <si>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</si>
  <si>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</si>
  <si>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</si>
  <si>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</si>
  <si>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23086</t>
  </si>
  <si>
    <t>TERNAT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</si>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</sst>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23086</v>
      </c>
      <c r="B6" s="396"/>
      <c r="C6" s="397"/>
    </row>
    <row r="7" spans="1:7" s="394" customFormat="1" ht="15.75" customHeight="1">
      <c r="A7" s="398" t="str">
        <f>txtMunicipality</f>
        <v>TERNAT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0.21550405678658466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0.21550405678658466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23086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6072</v>
      </c>
      <c r="C9" s="336">
        <v>6370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984</v>
      </c>
    </row>
    <row r="15" spans="1:6">
      <c r="A15" s="1277" t="s">
        <v>184</v>
      </c>
      <c r="B15" s="333">
        <v>7</v>
      </c>
    </row>
    <row r="16" spans="1:6">
      <c r="A16" s="1277" t="s">
        <v>6</v>
      </c>
      <c r="B16" s="333">
        <v>265</v>
      </c>
    </row>
    <row r="17" spans="1:6">
      <c r="A17" s="1277" t="s">
        <v>7</v>
      </c>
      <c r="B17" s="333">
        <v>234</v>
      </c>
    </row>
    <row r="18" spans="1:6">
      <c r="A18" s="1277" t="s">
        <v>8</v>
      </c>
      <c r="B18" s="333">
        <v>330</v>
      </c>
    </row>
    <row r="19" spans="1:6">
      <c r="A19" s="1277" t="s">
        <v>9</v>
      </c>
      <c r="B19" s="333">
        <v>293</v>
      </c>
    </row>
    <row r="20" spans="1:6">
      <c r="A20" s="1277" t="s">
        <v>10</v>
      </c>
      <c r="B20" s="333">
        <v>268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54</v>
      </c>
    </row>
    <row r="27" spans="1:6">
      <c r="A27" s="1277" t="s">
        <v>17</v>
      </c>
      <c r="B27" s="333">
        <v>0</v>
      </c>
    </row>
    <row r="28" spans="1:6">
      <c r="A28" s="1277" t="s">
        <v>18</v>
      </c>
      <c r="B28" s="333">
        <v>0</v>
      </c>
    </row>
    <row r="29" spans="1:6">
      <c r="A29" s="1277" t="s">
        <v>957</v>
      </c>
      <c r="B29" s="333">
        <v>136</v>
      </c>
    </row>
    <row r="30" spans="1:6">
      <c r="A30" s="1273" t="s">
        <v>958</v>
      </c>
      <c r="B30" s="1273">
        <v>23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6637.0476150197001</v>
      </c>
    </row>
    <row r="39" spans="1:6">
      <c r="A39" s="1277" t="s">
        <v>30</v>
      </c>
      <c r="B39" s="1277" t="s">
        <v>31</v>
      </c>
      <c r="C39" s="333">
        <v>3037</v>
      </c>
      <c r="D39" s="333">
        <v>53495855.938037202</v>
      </c>
      <c r="E39" s="333">
        <v>5934</v>
      </c>
      <c r="F39" s="333">
        <v>28121094.320930801</v>
      </c>
    </row>
    <row r="40" spans="1:6">
      <c r="A40" s="1277" t="s">
        <v>30</v>
      </c>
      <c r="B40" s="1277" t="s">
        <v>29</v>
      </c>
      <c r="C40" s="333">
        <v>0</v>
      </c>
      <c r="D40" s="333">
        <v>0</v>
      </c>
      <c r="E40" s="333">
        <v>0</v>
      </c>
      <c r="F40" s="333">
        <v>0</v>
      </c>
    </row>
    <row r="41" spans="1:6">
      <c r="A41" s="1277" t="s">
        <v>32</v>
      </c>
      <c r="B41" s="1277" t="s">
        <v>33</v>
      </c>
      <c r="C41" s="333">
        <v>13</v>
      </c>
      <c r="D41" s="333">
        <v>391366.42939376901</v>
      </c>
      <c r="E41" s="333">
        <v>59</v>
      </c>
      <c r="F41" s="333">
        <v>1043466.41672828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3556708.4151171399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32</v>
      </c>
      <c r="D48" s="333">
        <v>2951276.7476272699</v>
      </c>
      <c r="E48" s="333">
        <v>58</v>
      </c>
      <c r="F48" s="333">
        <v>10266736.059085401</v>
      </c>
    </row>
    <row r="49" spans="1:6">
      <c r="A49" s="1277" t="s">
        <v>32</v>
      </c>
      <c r="B49" s="1277" t="s">
        <v>40</v>
      </c>
      <c r="C49" s="333">
        <v>0</v>
      </c>
      <c r="D49" s="333">
        <v>0</v>
      </c>
      <c r="E49" s="333">
        <v>0</v>
      </c>
      <c r="F49" s="333">
        <v>0</v>
      </c>
    </row>
    <row r="50" spans="1:6">
      <c r="A50" s="1277" t="s">
        <v>32</v>
      </c>
      <c r="B50" s="1277" t="s">
        <v>41</v>
      </c>
      <c r="C50" s="333">
        <v>0</v>
      </c>
      <c r="D50" s="333">
        <v>0</v>
      </c>
      <c r="E50" s="333">
        <v>7</v>
      </c>
      <c r="F50" s="333">
        <v>104928.90496912001</v>
      </c>
    </row>
    <row r="51" spans="1:6">
      <c r="A51" s="1277" t="s">
        <v>42</v>
      </c>
      <c r="B51" s="1277" t="s">
        <v>43</v>
      </c>
      <c r="C51" s="333">
        <v>0</v>
      </c>
      <c r="D51" s="333">
        <v>0</v>
      </c>
      <c r="E51" s="333">
        <v>27</v>
      </c>
      <c r="F51" s="333">
        <v>291786.34447695402</v>
      </c>
    </row>
    <row r="52" spans="1:6">
      <c r="A52" s="1277" t="s">
        <v>42</v>
      </c>
      <c r="B52" s="1277" t="s">
        <v>29</v>
      </c>
      <c r="C52" s="333">
        <v>6</v>
      </c>
      <c r="D52" s="333">
        <v>88437.040503305703</v>
      </c>
      <c r="E52" s="333">
        <v>11</v>
      </c>
      <c r="F52" s="333">
        <v>172130.11147591801</v>
      </c>
    </row>
    <row r="53" spans="1:6">
      <c r="A53" s="1277" t="s">
        <v>44</v>
      </c>
      <c r="B53" s="1277" t="s">
        <v>45</v>
      </c>
      <c r="C53" s="333">
        <v>126</v>
      </c>
      <c r="D53" s="333">
        <v>2685915.6535149398</v>
      </c>
      <c r="E53" s="333">
        <v>230</v>
      </c>
      <c r="F53" s="333">
        <v>1336451.12557484</v>
      </c>
    </row>
    <row r="54" spans="1:6">
      <c r="A54" s="1277" t="s">
        <v>46</v>
      </c>
      <c r="B54" s="1277" t="s">
        <v>47</v>
      </c>
      <c r="C54" s="333">
        <v>0</v>
      </c>
      <c r="D54" s="333">
        <v>0</v>
      </c>
      <c r="E54" s="333">
        <v>1</v>
      </c>
      <c r="F54" s="333">
        <v>1017691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17</v>
      </c>
      <c r="D57" s="333">
        <v>415490.94149410102</v>
      </c>
      <c r="E57" s="333">
        <v>32</v>
      </c>
      <c r="F57" s="333">
        <v>292410.422179477</v>
      </c>
    </row>
    <row r="58" spans="1:6">
      <c r="A58" s="1277" t="s">
        <v>49</v>
      </c>
      <c r="B58" s="1277" t="s">
        <v>51</v>
      </c>
      <c r="C58" s="333">
        <v>3</v>
      </c>
      <c r="D58" s="333">
        <v>70730.384240910105</v>
      </c>
      <c r="E58" s="333">
        <v>4</v>
      </c>
      <c r="F58" s="333">
        <v>20330.716640451501</v>
      </c>
    </row>
    <row r="59" spans="1:6">
      <c r="A59" s="1277" t="s">
        <v>49</v>
      </c>
      <c r="B59" s="1277" t="s">
        <v>52</v>
      </c>
      <c r="C59" s="333">
        <v>40</v>
      </c>
      <c r="D59" s="333">
        <v>2240882.5867889002</v>
      </c>
      <c r="E59" s="333">
        <v>117</v>
      </c>
      <c r="F59" s="333">
        <v>8009491.2802191498</v>
      </c>
    </row>
    <row r="60" spans="1:6">
      <c r="A60" s="1277" t="s">
        <v>49</v>
      </c>
      <c r="B60" s="1277" t="s">
        <v>53</v>
      </c>
      <c r="C60" s="333">
        <v>32</v>
      </c>
      <c r="D60" s="333">
        <v>1507203.92120577</v>
      </c>
      <c r="E60" s="333">
        <v>81</v>
      </c>
      <c r="F60" s="333">
        <v>1738355.38908966</v>
      </c>
    </row>
    <row r="61" spans="1:6">
      <c r="A61" s="1277" t="s">
        <v>49</v>
      </c>
      <c r="B61" s="1277" t="s">
        <v>54</v>
      </c>
      <c r="C61" s="333">
        <v>85</v>
      </c>
      <c r="D61" s="333">
        <v>4889204.1319255102</v>
      </c>
      <c r="E61" s="333">
        <v>203</v>
      </c>
      <c r="F61" s="333">
        <v>3791750.6632085601</v>
      </c>
    </row>
    <row r="62" spans="1:6">
      <c r="A62" s="1277" t="s">
        <v>49</v>
      </c>
      <c r="B62" s="1277" t="s">
        <v>55</v>
      </c>
      <c r="C62" s="333">
        <v>0</v>
      </c>
      <c r="D62" s="333">
        <v>0</v>
      </c>
      <c r="E62" s="333">
        <v>0</v>
      </c>
      <c r="F62" s="333">
        <v>0</v>
      </c>
    </row>
    <row r="63" spans="1:6">
      <c r="A63" s="1277" t="s">
        <v>49</v>
      </c>
      <c r="B63" s="1277" t="s">
        <v>29</v>
      </c>
      <c r="C63" s="333">
        <v>146</v>
      </c>
      <c r="D63" s="333">
        <v>9459582.2846589107</v>
      </c>
      <c r="E63" s="333">
        <v>218</v>
      </c>
      <c r="F63" s="333">
        <v>8830894.0875953007</v>
      </c>
    </row>
    <row r="64" spans="1:6">
      <c r="A64" s="1277" t="s">
        <v>56</v>
      </c>
      <c r="B64" s="1277" t="s">
        <v>57</v>
      </c>
      <c r="C64" s="333">
        <v>0</v>
      </c>
      <c r="D64" s="333">
        <v>0</v>
      </c>
      <c r="E64" s="333">
        <v>0</v>
      </c>
      <c r="F64" s="333">
        <v>0</v>
      </c>
    </row>
    <row r="65" spans="1:6">
      <c r="A65" s="1277" t="s">
        <v>56</v>
      </c>
      <c r="B65" s="1277" t="s">
        <v>29</v>
      </c>
      <c r="C65" s="333">
        <v>5</v>
      </c>
      <c r="D65" s="333">
        <v>1501517.9380472901</v>
      </c>
      <c r="E65" s="333">
        <v>2</v>
      </c>
      <c r="F65" s="333">
        <v>6599.9481586640004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18</v>
      </c>
      <c r="F68" s="333">
        <v>1223999.97743141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26185603</v>
      </c>
      <c r="E73" s="333">
        <v>22009604.930302568</v>
      </c>
      <c r="F73" s="333">
        <v>24759211</v>
      </c>
    </row>
    <row r="74" spans="1:6">
      <c r="A74" s="1277" t="s">
        <v>64</v>
      </c>
      <c r="B74" s="1277" t="s">
        <v>774</v>
      </c>
      <c r="C74" s="1288" t="s">
        <v>775</v>
      </c>
      <c r="D74" s="333">
        <v>4160593.5052371658</v>
      </c>
      <c r="E74" s="333">
        <v>4093923.0220144936</v>
      </c>
      <c r="F74" s="333">
        <v>4941988.4154123738</v>
      </c>
    </row>
    <row r="75" spans="1:6">
      <c r="A75" s="1277" t="s">
        <v>65</v>
      </c>
      <c r="B75" s="1277" t="s">
        <v>772</v>
      </c>
      <c r="C75" s="1288" t="s">
        <v>776</v>
      </c>
      <c r="D75" s="333">
        <v>51297165</v>
      </c>
      <c r="E75" s="333">
        <v>41375213.400206536</v>
      </c>
      <c r="F75" s="333">
        <v>47760299</v>
      </c>
    </row>
    <row r="76" spans="1:6">
      <c r="A76" s="1277" t="s">
        <v>65</v>
      </c>
      <c r="B76" s="1277" t="s">
        <v>774</v>
      </c>
      <c r="C76" s="1288" t="s">
        <v>777</v>
      </c>
      <c r="D76" s="333">
        <v>2863969.5052371658</v>
      </c>
      <c r="E76" s="333">
        <v>2734378.1920808596</v>
      </c>
      <c r="F76" s="333">
        <v>3460419.4154123738</v>
      </c>
    </row>
    <row r="77" spans="1:6">
      <c r="A77" s="1277" t="s">
        <v>66</v>
      </c>
      <c r="B77" s="1277" t="s">
        <v>772</v>
      </c>
      <c r="C77" s="1288" t="s">
        <v>778</v>
      </c>
      <c r="D77" s="333">
        <v>151835746</v>
      </c>
      <c r="E77" s="333">
        <v>170218823.16415149</v>
      </c>
      <c r="F77" s="333">
        <v>159348924</v>
      </c>
    </row>
    <row r="78" spans="1:6">
      <c r="A78" s="1273" t="s">
        <v>66</v>
      </c>
      <c r="B78" s="1273" t="s">
        <v>774</v>
      </c>
      <c r="C78" s="1273" t="s">
        <v>779</v>
      </c>
      <c r="D78" s="1273">
        <v>17304248</v>
      </c>
      <c r="E78" s="1273">
        <v>19973396.328043766</v>
      </c>
      <c r="F78" s="336">
        <v>18691766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532274.98952566867</v>
      </c>
      <c r="C83" s="333">
        <v>489893.27829580876</v>
      </c>
      <c r="D83" s="333">
        <v>492839.16917525185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1274.8238535594453</v>
      </c>
    </row>
    <row r="92" spans="1:6">
      <c r="A92" s="1273" t="s">
        <v>69</v>
      </c>
      <c r="B92" s="336">
        <v>462.76161581317933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1691</v>
      </c>
    </row>
    <row r="98" spans="1:6">
      <c r="A98" s="1277" t="s">
        <v>72</v>
      </c>
      <c r="B98" s="333">
        <v>2</v>
      </c>
    </row>
    <row r="99" spans="1:6">
      <c r="A99" s="1277" t="s">
        <v>73</v>
      </c>
      <c r="B99" s="333">
        <v>122</v>
      </c>
    </row>
    <row r="100" spans="1:6">
      <c r="A100" s="1277" t="s">
        <v>74</v>
      </c>
      <c r="B100" s="333">
        <v>513</v>
      </c>
    </row>
    <row r="101" spans="1:6">
      <c r="A101" s="1277" t="s">
        <v>75</v>
      </c>
      <c r="B101" s="333">
        <v>54</v>
      </c>
    </row>
    <row r="102" spans="1:6">
      <c r="A102" s="1277" t="s">
        <v>76</v>
      </c>
      <c r="B102" s="333">
        <v>63</v>
      </c>
    </row>
    <row r="103" spans="1:6">
      <c r="A103" s="1277" t="s">
        <v>77</v>
      </c>
      <c r="B103" s="333">
        <v>128</v>
      </c>
    </row>
    <row r="104" spans="1:6">
      <c r="A104" s="1277" t="s">
        <v>78</v>
      </c>
      <c r="B104" s="333">
        <v>2909</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32</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69870.879996359872</v>
      </c>
      <c r="C3" s="43" t="s">
        <v>170</v>
      </c>
      <c r="D3" s="43"/>
      <c r="E3" s="156"/>
      <c r="F3" s="43"/>
      <c r="G3" s="43"/>
      <c r="H3" s="43"/>
      <c r="I3" s="43"/>
      <c r="J3" s="43"/>
      <c r="K3" s="96"/>
    </row>
    <row r="4" spans="1:11">
      <c r="A4" s="364" t="s">
        <v>171</v>
      </c>
      <c r="B4" s="49">
        <f>IF(ISERROR('SEAP template'!B78),0,'SEAP template'!B78)</f>
        <v>1737.5854693726246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0.21550405678658466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1017.691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1017.691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0.21550405678658466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219.31653905519613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28121.094320930802</v>
      </c>
      <c r="C5" s="17">
        <f>IF(ISERROR('Eigen informatie GS &amp; warmtenet'!B57),0,'Eigen informatie GS &amp; warmtenet'!B57)</f>
        <v>0</v>
      </c>
      <c r="D5" s="30">
        <f>(SUM(HH_hh_gas_kWh,HH_rest_gas_kWh)/1000)*0.902</f>
        <v>48253.262056109561</v>
      </c>
      <c r="E5" s="17">
        <f>B46*B57</f>
        <v>4841.9895761735534</v>
      </c>
      <c r="F5" s="17">
        <f>B51*B62</f>
        <v>38708.854909015419</v>
      </c>
      <c r="G5" s="18"/>
      <c r="H5" s="17"/>
      <c r="I5" s="17"/>
      <c r="J5" s="17">
        <f>B50*B61+C50*C61</f>
        <v>0</v>
      </c>
      <c r="K5" s="17"/>
      <c r="L5" s="17"/>
      <c r="M5" s="17"/>
      <c r="N5" s="17">
        <f>B48*B59+C48*C59</f>
        <v>6200.9421569928891</v>
      </c>
      <c r="O5" s="17">
        <f>B69*B70*B71</f>
        <v>56.280000000000008</v>
      </c>
      <c r="P5" s="17">
        <f>B77*B78*B79/1000-B77*B78*B79/1000/B80</f>
        <v>152.53333333333333</v>
      </c>
    </row>
    <row r="6" spans="1:16">
      <c r="A6" s="16" t="s">
        <v>632</v>
      </c>
      <c r="B6" s="779">
        <f>kWh_PV_kleiner_dan_10kW</f>
        <v>1274.8238535594453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29395.918174490249</v>
      </c>
      <c r="C8" s="21">
        <f>C5</f>
        <v>0</v>
      </c>
      <c r="D8" s="21">
        <f>D5</f>
        <v>48253.262056109561</v>
      </c>
      <c r="E8" s="21">
        <f>E5</f>
        <v>4841.9895761735534</v>
      </c>
      <c r="F8" s="21">
        <f>F5</f>
        <v>38708.854909015419</v>
      </c>
      <c r="G8" s="21"/>
      <c r="H8" s="21"/>
      <c r="I8" s="21"/>
      <c r="J8" s="21">
        <f>J5</f>
        <v>0</v>
      </c>
      <c r="K8" s="21"/>
      <c r="L8" s="21">
        <f>L5</f>
        <v>0</v>
      </c>
      <c r="M8" s="21">
        <f>M5</f>
        <v>0</v>
      </c>
      <c r="N8" s="21">
        <f>N5</f>
        <v>6200.9421569928891</v>
      </c>
      <c r="O8" s="21">
        <f>O5</f>
        <v>56.280000000000008</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0.21550405678658466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6334.9396195691425</v>
      </c>
      <c r="C12" s="23">
        <f ca="1">C10*C8</f>
        <v>0</v>
      </c>
      <c r="D12" s="23">
        <f>D8*D10</f>
        <v>9747.1589353341315</v>
      </c>
      <c r="E12" s="23">
        <f>E10*E8</f>
        <v>1099.1316337913966</v>
      </c>
      <c r="F12" s="23">
        <f>F10*F8</f>
        <v>10335.264260707118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1691</v>
      </c>
      <c r="C18" s="167" t="s">
        <v>111</v>
      </c>
      <c r="D18" s="229"/>
      <c r="E18" s="15"/>
    </row>
    <row r="19" spans="1:7">
      <c r="A19" s="172" t="s">
        <v>72</v>
      </c>
      <c r="B19" s="37">
        <f>aantalw2001_ander</f>
        <v>2</v>
      </c>
      <c r="C19" s="167" t="s">
        <v>111</v>
      </c>
      <c r="D19" s="230"/>
      <c r="E19" s="15"/>
    </row>
    <row r="20" spans="1:7">
      <c r="A20" s="172" t="s">
        <v>73</v>
      </c>
      <c r="B20" s="37">
        <f>aantalw2001_propaan</f>
        <v>122</v>
      </c>
      <c r="C20" s="168">
        <f>IF(ISERROR(B20/SUM($B$20,$B$21,$B$22)*100),0,B20/SUM($B$20,$B$21,$B$22)*100)</f>
        <v>17.706821480406386</v>
      </c>
      <c r="D20" s="230"/>
      <c r="E20" s="15"/>
    </row>
    <row r="21" spans="1:7">
      <c r="A21" s="172" t="s">
        <v>74</v>
      </c>
      <c r="B21" s="37">
        <f>aantalw2001_elektriciteit</f>
        <v>513</v>
      </c>
      <c r="C21" s="168">
        <f>IF(ISERROR(B21/SUM($B$20,$B$21,$B$22)*100),0,B21/SUM($B$20,$B$21,$B$22)*100)</f>
        <v>74.45573294629898</v>
      </c>
      <c r="D21" s="230"/>
      <c r="E21" s="15"/>
    </row>
    <row r="22" spans="1:7">
      <c r="A22" s="172" t="s">
        <v>75</v>
      </c>
      <c r="B22" s="37">
        <f>aantalw2001_hout</f>
        <v>54</v>
      </c>
      <c r="C22" s="168">
        <f>IF(ISERROR(B22/SUM($B$20,$B$21,$B$22)*100),0,B22/SUM($B$20,$B$21,$B$22)*100)</f>
        <v>7.8374455732946293</v>
      </c>
      <c r="D22" s="230"/>
      <c r="E22" s="15"/>
    </row>
    <row r="23" spans="1:7">
      <c r="A23" s="172" t="s">
        <v>76</v>
      </c>
      <c r="B23" s="37">
        <f>aantalw2001_niet_gespec</f>
        <v>63</v>
      </c>
      <c r="C23" s="167" t="s">
        <v>111</v>
      </c>
      <c r="D23" s="229"/>
      <c r="E23" s="15"/>
    </row>
    <row r="24" spans="1:7">
      <c r="A24" s="172" t="s">
        <v>77</v>
      </c>
      <c r="B24" s="37">
        <f>aantalw2001_steenkool</f>
        <v>128</v>
      </c>
      <c r="C24" s="167" t="s">
        <v>111</v>
      </c>
      <c r="D24" s="230"/>
      <c r="E24" s="15"/>
    </row>
    <row r="25" spans="1:7">
      <c r="A25" s="172" t="s">
        <v>78</v>
      </c>
      <c r="B25" s="37">
        <f>aantalw2001_stookolie</f>
        <v>2909</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6072</v>
      </c>
      <c r="C28" s="36"/>
      <c r="D28" s="229"/>
    </row>
    <row r="29" spans="1:7" s="15" customFormat="1">
      <c r="A29" s="231" t="s">
        <v>713</v>
      </c>
      <c r="B29" s="37">
        <f>SUM(HH_hh_gas_aantal,HH_rest_gas_aantal)</f>
        <v>3037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3037</v>
      </c>
      <c r="C32" s="168">
        <f>IF(ISERROR(B32/SUM($B$32,$B$34,$B$35,$B$36,$B$38,$B$39)*100),0,B32/SUM($B$32,$B$34,$B$35,$B$36,$B$38,$B$39)*100)</f>
        <v>50.08245382585752</v>
      </c>
      <c r="D32" s="234"/>
      <c r="G32" s="15"/>
    </row>
    <row r="33" spans="1:7">
      <c r="A33" s="172" t="s">
        <v>72</v>
      </c>
      <c r="B33" s="34" t="s">
        <v>111</v>
      </c>
      <c r="C33" s="168"/>
      <c r="D33" s="234"/>
      <c r="G33" s="15"/>
    </row>
    <row r="34" spans="1:7">
      <c r="A34" s="172" t="s">
        <v>73</v>
      </c>
      <c r="B34" s="33">
        <f>IF((($B$28-$B$32-$B$39-$B$77-$B$38)*C20/100)&lt;0,0,($B$28-$B$32-$B$39-$B$77-$B$38)*C20/100)</f>
        <v>235.39448476052249</v>
      </c>
      <c r="C34" s="168">
        <f>IF(ISERROR(B34/SUM($B$32,$B$34,$B$35,$B$36,$B$38,$B$39)*100),0,B34/SUM($B$32,$B$34,$B$35,$B$36,$B$38,$B$39)*100)</f>
        <v>3.8818351708529439</v>
      </c>
      <c r="D34" s="234"/>
      <c r="G34" s="15"/>
    </row>
    <row r="35" spans="1:7">
      <c r="A35" s="172" t="s">
        <v>74</v>
      </c>
      <c r="B35" s="33">
        <f>IF((($B$28-$B$32-$B$39-$B$77-$B$38)*C21/100)&lt;0,0,($B$28-$B$32-$B$39-$B$77-$B$38)*C21/100)</f>
        <v>989.81451378809868</v>
      </c>
      <c r="C35" s="168">
        <f>IF(ISERROR(B35/SUM($B$32,$B$34,$B$35,$B$36,$B$38,$B$39)*100),0,B35/SUM($B$32,$B$34,$B$35,$B$36,$B$38,$B$39)*100)</f>
        <v>16.322798710225904</v>
      </c>
      <c r="D35" s="234"/>
      <c r="G35" s="15"/>
    </row>
    <row r="36" spans="1:7">
      <c r="A36" s="172" t="s">
        <v>75</v>
      </c>
      <c r="B36" s="33">
        <f>IF((($B$28-$B$32-$B$39-$B$77-$B$38)*C22/100)&lt;0,0,($B$28-$B$32-$B$39-$B$77-$B$38)*C22/100)</f>
        <v>104.19100145137881</v>
      </c>
      <c r="C36" s="168">
        <f>IF(ISERROR(B36/SUM($B$32,$B$34,$B$35,$B$36,$B$38,$B$39)*100),0,B36/SUM($B$32,$B$34,$B$35,$B$36,$B$38,$B$39)*100)</f>
        <v>1.718189337918516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1697.6</v>
      </c>
      <c r="C39" s="168">
        <f>IF(ISERROR(B39/SUM($B$32,$B$34,$B$35,$B$36,$B$38,$B$39)*100),0,B39/SUM($B$32,$B$34,$B$35,$B$36,$B$38,$B$39)*100)</f>
        <v>27.994722955145118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3037</v>
      </c>
      <c r="C44" s="34" t="s">
        <v>111</v>
      </c>
      <c r="D44" s="175"/>
    </row>
    <row r="45" spans="1:7">
      <c r="A45" s="172" t="s">
        <v>72</v>
      </c>
      <c r="B45" s="33" t="str">
        <f t="shared" si="0"/>
        <v>-</v>
      </c>
      <c r="C45" s="34" t="s">
        <v>111</v>
      </c>
      <c r="D45" s="175"/>
    </row>
    <row r="46" spans="1:7">
      <c r="A46" s="172" t="s">
        <v>73</v>
      </c>
      <c r="B46" s="33">
        <f t="shared" si="0"/>
        <v>235.39448476052249</v>
      </c>
      <c r="C46" s="34" t="s">
        <v>111</v>
      </c>
      <c r="D46" s="175"/>
    </row>
    <row r="47" spans="1:7">
      <c r="A47" s="172" t="s">
        <v>74</v>
      </c>
      <c r="B47" s="33">
        <f t="shared" si="0"/>
        <v>989.81451378809868</v>
      </c>
      <c r="C47" s="34" t="s">
        <v>111</v>
      </c>
      <c r="D47" s="175"/>
    </row>
    <row r="48" spans="1:7">
      <c r="A48" s="172" t="s">
        <v>75</v>
      </c>
      <c r="B48" s="33">
        <f t="shared" si="0"/>
        <v>104.19100145137881</v>
      </c>
      <c r="C48" s="33">
        <f>B48*10</f>
        <v>1041.9100145137882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1697.6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22683.232558932599</v>
      </c>
      <c r="C5" s="17">
        <f>IF(ISERROR('Eigen informatie GS &amp; warmtenet'!B58),0,'Eigen informatie GS &amp; warmtenet'!B58)</f>
        <v>0</v>
      </c>
      <c r="D5" s="30">
        <f>SUM(D6:D12)</f>
        <v>16761.95101378332</v>
      </c>
      <c r="E5" s="17">
        <f>SUM(E6:E12)</f>
        <v>463.10008954330635</v>
      </c>
      <c r="F5" s="17">
        <f>SUM(F6:F12)</f>
        <v>3937.7030961838823</v>
      </c>
      <c r="G5" s="18"/>
      <c r="H5" s="17"/>
      <c r="I5" s="17"/>
      <c r="J5" s="17">
        <f>SUM(J6:J12)</f>
        <v>0</v>
      </c>
      <c r="K5" s="17"/>
      <c r="L5" s="17"/>
      <c r="M5" s="17"/>
      <c r="N5" s="17">
        <f>SUM(N6:N12)</f>
        <v>351.09339040638588</v>
      </c>
      <c r="O5" s="17">
        <f>B38*B39*B40</f>
        <v>0</v>
      </c>
      <c r="P5" s="17">
        <f>B46*B47*B48/1000-B46*B47*B48/1000/B49</f>
        <v>0</v>
      </c>
      <c r="R5" s="32"/>
    </row>
    <row r="6" spans="1:18">
      <c r="A6" s="32" t="s">
        <v>54</v>
      </c>
      <c r="B6" s="37">
        <f>B26</f>
        <v>3791.7506632085601</v>
      </c>
      <c r="C6" s="33"/>
      <c r="D6" s="37">
        <f>IF(ISERROR(TER_kantoor_gas_kWh/1000),0,TER_kantoor_gas_kWh/1000)*0.902</f>
        <v>4410.0621269968105</v>
      </c>
      <c r="E6" s="33">
        <f>$C$26*'E Balans VL '!I12/100/3.6*1000000</f>
        <v>132.72618899871267</v>
      </c>
      <c r="F6" s="33">
        <f>$C$26*('E Balans VL '!L12+'E Balans VL '!N12)/100/3.6*1000000</f>
        <v>574.91080863143065</v>
      </c>
      <c r="G6" s="34"/>
      <c r="H6" s="33"/>
      <c r="I6" s="33"/>
      <c r="J6" s="33">
        <f>$C$26*('E Balans VL '!D12+'E Balans VL '!E12)/100/3.6*1000000</f>
        <v>0</v>
      </c>
      <c r="K6" s="33"/>
      <c r="L6" s="33"/>
      <c r="M6" s="33"/>
      <c r="N6" s="33">
        <f>$C$26*'E Balans VL '!Y12/100/3.6*1000000</f>
        <v>29.309045841306389</v>
      </c>
      <c r="O6" s="33"/>
      <c r="P6" s="33"/>
      <c r="R6" s="32"/>
    </row>
    <row r="7" spans="1:18">
      <c r="A7" s="32" t="s">
        <v>53</v>
      </c>
      <c r="B7" s="37">
        <f t="shared" ref="B7:B12" si="0">B27</f>
        <v>1738.3553890896601</v>
      </c>
      <c r="C7" s="33"/>
      <c r="D7" s="37">
        <f>IF(ISERROR(TER_horeca_gas_kWh/1000),0,TER_horeca_gas_kWh/1000)*0.902</f>
        <v>1359.4979369276045</v>
      </c>
      <c r="E7" s="33">
        <f>$C$27*'E Balans VL '!I9/100/3.6*1000000</f>
        <v>98.066358441997792</v>
      </c>
      <c r="F7" s="33">
        <f>$C$27*('E Balans VL '!L9+'E Balans VL '!N9)/100/3.6*1000000</f>
        <v>302.83112896165937</v>
      </c>
      <c r="G7" s="34"/>
      <c r="H7" s="33"/>
      <c r="I7" s="33"/>
      <c r="J7" s="33">
        <f>$C$27*('E Balans VL '!D9+'E Balans VL '!E9)/100/3.6*1000000</f>
        <v>0</v>
      </c>
      <c r="K7" s="33"/>
      <c r="L7" s="33"/>
      <c r="M7" s="33"/>
      <c r="N7" s="33">
        <f>$C$27*'E Balans VL '!Y9/100/3.6*1000000</f>
        <v>0</v>
      </c>
      <c r="O7" s="33"/>
      <c r="P7" s="33"/>
      <c r="R7" s="32"/>
    </row>
    <row r="8" spans="1:18">
      <c r="A8" s="6" t="s">
        <v>52</v>
      </c>
      <c r="B8" s="37">
        <f t="shared" si="0"/>
        <v>8009.4912802191502</v>
      </c>
      <c r="C8" s="33"/>
      <c r="D8" s="37">
        <f>IF(ISERROR(TER_handel_gas_kWh/1000),0,TER_handel_gas_kWh/1000)*0.902</f>
        <v>2021.2760932835879</v>
      </c>
      <c r="E8" s="33">
        <f>$C$28*'E Balans VL '!I13/100/3.6*1000000</f>
        <v>41.119914480133211</v>
      </c>
      <c r="F8" s="33">
        <f>$C$28*('E Balans VL '!L13+'E Balans VL '!N13)/100/3.6*1000000</f>
        <v>1234.9397960650624</v>
      </c>
      <c r="G8" s="34"/>
      <c r="H8" s="33"/>
      <c r="I8" s="33"/>
      <c r="J8" s="33">
        <f>$C$28*('E Balans VL '!D13+'E Balans VL '!E13)/100/3.6*1000000</f>
        <v>0</v>
      </c>
      <c r="K8" s="33"/>
      <c r="L8" s="33"/>
      <c r="M8" s="33"/>
      <c r="N8" s="33">
        <f>$C$28*'E Balans VL '!Y13/100/3.6*1000000</f>
        <v>3.7461368407596467</v>
      </c>
      <c r="O8" s="33"/>
      <c r="P8" s="33"/>
      <c r="R8" s="32"/>
    </row>
    <row r="9" spans="1:18">
      <c r="A9" s="32" t="s">
        <v>51</v>
      </c>
      <c r="B9" s="37">
        <f t="shared" si="0"/>
        <v>20.330716640451502</v>
      </c>
      <c r="C9" s="33"/>
      <c r="D9" s="37">
        <f>IF(ISERROR(TER_gezond_gas_kWh/1000),0,TER_gezond_gas_kWh/1000)*0.902</f>
        <v>63.798806585300923</v>
      </c>
      <c r="E9" s="33">
        <f>$C$29*'E Balans VL '!I10/100/3.6*1000000</f>
        <v>8.4269372572924831E-3</v>
      </c>
      <c r="F9" s="33">
        <f>$C$29*('E Balans VL '!L10+'E Balans VL '!N10)/100/3.6*1000000</f>
        <v>5.0071639271718054</v>
      </c>
      <c r="G9" s="34"/>
      <c r="H9" s="33"/>
      <c r="I9" s="33"/>
      <c r="J9" s="33">
        <f>$C$29*('E Balans VL '!D10+'E Balans VL '!E10)/100/3.6*1000000</f>
        <v>0</v>
      </c>
      <c r="K9" s="33"/>
      <c r="L9" s="33"/>
      <c r="M9" s="33"/>
      <c r="N9" s="33">
        <f>$C$29*'E Balans VL '!Y10/100/3.6*1000000</f>
        <v>0.1757077128409216</v>
      </c>
      <c r="O9" s="33"/>
      <c r="P9" s="33"/>
      <c r="R9" s="32"/>
    </row>
    <row r="10" spans="1:18">
      <c r="A10" s="32" t="s">
        <v>50</v>
      </c>
      <c r="B10" s="37">
        <f t="shared" si="0"/>
        <v>292.410422179477</v>
      </c>
      <c r="C10" s="33"/>
      <c r="D10" s="37">
        <f>IF(ISERROR(TER_ander_gas_kWh/1000),0,TER_ander_gas_kWh/1000)*0.902</f>
        <v>374.77282922767915</v>
      </c>
      <c r="E10" s="33">
        <f>$C$30*'E Balans VL '!I14/100/3.6*1000000</f>
        <v>1.7825411481599702</v>
      </c>
      <c r="F10" s="33">
        <f>$C$30*('E Balans VL '!L14+'E Balans VL '!N14)/100/3.6*1000000</f>
        <v>77.522008488191858</v>
      </c>
      <c r="G10" s="34"/>
      <c r="H10" s="33"/>
      <c r="I10" s="33"/>
      <c r="J10" s="33">
        <f>$C$30*('E Balans VL '!D14+'E Balans VL '!E14)/100/3.6*1000000</f>
        <v>0</v>
      </c>
      <c r="K10" s="33"/>
      <c r="L10" s="33"/>
      <c r="M10" s="33"/>
      <c r="N10" s="33">
        <f>$C$30*'E Balans VL '!Y14/100/3.6*1000000</f>
        <v>67.394283788216185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8830.8940875953012</v>
      </c>
      <c r="C12" s="33"/>
      <c r="D12" s="37">
        <f>IF(ISERROR(TER_rest_gas_kWh/1000),0,TER_rest_gas_kWh/1000)*0.902</f>
        <v>8532.543220762338</v>
      </c>
      <c r="E12" s="33">
        <f>$C$32*'E Balans VL '!I8/100/3.6*1000000</f>
        <v>189.39665953704539</v>
      </c>
      <c r="F12" s="33">
        <f>$C$32*('E Balans VL '!L8+'E Balans VL '!N8)/100/3.6*1000000</f>
        <v>1742.4921901103662</v>
      </c>
      <c r="G12" s="34"/>
      <c r="H12" s="33"/>
      <c r="I12" s="33"/>
      <c r="J12" s="33">
        <f>$C$32*('E Balans VL '!D8+'E Balans VL '!E8)/100/3.6*1000000</f>
        <v>0</v>
      </c>
      <c r="K12" s="33"/>
      <c r="L12" s="33"/>
      <c r="M12" s="33"/>
      <c r="N12" s="33">
        <f>$C$32*'E Balans VL '!Y8/100/3.6*1000000</f>
        <v>250.46821622326271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22683.232558932599</v>
      </c>
      <c r="C16" s="21">
        <f ca="1">C5+C13+C14</f>
        <v>0</v>
      </c>
      <c r="D16" s="21">
        <f t="shared" ref="D16:N16" ca="1" si="1">MAX((D5+D13+D14),0)</f>
        <v>16761.95101378332</v>
      </c>
      <c r="E16" s="21">
        <f t="shared" si="1"/>
        <v>463.10008954330635</v>
      </c>
      <c r="F16" s="21">
        <f t="shared" ca="1" si="1"/>
        <v>3937.7030961838823</v>
      </c>
      <c r="G16" s="21">
        <f t="shared" si="1"/>
        <v>0</v>
      </c>
      <c r="H16" s="21">
        <f t="shared" si="1"/>
        <v>0</v>
      </c>
      <c r="I16" s="21">
        <f t="shared" si="1"/>
        <v>0</v>
      </c>
      <c r="J16" s="21">
        <f t="shared" si="1"/>
        <v>0</v>
      </c>
      <c r="K16" s="21">
        <f t="shared" si="1"/>
        <v>0</v>
      </c>
      <c r="L16" s="21">
        <f t="shared" ca="1" si="1"/>
        <v>0</v>
      </c>
      <c r="M16" s="21">
        <f t="shared" si="1"/>
        <v>0</v>
      </c>
      <c r="N16" s="21">
        <f t="shared" ca="1" si="1"/>
        <v>351.09339040638588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0.21550405678658466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4888.328637483517</v>
      </c>
      <c r="C20" s="23">
        <f t="shared" ref="C20:P20" ca="1" si="2">C16*C18</f>
        <v>0</v>
      </c>
      <c r="D20" s="23">
        <f t="shared" ca="1" si="2"/>
        <v>3385.9141047842309</v>
      </c>
      <c r="E20" s="23">
        <f t="shared" si="2"/>
        <v>105.12372032633054</v>
      </c>
      <c r="F20" s="23">
        <f t="shared" ca="1" si="2"/>
        <v>1051.3667266810967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3791.7506632085601</v>
      </c>
      <c r="C26" s="39">
        <f>IF(ISERROR(B26*3.6/1000000/'E Balans VL '!Z12*100),0,B26*3.6/1000000/'E Balans VL '!Z12*100)</f>
        <v>7.9791104562073098E-2</v>
      </c>
      <c r="D26" s="238" t="s">
        <v>719</v>
      </c>
      <c r="F26" s="6"/>
    </row>
    <row r="27" spans="1:18">
      <c r="A27" s="232" t="s">
        <v>53</v>
      </c>
      <c r="B27" s="33">
        <f>IF(ISERROR(TER_horeca_ele_kWh/1000),0,TER_horeca_ele_kWh/1000)</f>
        <v>1738.3553890896601</v>
      </c>
      <c r="C27" s="39">
        <f>IF(ISERROR(B27*3.6/1000000/'E Balans VL '!Z9*100),0,B27*3.6/1000000/'E Balans VL '!Z9*100)</f>
        <v>0.1471816660608139</v>
      </c>
      <c r="D27" s="238" t="s">
        <v>719</v>
      </c>
      <c r="F27" s="6"/>
    </row>
    <row r="28" spans="1:18">
      <c r="A28" s="172" t="s">
        <v>52</v>
      </c>
      <c r="B28" s="33">
        <f>IF(ISERROR(TER_handel_ele_kWh/1000),0,TER_handel_ele_kWh/1000)</f>
        <v>8009.4912802191502</v>
      </c>
      <c r="C28" s="39">
        <f>IF(ISERROR(B28*3.6/1000000/'E Balans VL '!Z13*100),0,B28*3.6/1000000/'E Balans VL '!Z13*100)</f>
        <v>0.22174165854805636</v>
      </c>
      <c r="D28" s="238" t="s">
        <v>719</v>
      </c>
      <c r="F28" s="6"/>
    </row>
    <row r="29" spans="1:18">
      <c r="A29" s="232" t="s">
        <v>51</v>
      </c>
      <c r="B29" s="33">
        <f>IF(ISERROR(TER_gezond_ele_kWh/1000),0,TER_gezond_ele_kWh/1000)</f>
        <v>20.330716640451502</v>
      </c>
      <c r="C29" s="39">
        <f>IF(ISERROR(B29*3.6/1000000/'E Balans VL '!Z10*100),0,B29*3.6/1000000/'E Balans VL '!Z10*100)</f>
        <v>2.6427677709863141E-3</v>
      </c>
      <c r="D29" s="238" t="s">
        <v>719</v>
      </c>
      <c r="F29" s="6"/>
    </row>
    <row r="30" spans="1:18">
      <c r="A30" s="232" t="s">
        <v>50</v>
      </c>
      <c r="B30" s="33">
        <f>IF(ISERROR(TER_ander_ele_kWh/1000),0,TER_ander_ele_kWh/1000)</f>
        <v>292.410422179477</v>
      </c>
      <c r="C30" s="39">
        <f>IF(ISERROR(B30*3.6/1000000/'E Balans VL '!Z14*100),0,B30*3.6/1000000/'E Balans VL '!Z14*100)</f>
        <v>2.2664489327331654E-2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8830.8940875953012</v>
      </c>
      <c r="C32" s="39">
        <f>IF(ISERROR(B32*3.6/1000000/'E Balans VL '!Z8*100),0,B32*3.6/1000000/'E Balans VL '!Z8*100)</f>
        <v>7.2817503133230488E-2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14971.839795899939</v>
      </c>
      <c r="C5" s="17">
        <f>IF(ISERROR('Eigen informatie GS &amp; warmtenet'!B59),0,'Eigen informatie GS &amp; warmtenet'!B59)</f>
        <v>0</v>
      </c>
      <c r="D5" s="30">
        <f>SUM(D6:D15)</f>
        <v>3015.0641456729772</v>
      </c>
      <c r="E5" s="17">
        <f>SUM(E6:E15)</f>
        <v>136.13069463514859</v>
      </c>
      <c r="F5" s="17">
        <f>SUM(F6:F15)</f>
        <v>3275.5596812968506</v>
      </c>
      <c r="G5" s="18"/>
      <c r="H5" s="17"/>
      <c r="I5" s="17"/>
      <c r="J5" s="17">
        <f>SUM(J6:J15)</f>
        <v>143.03838825434491</v>
      </c>
      <c r="K5" s="17"/>
      <c r="L5" s="17"/>
      <c r="M5" s="17"/>
      <c r="N5" s="17">
        <f>SUM(N6:N15)</f>
        <v>276.96214207664786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3556.7084151171398</v>
      </c>
      <c r="C8" s="33"/>
      <c r="D8" s="37">
        <f>IF( ISERROR(IND_metaal_Gas_kWH/1000),0,IND_metaal_Gas_kWH/1000)*0.902</f>
        <v>0</v>
      </c>
      <c r="E8" s="33">
        <f>C30*'E Balans VL '!I18/100/3.6*1000000</f>
        <v>24.992205280912906</v>
      </c>
      <c r="F8" s="33">
        <f>C30*'E Balans VL '!L18/100/3.6*1000000+C30*'E Balans VL '!N18/100/3.6*1000000</f>
        <v>390.50577518745445</v>
      </c>
      <c r="G8" s="34"/>
      <c r="H8" s="33"/>
      <c r="I8" s="33"/>
      <c r="J8" s="40">
        <f>C30*'E Balans VL '!D18/100/3.6*1000000+C30*'E Balans VL '!E18/100/3.6*1000000</f>
        <v>73.382560703921385</v>
      </c>
      <c r="K8" s="33"/>
      <c r="L8" s="33"/>
      <c r="M8" s="33"/>
      <c r="N8" s="33">
        <f>C30*'E Balans VL '!Y18/100/3.6*1000000</f>
        <v>13.33079929372434</v>
      </c>
      <c r="O8" s="33"/>
      <c r="P8" s="33"/>
      <c r="R8" s="32"/>
    </row>
    <row r="9" spans="1:18">
      <c r="A9" s="6" t="s">
        <v>33</v>
      </c>
      <c r="B9" s="37">
        <f t="shared" si="0"/>
        <v>1043.4664167282799</v>
      </c>
      <c r="C9" s="33"/>
      <c r="D9" s="37">
        <f>IF( ISERROR(IND_andere_gas_kWh/1000),0,IND_andere_gas_kWh/1000)*0.902</f>
        <v>353.01251931317967</v>
      </c>
      <c r="E9" s="33">
        <f>C31*'E Balans VL '!I19/100/3.6*1000000</f>
        <v>17.526296756125387</v>
      </c>
      <c r="F9" s="33">
        <f>C31*'E Balans VL '!L19/100/3.6*1000000+C31*'E Balans VL '!N19/100/3.6*1000000</f>
        <v>815.72261318867163</v>
      </c>
      <c r="G9" s="34"/>
      <c r="H9" s="33"/>
      <c r="I9" s="33"/>
      <c r="J9" s="40">
        <f>C31*'E Balans VL '!D19/100/3.6*1000000+C31*'E Balans VL '!E19/100/3.6*1000000</f>
        <v>9.4111459709185843E-2</v>
      </c>
      <c r="K9" s="33"/>
      <c r="L9" s="33"/>
      <c r="M9" s="33"/>
      <c r="N9" s="33">
        <f>C31*'E Balans VL '!Y19/100/3.6*1000000</f>
        <v>77.337602424394916</v>
      </c>
      <c r="O9" s="33"/>
      <c r="P9" s="33"/>
      <c r="R9" s="32"/>
    </row>
    <row r="10" spans="1:18">
      <c r="A10" s="6" t="s">
        <v>41</v>
      </c>
      <c r="B10" s="37">
        <f t="shared" si="0"/>
        <v>104.92890496912001</v>
      </c>
      <c r="C10" s="33"/>
      <c r="D10" s="37">
        <f>IF( ISERROR(IND_voed_gas_kWh/1000),0,IND_voed_gas_kWh/1000)*0.902</f>
        <v>0</v>
      </c>
      <c r="E10" s="33">
        <f>C32*'E Balans VL '!I20/100/3.6*1000000</f>
        <v>0.95732772573388758</v>
      </c>
      <c r="F10" s="33">
        <f>C32*'E Balans VL '!L20/100/3.6*1000000+C32*'E Balans VL '!N20/100/3.6*1000000</f>
        <v>16.928314355598104</v>
      </c>
      <c r="G10" s="34"/>
      <c r="H10" s="33"/>
      <c r="I10" s="33"/>
      <c r="J10" s="40">
        <f>C32*'E Balans VL '!D20/100/3.6*1000000+C32*'E Balans VL '!E20/100/3.6*1000000</f>
        <v>0.43216602538294802</v>
      </c>
      <c r="K10" s="33"/>
      <c r="L10" s="33"/>
      <c r="M10" s="33"/>
      <c r="N10" s="33">
        <f>C32*'E Balans VL '!Y20/100/3.6*1000000</f>
        <v>1.5350271409345062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10266.7360590854</v>
      </c>
      <c r="C15" s="33"/>
      <c r="D15" s="37">
        <f>IF( ISERROR(IND_rest_gas_kWh/1000),0,IND_rest_gas_kWh/1000)*0.902</f>
        <v>2662.0516263597974</v>
      </c>
      <c r="E15" s="33">
        <f>C37*'E Balans VL '!I15/100/3.6*1000000</f>
        <v>92.654864872376407</v>
      </c>
      <c r="F15" s="33">
        <f>C37*'E Balans VL '!L15/100/3.6*1000000+C37*'E Balans VL '!N15/100/3.6*1000000</f>
        <v>2052.4029785651264</v>
      </c>
      <c r="G15" s="34"/>
      <c r="H15" s="33"/>
      <c r="I15" s="33"/>
      <c r="J15" s="40">
        <f>C37*'E Balans VL '!D15/100/3.6*1000000+C37*'E Balans VL '!E15/100/3.6*1000000</f>
        <v>69.129550065331387</v>
      </c>
      <c r="K15" s="33"/>
      <c r="L15" s="33"/>
      <c r="M15" s="33"/>
      <c r="N15" s="33">
        <f>C37*'E Balans VL '!Y15/100/3.6*1000000</f>
        <v>184.75871321759408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14971.839795899939</v>
      </c>
      <c r="C18" s="21">
        <f>C5+C16</f>
        <v>0</v>
      </c>
      <c r="D18" s="21">
        <f>MAX((D5+D16),0)</f>
        <v>3015.0641456729772</v>
      </c>
      <c r="E18" s="21">
        <f>MAX((E5+E16),0)</f>
        <v>136.13069463514859</v>
      </c>
      <c r="F18" s="21">
        <f>MAX((F5+F16),0)</f>
        <v>3275.5596812968506</v>
      </c>
      <c r="G18" s="21"/>
      <c r="H18" s="21"/>
      <c r="I18" s="21"/>
      <c r="J18" s="21">
        <f>MAX((J5+J16),0)</f>
        <v>143.03838825434491</v>
      </c>
      <c r="K18" s="21"/>
      <c r="L18" s="21">
        <f>MAX((L5+L16),0)</f>
        <v>0</v>
      </c>
      <c r="M18" s="21"/>
      <c r="N18" s="21">
        <f>MAX((N5+N16),0)</f>
        <v>276.96214207664786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0.21550405678658466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3226.4922135752686</v>
      </c>
      <c r="C22" s="23">
        <f ca="1">C18*C20</f>
        <v>0</v>
      </c>
      <c r="D22" s="23">
        <f>D18*D20</f>
        <v>609.04295742594149</v>
      </c>
      <c r="E22" s="23">
        <f>E18*E20</f>
        <v>30.901667682178729</v>
      </c>
      <c r="F22" s="23">
        <f>F18*F20</f>
        <v>874.57443490625917</v>
      </c>
      <c r="G22" s="23"/>
      <c r="H22" s="23"/>
      <c r="I22" s="23"/>
      <c r="J22" s="23">
        <f>J18*J20</f>
        <v>50.635589442038096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3556.7084151171398</v>
      </c>
      <c r="C30" s="39">
        <f>IF(ISERROR(B30*3.6/1000000/'E Balans VL '!Z18*100),0,B30*3.6/1000000/'E Balans VL '!Z18*100)</f>
        <v>0.2367722511025083</v>
      </c>
      <c r="D30" s="238" t="s">
        <v>719</v>
      </c>
    </row>
    <row r="31" spans="1:18">
      <c r="A31" s="6" t="s">
        <v>33</v>
      </c>
      <c r="B31" s="37">
        <f>IF( ISERROR(IND_ander_ele_kWh/1000),0,IND_ander_ele_kWh/1000)</f>
        <v>1043.4664167282799</v>
      </c>
      <c r="C31" s="39">
        <f>IF(ISERROR(B31*3.6/1000000/'E Balans VL '!Z19*100),0,B31*3.6/1000000/'E Balans VL '!Z19*100)</f>
        <v>4.6252731051613524E-2</v>
      </c>
      <c r="D31" s="238" t="s">
        <v>719</v>
      </c>
    </row>
    <row r="32" spans="1:18">
      <c r="A32" s="172" t="s">
        <v>41</v>
      </c>
      <c r="B32" s="37">
        <f>IF( ISERROR(IND_voed_ele_kWh/1000),0,IND_voed_ele_kWh/1000)</f>
        <v>104.92890496912001</v>
      </c>
      <c r="C32" s="39">
        <f>IF(ISERROR(B32*3.6/1000000/'E Balans VL '!Z20*100),0,B32*3.6/1000000/'E Balans VL '!Z20*100)</f>
        <v>3.5049264280396838E-3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10266.7360590854</v>
      </c>
      <c r="C37" s="39">
        <f>IF(ISERROR(B37*3.6/1000000/'E Balans VL '!Z15*100),0,B37*3.6/1000000/'E Balans VL '!Z15*100)</f>
        <v>7.6367790335830535E-2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463.91645595287207</v>
      </c>
      <c r="C5" s="17">
        <f>'Eigen informatie GS &amp; warmtenet'!B60</f>
        <v>0</v>
      </c>
      <c r="D5" s="30">
        <f>IF(ISERROR(SUM(LB_lb_gas_kWh,LB_rest_gas_kWh)/1000),0,SUM(LB_lb_gas_kWh,LB_rest_gas_kWh)/1000)*0.902</f>
        <v>79.770210533981754</v>
      </c>
      <c r="E5" s="17">
        <f>B17*'E Balans VL '!I25/3.6*1000000/100</f>
        <v>4.8582335605555222</v>
      </c>
      <c r="F5" s="17">
        <f>B17*('E Balans VL '!L25/3.6*1000000+'E Balans VL '!N25/3.6*1000000)/100</f>
        <v>1985.9149331207632</v>
      </c>
      <c r="G5" s="18"/>
      <c r="H5" s="17"/>
      <c r="I5" s="17"/>
      <c r="J5" s="17">
        <f>('E Balans VL '!D25+'E Balans VL '!E25)/3.6*1000000*landbouw!B17/100</f>
        <v>41.431897670722876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463.91645595287207</v>
      </c>
      <c r="C8" s="21">
        <f>C5+C6</f>
        <v>0</v>
      </c>
      <c r="D8" s="21">
        <f>MAX((D5+D6),0)</f>
        <v>79.770210533981754</v>
      </c>
      <c r="E8" s="21">
        <f>MAX((E5+E6),0)</f>
        <v>4.8582335605555222</v>
      </c>
      <c r="F8" s="21">
        <f>MAX((F5+F6),0)</f>
        <v>1985.9149331207632</v>
      </c>
      <c r="G8" s="21"/>
      <c r="H8" s="21"/>
      <c r="I8" s="21"/>
      <c r="J8" s="21">
        <f>MAX((J5+J6),0)</f>
        <v>41.431897670722876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0.21550405678658466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99.97587826789885</v>
      </c>
      <c r="C12" s="23">
        <f ca="1">C8*C10</f>
        <v>0</v>
      </c>
      <c r="D12" s="23">
        <f>D8*D10</f>
        <v>16.113582527864317</v>
      </c>
      <c r="E12" s="23">
        <f>E8*E10</f>
        <v>1.1028190182461035</v>
      </c>
      <c r="F12" s="23">
        <f>F8*F10</f>
        <v>530.23928714324381</v>
      </c>
      <c r="G12" s="23"/>
      <c r="H12" s="23"/>
      <c r="I12" s="23"/>
      <c r="J12" s="23">
        <f>J8*J10</f>
        <v>14.666891775435897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7.1405697813661725E-2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97.464987465770392</v>
      </c>
      <c r="C26" s="248">
        <f>B26*'GWP N2O_CH4'!B5</f>
        <v>2046.7647367811783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14.623277711787832</v>
      </c>
      <c r="C27" s="248">
        <f>B27*'GWP N2O_CH4'!B5</f>
        <v>307.08883194754446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1.2727406734486431</v>
      </c>
      <c r="C28" s="248">
        <f>B28*'GWP N2O_CH4'!B4</f>
        <v>394.54960876907933</v>
      </c>
      <c r="D28" s="50"/>
    </row>
    <row r="29" spans="1:4">
      <c r="A29" s="41" t="s">
        <v>277</v>
      </c>
      <c r="B29" s="248">
        <f>B34*'ha_N2O bodem landbouw'!B4</f>
        <v>8.8531093679558932</v>
      </c>
      <c r="C29" s="248">
        <f>B29*'GWP N2O_CH4'!B4</f>
        <v>2744.4639040663269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1.4630925971083105E-3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6.591187833763833E-6</v>
      </c>
      <c r="C5" s="446" t="s">
        <v>211</v>
      </c>
      <c r="D5" s="431">
        <f>SUM(D6:D11)</f>
        <v>3.413932823983907E-5</v>
      </c>
      <c r="E5" s="431">
        <f>SUM(E6:E11)</f>
        <v>3.9597920988599152E-3</v>
      </c>
      <c r="F5" s="444" t="s">
        <v>211</v>
      </c>
      <c r="G5" s="431">
        <f>SUM(G6:G11)</f>
        <v>0.68722961558993778</v>
      </c>
      <c r="H5" s="431">
        <f>SUM(H6:H11)</f>
        <v>0.11698743501153029</v>
      </c>
      <c r="I5" s="446" t="s">
        <v>211</v>
      </c>
      <c r="J5" s="446" t="s">
        <v>211</v>
      </c>
      <c r="K5" s="446" t="s">
        <v>211</v>
      </c>
      <c r="L5" s="446" t="s">
        <v>211</v>
      </c>
      <c r="M5" s="431">
        <f>SUM(M6:M11)</f>
        <v>3.5088587160318221E-2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7.5263974505507977E-7</v>
      </c>
      <c r="C6" s="432"/>
      <c r="D6" s="432">
        <f>vkm_2011_GW_PW*SUMIFS(TableVerdeelsleutelVkm[CNG],TableVerdeelsleutelVkm[Voertuigtype],"Lichte voertuigen")*SUMIFS(TableECFTransport[EnergieConsumptieFactor (PJ per km)],TableECFTransport[Index],CONCATENATE($A6,"_CNG_CNG"))</f>
        <v>3.244542454185078E-6</v>
      </c>
      <c r="E6" s="434">
        <f>vkm_2011_GW_PW*SUMIFS(TableVerdeelsleutelVkm[LPG],TableVerdeelsleutelVkm[Voertuigtype],"Lichte voertuigen")*SUMIFS(TableECFTransport[EnergieConsumptieFactor (PJ per km)],TableECFTransport[Index],CONCATENATE($A6,"_LPG_LPG"))</f>
        <v>3.3757473426329198E-4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4.1522619051175512E-2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1.0932045122106474E-2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2.2988148613704179E-3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3.8908681600499283E-2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1.3341247738026191E-5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1.6807821429142748E-3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1.4744088645828916E-6</v>
      </c>
      <c r="C8" s="432"/>
      <c r="D8" s="434">
        <f>vkm_2011_NGW_PW*SUMIFS(TableVerdeelsleutelVkm[CNG],TableVerdeelsleutelVkm[Voertuigtype],"Lichte voertuigen")*SUMIFS(TableECFTransport[EnergieConsumptieFactor (PJ per km)],TableECFTransport[Index],CONCATENATE($A8,"_CNG_CNG"))</f>
        <v>1.1402828196047692E-5</v>
      </c>
      <c r="E8" s="434">
        <f>vkm_2011_NGW_PW*SUMIFS(TableVerdeelsleutelVkm[LPG],TableVerdeelsleutelVkm[Voertuigtype],"Lichte voertuigen")*SUMIFS(TableECFTransport[EnergieConsumptieFactor (PJ per km)],TableECFTransport[Index],CONCATENATE($A8,"_LPG_LPG"))</f>
        <v>1.0832659970861601E-3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0.12637955597123085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3.6674778522157316E-2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7.1541243828894966E-3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3.7215887016471071E-2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1.1085635040702034E-5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1.6075790860890279E-3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4.3641392241258617E-6</v>
      </c>
      <c r="C10" s="432"/>
      <c r="D10" s="434">
        <f>vkm_2011_SW_PW*SUMIFS(TableVerdeelsleutelVkm[CNG],TableVerdeelsleutelVkm[Voertuigtype],"Lichte voertuigen")*SUMIFS(TableECFTransport[EnergieConsumptieFactor (PJ per km)],TableECFTransport[Index],CONCATENATE($A10,"_CNG_CNG"))</f>
        <v>1.94919575896063E-5</v>
      </c>
      <c r="E10" s="434">
        <f>vkm_2011_SW_PW*SUMIFS(TableVerdeelsleutelVkm[LPG],TableVerdeelsleutelVkm[Voertuigtype],"Lichte voertuigen")*SUMIFS(TableECFTransport[EnergieConsumptieFactor (PJ per km)],TableECFTransport[Index],CONCATENATE($A10,"_LPG_LPG"))</f>
        <v>2.5389513675104633E-3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0.28710817628533708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6.9299077929008496E-2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1.560412249732358E-2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0.15609469566522396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5.7106555479293759E-5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6.7431641897314262E-3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1.8308855093788423</v>
      </c>
      <c r="C14" s="21"/>
      <c r="D14" s="21">
        <f t="shared" ref="D14:M14" si="0">((D5)*10^9/3600)+D12</f>
        <v>9.4831467332886312</v>
      </c>
      <c r="E14" s="21">
        <f t="shared" si="0"/>
        <v>1099.9422496833097</v>
      </c>
      <c r="F14" s="21"/>
      <c r="G14" s="21">
        <f t="shared" si="0"/>
        <v>190897.1154416494</v>
      </c>
      <c r="H14" s="21">
        <f t="shared" si="0"/>
        <v>32496.509725425083</v>
      </c>
      <c r="I14" s="21"/>
      <c r="J14" s="21"/>
      <c r="K14" s="21"/>
      <c r="L14" s="21"/>
      <c r="M14" s="21">
        <f t="shared" si="0"/>
        <v>9746.8297667550614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0.21550405678658466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0.39456325478291299</v>
      </c>
      <c r="C18" s="23"/>
      <c r="D18" s="23">
        <f t="shared" ref="D18:M18" si="1">D14*D16</f>
        <v>1.9155956401243037</v>
      </c>
      <c r="E18" s="23">
        <f t="shared" si="1"/>
        <v>249.6868906781113</v>
      </c>
      <c r="F18" s="23"/>
      <c r="G18" s="23">
        <f t="shared" si="1"/>
        <v>50969.529822920391</v>
      </c>
      <c r="H18" s="23">
        <f t="shared" si="1"/>
        <v>8091.6309216308455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6.9889754643572234E-3</v>
      </c>
      <c r="H50" s="322">
        <f t="shared" si="2"/>
        <v>0</v>
      </c>
      <c r="I50" s="322">
        <f t="shared" si="2"/>
        <v>0</v>
      </c>
      <c r="J50" s="322">
        <f t="shared" si="2"/>
        <v>0</v>
      </c>
      <c r="K50" s="322">
        <f t="shared" si="2"/>
        <v>0</v>
      </c>
      <c r="L50" s="322">
        <f t="shared" si="2"/>
        <v>0</v>
      </c>
      <c r="M50" s="322">
        <f t="shared" si="2"/>
        <v>2.979096606054176E-4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6.9889754643572234E-3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2.979096606054176E-4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1941.382073432562</v>
      </c>
      <c r="H54" s="21">
        <f t="shared" si="3"/>
        <v>0</v>
      </c>
      <c r="I54" s="21">
        <f t="shared" si="3"/>
        <v>0</v>
      </c>
      <c r="J54" s="21">
        <f t="shared" si="3"/>
        <v>0</v>
      </c>
      <c r="K54" s="21">
        <f t="shared" si="3"/>
        <v>0</v>
      </c>
      <c r="L54" s="21">
        <f t="shared" si="3"/>
        <v>0</v>
      </c>
      <c r="M54" s="21">
        <f t="shared" si="3"/>
        <v>82.75268350150489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0.21550405678658466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518.34901360649405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23700.923558932598</v>
      </c>
      <c r="D10" s="687">
        <f ca="1">tertiair!C16</f>
        <v>0</v>
      </c>
      <c r="E10" s="687">
        <f ca="1">tertiair!D16</f>
        <v>16761.95101378332</v>
      </c>
      <c r="F10" s="687">
        <f>tertiair!E16</f>
        <v>463.10008954330635</v>
      </c>
      <c r="G10" s="687">
        <f ca="1">tertiair!F16</f>
        <v>3937.7030961838823</v>
      </c>
      <c r="H10" s="687">
        <f>tertiair!G16</f>
        <v>0</v>
      </c>
      <c r="I10" s="687">
        <f>tertiair!H16</f>
        <v>0</v>
      </c>
      <c r="J10" s="687">
        <f>tertiair!I16</f>
        <v>0</v>
      </c>
      <c r="K10" s="687">
        <f>tertiair!J16</f>
        <v>0</v>
      </c>
      <c r="L10" s="687">
        <f>tertiair!K16</f>
        <v>0</v>
      </c>
      <c r="M10" s="687">
        <f ca="1">tertiair!L16</f>
        <v>0</v>
      </c>
      <c r="N10" s="687">
        <f>tertiair!M16</f>
        <v>0</v>
      </c>
      <c r="O10" s="687">
        <f ca="1">tertiair!N16</f>
        <v>351.09339040638588</v>
      </c>
      <c r="P10" s="687">
        <f>tertiair!O16</f>
        <v>0</v>
      </c>
      <c r="Q10" s="688">
        <f>tertiair!P16</f>
        <v>0</v>
      </c>
      <c r="R10" s="690">
        <f ca="1">SUM(C10:Q10)</f>
        <v>45214.771148849497</v>
      </c>
      <c r="S10" s="67"/>
    </row>
    <row r="11" spans="1:19" s="456" customFormat="1">
      <c r="A11" s="802" t="s">
        <v>225</v>
      </c>
      <c r="B11" s="807"/>
      <c r="C11" s="687">
        <f>huishoudens!B8</f>
        <v>29395.918174490249</v>
      </c>
      <c r="D11" s="687">
        <f>huishoudens!C8</f>
        <v>0</v>
      </c>
      <c r="E11" s="687">
        <f>huishoudens!D8</f>
        <v>48253.262056109561</v>
      </c>
      <c r="F11" s="687">
        <f>huishoudens!E8</f>
        <v>4841.9895761735534</v>
      </c>
      <c r="G11" s="687">
        <f>huishoudens!F8</f>
        <v>38708.854909015419</v>
      </c>
      <c r="H11" s="687">
        <f>huishoudens!G8</f>
        <v>0</v>
      </c>
      <c r="I11" s="687">
        <f>huishoudens!H8</f>
        <v>0</v>
      </c>
      <c r="J11" s="687">
        <f>huishoudens!I8</f>
        <v>0</v>
      </c>
      <c r="K11" s="687">
        <f>huishoudens!J8</f>
        <v>0</v>
      </c>
      <c r="L11" s="687">
        <f>huishoudens!K8</f>
        <v>0</v>
      </c>
      <c r="M11" s="687">
        <f>huishoudens!L8</f>
        <v>0</v>
      </c>
      <c r="N11" s="687">
        <f>huishoudens!M8</f>
        <v>0</v>
      </c>
      <c r="O11" s="687">
        <f>huishoudens!N8</f>
        <v>6200.9421569928891</v>
      </c>
      <c r="P11" s="687">
        <f>huishoudens!O8</f>
        <v>56.280000000000008</v>
      </c>
      <c r="Q11" s="688">
        <f>huishoudens!P8</f>
        <v>152.53333333333333</v>
      </c>
      <c r="R11" s="690">
        <f>SUM(C11:Q11)</f>
        <v>127609.780206115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14971.839795899939</v>
      </c>
      <c r="D13" s="687">
        <f>industrie!C18</f>
        <v>0</v>
      </c>
      <c r="E13" s="687">
        <f>industrie!D18</f>
        <v>3015.0641456729772</v>
      </c>
      <c r="F13" s="687">
        <f>industrie!E18</f>
        <v>136.13069463514859</v>
      </c>
      <c r="G13" s="687">
        <f>industrie!F18</f>
        <v>3275.5596812968506</v>
      </c>
      <c r="H13" s="687">
        <f>industrie!G18</f>
        <v>0</v>
      </c>
      <c r="I13" s="687">
        <f>industrie!H18</f>
        <v>0</v>
      </c>
      <c r="J13" s="687">
        <f>industrie!I18</f>
        <v>0</v>
      </c>
      <c r="K13" s="687">
        <f>industrie!J18</f>
        <v>143.03838825434491</v>
      </c>
      <c r="L13" s="687">
        <f>industrie!K18</f>
        <v>0</v>
      </c>
      <c r="M13" s="687">
        <f>industrie!L18</f>
        <v>0</v>
      </c>
      <c r="N13" s="687">
        <f>industrie!M18</f>
        <v>0</v>
      </c>
      <c r="O13" s="687">
        <f>industrie!N18</f>
        <v>276.96214207664786</v>
      </c>
      <c r="P13" s="687">
        <f>industrie!O18</f>
        <v>0</v>
      </c>
      <c r="Q13" s="688">
        <f>industrie!P18</f>
        <v>0</v>
      </c>
      <c r="R13" s="690">
        <f>SUM(C13:Q13)</f>
        <v>21818.59484783591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68068.681529322785</v>
      </c>
      <c r="D16" s="720">
        <f t="shared" ref="D16:R16" ca="1" si="0">SUM(D9:D15)</f>
        <v>0</v>
      </c>
      <c r="E16" s="720">
        <f t="shared" ca="1" si="0"/>
        <v>68030.27721556586</v>
      </c>
      <c r="F16" s="720">
        <f t="shared" si="0"/>
        <v>5441.2203603520084</v>
      </c>
      <c r="G16" s="720">
        <f t="shared" ca="1" si="0"/>
        <v>45922.117686496153</v>
      </c>
      <c r="H16" s="720">
        <f t="shared" si="0"/>
        <v>0</v>
      </c>
      <c r="I16" s="720">
        <f t="shared" si="0"/>
        <v>0</v>
      </c>
      <c r="J16" s="720">
        <f t="shared" si="0"/>
        <v>0</v>
      </c>
      <c r="K16" s="720">
        <f t="shared" si="0"/>
        <v>143.03838825434491</v>
      </c>
      <c r="L16" s="720">
        <f t="shared" si="0"/>
        <v>0</v>
      </c>
      <c r="M16" s="720">
        <f t="shared" ca="1" si="0"/>
        <v>0</v>
      </c>
      <c r="N16" s="720">
        <f t="shared" si="0"/>
        <v>0</v>
      </c>
      <c r="O16" s="720">
        <f t="shared" ca="1" si="0"/>
        <v>6828.9976894759229</v>
      </c>
      <c r="P16" s="720">
        <f t="shared" si="0"/>
        <v>56.280000000000008</v>
      </c>
      <c r="Q16" s="720">
        <f t="shared" si="0"/>
        <v>152.53333333333333</v>
      </c>
      <c r="R16" s="720">
        <f t="shared" ca="1" si="0"/>
        <v>194643.14620280042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1941.382073432562</v>
      </c>
      <c r="I19" s="687">
        <f>transport!H54</f>
        <v>0</v>
      </c>
      <c r="J19" s="687">
        <f>transport!I54</f>
        <v>0</v>
      </c>
      <c r="K19" s="687">
        <f>transport!J54</f>
        <v>0</v>
      </c>
      <c r="L19" s="687">
        <f>transport!K54</f>
        <v>0</v>
      </c>
      <c r="M19" s="687">
        <f>transport!L54</f>
        <v>0</v>
      </c>
      <c r="N19" s="687">
        <f>transport!M54</f>
        <v>82.75268350150489</v>
      </c>
      <c r="O19" s="687">
        <f>transport!N54</f>
        <v>0</v>
      </c>
      <c r="P19" s="687">
        <f>transport!O54</f>
        <v>0</v>
      </c>
      <c r="Q19" s="688">
        <f>transport!P54</f>
        <v>0</v>
      </c>
      <c r="R19" s="690">
        <f>SUM(C19:Q19)</f>
        <v>2024.1347569340669</v>
      </c>
      <c r="S19" s="67"/>
    </row>
    <row r="20" spans="1:19" s="456" customFormat="1">
      <c r="A20" s="802" t="s">
        <v>307</v>
      </c>
      <c r="B20" s="807"/>
      <c r="C20" s="687">
        <f>transport!B14</f>
        <v>1.8308855093788423</v>
      </c>
      <c r="D20" s="687">
        <f>transport!C14</f>
        <v>0</v>
      </c>
      <c r="E20" s="687">
        <f>transport!D14</f>
        <v>9.4831467332886312</v>
      </c>
      <c r="F20" s="687">
        <f>transport!E14</f>
        <v>1099.9422496833097</v>
      </c>
      <c r="G20" s="687">
        <f>transport!F14</f>
        <v>0</v>
      </c>
      <c r="H20" s="687">
        <f>transport!G14</f>
        <v>190897.1154416494</v>
      </c>
      <c r="I20" s="687">
        <f>transport!H14</f>
        <v>32496.509725425083</v>
      </c>
      <c r="J20" s="687">
        <f>transport!I14</f>
        <v>0</v>
      </c>
      <c r="K20" s="687">
        <f>transport!J14</f>
        <v>0</v>
      </c>
      <c r="L20" s="687">
        <f>transport!K14</f>
        <v>0</v>
      </c>
      <c r="M20" s="687">
        <f>transport!L14</f>
        <v>0</v>
      </c>
      <c r="N20" s="687">
        <f>transport!M14</f>
        <v>9746.8297667550614</v>
      </c>
      <c r="O20" s="687">
        <f>transport!N14</f>
        <v>0</v>
      </c>
      <c r="P20" s="687">
        <f>transport!O14</f>
        <v>0</v>
      </c>
      <c r="Q20" s="688">
        <f>transport!P14</f>
        <v>0</v>
      </c>
      <c r="R20" s="690">
        <f>SUM(C20:Q20)</f>
        <v>234251.71121575549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1.8308855093788423</v>
      </c>
      <c r="D22" s="805">
        <f t="shared" ref="D22:R22" si="1">SUM(D18:D21)</f>
        <v>0</v>
      </c>
      <c r="E22" s="805">
        <f t="shared" si="1"/>
        <v>9.4831467332886312</v>
      </c>
      <c r="F22" s="805">
        <f t="shared" si="1"/>
        <v>1099.9422496833097</v>
      </c>
      <c r="G22" s="805">
        <f t="shared" si="1"/>
        <v>0</v>
      </c>
      <c r="H22" s="805">
        <f t="shared" si="1"/>
        <v>192838.49751508195</v>
      </c>
      <c r="I22" s="805">
        <f t="shared" si="1"/>
        <v>32496.509725425083</v>
      </c>
      <c r="J22" s="805">
        <f t="shared" si="1"/>
        <v>0</v>
      </c>
      <c r="K22" s="805">
        <f t="shared" si="1"/>
        <v>0</v>
      </c>
      <c r="L22" s="805">
        <f t="shared" si="1"/>
        <v>0</v>
      </c>
      <c r="M22" s="805">
        <f t="shared" si="1"/>
        <v>0</v>
      </c>
      <c r="N22" s="805">
        <f t="shared" si="1"/>
        <v>9829.5824502565665</v>
      </c>
      <c r="O22" s="805">
        <f t="shared" si="1"/>
        <v>0</v>
      </c>
      <c r="P22" s="805">
        <f t="shared" si="1"/>
        <v>0</v>
      </c>
      <c r="Q22" s="805">
        <f t="shared" si="1"/>
        <v>0</v>
      </c>
      <c r="R22" s="805">
        <f t="shared" si="1"/>
        <v>236275.84597268957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463.91645595287207</v>
      </c>
      <c r="D24" s="687">
        <f>+landbouw!C8</f>
        <v>0</v>
      </c>
      <c r="E24" s="687">
        <f>+landbouw!D8</f>
        <v>79.770210533981754</v>
      </c>
      <c r="F24" s="687">
        <f>+landbouw!E8</f>
        <v>4.8582335605555222</v>
      </c>
      <c r="G24" s="687">
        <f>+landbouw!F8</f>
        <v>1985.9149331207632</v>
      </c>
      <c r="H24" s="687">
        <f>+landbouw!G8</f>
        <v>0</v>
      </c>
      <c r="I24" s="687">
        <f>+landbouw!H8</f>
        <v>0</v>
      </c>
      <c r="J24" s="687">
        <f>+landbouw!I8</f>
        <v>0</v>
      </c>
      <c r="K24" s="687">
        <f>+landbouw!J8</f>
        <v>41.431897670722876</v>
      </c>
      <c r="L24" s="687">
        <f>+landbouw!K8</f>
        <v>0</v>
      </c>
      <c r="M24" s="687">
        <f>+landbouw!L8</f>
        <v>0</v>
      </c>
      <c r="N24" s="687">
        <f>+landbouw!M8</f>
        <v>0</v>
      </c>
      <c r="O24" s="687">
        <f>+landbouw!N8</f>
        <v>0</v>
      </c>
      <c r="P24" s="687">
        <f>+landbouw!O8</f>
        <v>0</v>
      </c>
      <c r="Q24" s="688">
        <f>+landbouw!P8</f>
        <v>0</v>
      </c>
      <c r="R24" s="690">
        <f>SUM(C24:Q24)</f>
        <v>2575.8917308388955</v>
      </c>
      <c r="S24" s="67"/>
    </row>
    <row r="25" spans="1:19" s="456" customFormat="1" ht="15" thickBot="1">
      <c r="A25" s="824" t="s">
        <v>925</v>
      </c>
      <c r="B25" s="988"/>
      <c r="C25" s="989">
        <f>IF(Onbekend_ele_kWh="---",0,Onbekend_ele_kWh)/1000+IF(REST_rest_ele_kWh="---",0,REST_rest_ele_kWh)/1000</f>
        <v>1336.45112557484</v>
      </c>
      <c r="D25" s="989"/>
      <c r="E25" s="989">
        <f>IF(onbekend_gas_kWh="---",0,onbekend_gas_kWh)/1000+IF(REST_rest_gas_kWh="---",0,REST_rest_gas_kWh)/1000</f>
        <v>2685.91565351494</v>
      </c>
      <c r="F25" s="989"/>
      <c r="G25" s="989"/>
      <c r="H25" s="989"/>
      <c r="I25" s="989"/>
      <c r="J25" s="989"/>
      <c r="K25" s="989"/>
      <c r="L25" s="989"/>
      <c r="M25" s="989"/>
      <c r="N25" s="989"/>
      <c r="O25" s="989"/>
      <c r="P25" s="989"/>
      <c r="Q25" s="990"/>
      <c r="R25" s="690">
        <f>SUM(C25:Q25)</f>
        <v>4022.3667790897798</v>
      </c>
      <c r="S25" s="67"/>
    </row>
    <row r="26" spans="1:19" s="456" customFormat="1" ht="15.75" thickBot="1">
      <c r="A26" s="693" t="s">
        <v>926</v>
      </c>
      <c r="B26" s="810"/>
      <c r="C26" s="805">
        <f>SUM(C24:C25)</f>
        <v>1800.367581527712</v>
      </c>
      <c r="D26" s="805">
        <f t="shared" ref="D26:R26" si="2">SUM(D24:D25)</f>
        <v>0</v>
      </c>
      <c r="E26" s="805">
        <f t="shared" si="2"/>
        <v>2765.6858640489218</v>
      </c>
      <c r="F26" s="805">
        <f t="shared" si="2"/>
        <v>4.8582335605555222</v>
      </c>
      <c r="G26" s="805">
        <f t="shared" si="2"/>
        <v>1985.9149331207632</v>
      </c>
      <c r="H26" s="805">
        <f t="shared" si="2"/>
        <v>0</v>
      </c>
      <c r="I26" s="805">
        <f t="shared" si="2"/>
        <v>0</v>
      </c>
      <c r="J26" s="805">
        <f t="shared" si="2"/>
        <v>0</v>
      </c>
      <c r="K26" s="805">
        <f t="shared" si="2"/>
        <v>41.431897670722876</v>
      </c>
      <c r="L26" s="805">
        <f t="shared" si="2"/>
        <v>0</v>
      </c>
      <c r="M26" s="805">
        <f t="shared" si="2"/>
        <v>0</v>
      </c>
      <c r="N26" s="805">
        <f t="shared" si="2"/>
        <v>0</v>
      </c>
      <c r="O26" s="805">
        <f t="shared" si="2"/>
        <v>0</v>
      </c>
      <c r="P26" s="805">
        <f t="shared" si="2"/>
        <v>0</v>
      </c>
      <c r="Q26" s="805">
        <f t="shared" si="2"/>
        <v>0</v>
      </c>
      <c r="R26" s="805">
        <f t="shared" si="2"/>
        <v>6598.2585099286753</v>
      </c>
      <c r="S26" s="67"/>
    </row>
    <row r="27" spans="1:19" s="456" customFormat="1" ht="17.25" thickTop="1" thickBot="1">
      <c r="A27" s="694" t="s">
        <v>116</v>
      </c>
      <c r="B27" s="797"/>
      <c r="C27" s="695">
        <f ca="1">C22+C16+C26</f>
        <v>69870.879996359872</v>
      </c>
      <c r="D27" s="695">
        <f t="shared" ref="D27:R27" ca="1" si="3">D22+D16+D26</f>
        <v>0</v>
      </c>
      <c r="E27" s="695">
        <f t="shared" ca="1" si="3"/>
        <v>70805.446226348067</v>
      </c>
      <c r="F27" s="695">
        <f t="shared" si="3"/>
        <v>6546.020843595873</v>
      </c>
      <c r="G27" s="695">
        <f t="shared" ca="1" si="3"/>
        <v>47908.032619616919</v>
      </c>
      <c r="H27" s="695">
        <f t="shared" si="3"/>
        <v>192838.49751508195</v>
      </c>
      <c r="I27" s="695">
        <f t="shared" si="3"/>
        <v>32496.509725425083</v>
      </c>
      <c r="J27" s="695">
        <f t="shared" si="3"/>
        <v>0</v>
      </c>
      <c r="K27" s="695">
        <f t="shared" si="3"/>
        <v>184.4702859250678</v>
      </c>
      <c r="L27" s="695">
        <f t="shared" si="3"/>
        <v>0</v>
      </c>
      <c r="M27" s="695">
        <f t="shared" ca="1" si="3"/>
        <v>0</v>
      </c>
      <c r="N27" s="695">
        <f t="shared" si="3"/>
        <v>9829.5824502565665</v>
      </c>
      <c r="O27" s="695">
        <f t="shared" ca="1" si="3"/>
        <v>6828.9976894759229</v>
      </c>
      <c r="P27" s="695">
        <f t="shared" si="3"/>
        <v>56.280000000000008</v>
      </c>
      <c r="Q27" s="695">
        <f t="shared" si="3"/>
        <v>152.53333333333333</v>
      </c>
      <c r="R27" s="695">
        <f t="shared" ca="1" si="3"/>
        <v>437517.25068541866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5107.6451765387128</v>
      </c>
      <c r="D40" s="687">
        <f ca="1">tertiair!C20</f>
        <v>0</v>
      </c>
      <c r="E40" s="687">
        <f ca="1">tertiair!D20</f>
        <v>3385.9141047842309</v>
      </c>
      <c r="F40" s="687">
        <f>tertiair!E20</f>
        <v>105.12372032633054</v>
      </c>
      <c r="G40" s="687">
        <f ca="1">tertiair!F20</f>
        <v>1051.3667266810967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9650.0497283303703</v>
      </c>
    </row>
    <row r="41" spans="1:18">
      <c r="A41" s="815" t="s">
        <v>225</v>
      </c>
      <c r="B41" s="822"/>
      <c r="C41" s="687">
        <f ca="1">huishoudens!B12</f>
        <v>6334.9396195691425</v>
      </c>
      <c r="D41" s="687">
        <f ca="1">huishoudens!C12</f>
        <v>0</v>
      </c>
      <c r="E41" s="687">
        <f>huishoudens!D12</f>
        <v>9747.1589353341315</v>
      </c>
      <c r="F41" s="687">
        <f>huishoudens!E12</f>
        <v>1099.1316337913966</v>
      </c>
      <c r="G41" s="687">
        <f>huishoudens!F12</f>
        <v>10335.264260707118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27516.494449401787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3226.4922135752686</v>
      </c>
      <c r="D43" s="687">
        <f ca="1">industrie!C22</f>
        <v>0</v>
      </c>
      <c r="E43" s="687">
        <f>industrie!D22</f>
        <v>609.04295742594149</v>
      </c>
      <c r="F43" s="687">
        <f>industrie!E22</f>
        <v>30.901667682178729</v>
      </c>
      <c r="G43" s="687">
        <f>industrie!F22</f>
        <v>874.57443490625917</v>
      </c>
      <c r="H43" s="687">
        <f>industrie!G22</f>
        <v>0</v>
      </c>
      <c r="I43" s="687">
        <f>industrie!H22</f>
        <v>0</v>
      </c>
      <c r="J43" s="687">
        <f>industrie!I22</f>
        <v>0</v>
      </c>
      <c r="K43" s="687">
        <f>industrie!J22</f>
        <v>50.635589442038096</v>
      </c>
      <c r="L43" s="687">
        <f>industrie!K22</f>
        <v>0</v>
      </c>
      <c r="M43" s="687">
        <f>industrie!L22</f>
        <v>0</v>
      </c>
      <c r="N43" s="687">
        <f>industrie!M22</f>
        <v>0</v>
      </c>
      <c r="O43" s="687">
        <f>industrie!N22</f>
        <v>0</v>
      </c>
      <c r="P43" s="687">
        <f>industrie!O22</f>
        <v>0</v>
      </c>
      <c r="Q43" s="762">
        <f>industrie!P22</f>
        <v>0</v>
      </c>
      <c r="R43" s="842">
        <f t="shared" ca="1" si="4"/>
        <v>4791.6468630316867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14669.077009683122</v>
      </c>
      <c r="D46" s="720">
        <f t="shared" ref="D46:Q46" ca="1" si="5">SUM(D39:D45)</f>
        <v>0</v>
      </c>
      <c r="E46" s="720">
        <f t="shared" ca="1" si="5"/>
        <v>13742.115997544304</v>
      </c>
      <c r="F46" s="720">
        <f t="shared" si="5"/>
        <v>1235.1570217999058</v>
      </c>
      <c r="G46" s="720">
        <f t="shared" ca="1" si="5"/>
        <v>12261.205422294473</v>
      </c>
      <c r="H46" s="720">
        <f t="shared" si="5"/>
        <v>0</v>
      </c>
      <c r="I46" s="720">
        <f t="shared" si="5"/>
        <v>0</v>
      </c>
      <c r="J46" s="720">
        <f t="shared" si="5"/>
        <v>0</v>
      </c>
      <c r="K46" s="720">
        <f t="shared" si="5"/>
        <v>50.635589442038096</v>
      </c>
      <c r="L46" s="720">
        <f t="shared" si="5"/>
        <v>0</v>
      </c>
      <c r="M46" s="720">
        <f t="shared" ca="1" si="5"/>
        <v>0</v>
      </c>
      <c r="N46" s="720">
        <f t="shared" si="5"/>
        <v>0</v>
      </c>
      <c r="O46" s="720">
        <f t="shared" ca="1" si="5"/>
        <v>0</v>
      </c>
      <c r="P46" s="720">
        <f t="shared" si="5"/>
        <v>0</v>
      </c>
      <c r="Q46" s="720">
        <f t="shared" si="5"/>
        <v>0</v>
      </c>
      <c r="R46" s="720">
        <f ca="1">SUM(R39:R45)</f>
        <v>41958.191040763842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518.34901360649405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518.34901360649405</v>
      </c>
    </row>
    <row r="50" spans="1:18">
      <c r="A50" s="818" t="s">
        <v>307</v>
      </c>
      <c r="B50" s="828"/>
      <c r="C50" s="995">
        <f ca="1">transport!B18</f>
        <v>0.39456325478291299</v>
      </c>
      <c r="D50" s="995">
        <f>transport!C18</f>
        <v>0</v>
      </c>
      <c r="E50" s="995">
        <f>transport!D18</f>
        <v>1.9155956401243037</v>
      </c>
      <c r="F50" s="995">
        <f>transport!E18</f>
        <v>249.6868906781113</v>
      </c>
      <c r="G50" s="995">
        <f>transport!F18</f>
        <v>0</v>
      </c>
      <c r="H50" s="995">
        <f>transport!G18</f>
        <v>50969.529822920391</v>
      </c>
      <c r="I50" s="995">
        <f>transport!H18</f>
        <v>8091.6309216308455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59313.15779412425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0.39456325478291299</v>
      </c>
      <c r="D52" s="720">
        <f t="shared" ref="D52:Q52" ca="1" si="6">SUM(D48:D51)</f>
        <v>0</v>
      </c>
      <c r="E52" s="720">
        <f t="shared" si="6"/>
        <v>1.9155956401243037</v>
      </c>
      <c r="F52" s="720">
        <f t="shared" si="6"/>
        <v>249.6868906781113</v>
      </c>
      <c r="G52" s="720">
        <f t="shared" si="6"/>
        <v>0</v>
      </c>
      <c r="H52" s="720">
        <f t="shared" si="6"/>
        <v>51487.878836526885</v>
      </c>
      <c r="I52" s="720">
        <f t="shared" si="6"/>
        <v>8091.6309216308455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59831.506807730744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99.97587826789885</v>
      </c>
      <c r="D54" s="995">
        <f ca="1">+landbouw!C12</f>
        <v>0</v>
      </c>
      <c r="E54" s="995">
        <f>+landbouw!D12</f>
        <v>16.113582527864317</v>
      </c>
      <c r="F54" s="995">
        <f>+landbouw!E12</f>
        <v>1.1028190182461035</v>
      </c>
      <c r="G54" s="995">
        <f>+landbouw!F12</f>
        <v>530.23928714324381</v>
      </c>
      <c r="H54" s="995">
        <f>+landbouw!G12</f>
        <v>0</v>
      </c>
      <c r="I54" s="995">
        <f>+landbouw!H12</f>
        <v>0</v>
      </c>
      <c r="J54" s="995">
        <f>+landbouw!I12</f>
        <v>0</v>
      </c>
      <c r="K54" s="995">
        <f>+landbouw!J12</f>
        <v>14.666891775435897</v>
      </c>
      <c r="L54" s="995">
        <f>+landbouw!K12</f>
        <v>0</v>
      </c>
      <c r="M54" s="995">
        <f>+landbouw!L12</f>
        <v>0</v>
      </c>
      <c r="N54" s="995">
        <f>+landbouw!M12</f>
        <v>0</v>
      </c>
      <c r="O54" s="995">
        <f>+landbouw!N12</f>
        <v>0</v>
      </c>
      <c r="P54" s="995">
        <f>+landbouw!O12</f>
        <v>0</v>
      </c>
      <c r="Q54" s="996">
        <f>+landbouw!P12</f>
        <v>0</v>
      </c>
      <c r="R54" s="719">
        <f ca="1">SUM(C54:Q54)</f>
        <v>662.09845873268898</v>
      </c>
    </row>
    <row r="55" spans="1:18" ht="15" thickBot="1">
      <c r="A55" s="818" t="s">
        <v>925</v>
      </c>
      <c r="B55" s="828"/>
      <c r="C55" s="995">
        <f ca="1">C25*'EF ele_warmte'!B12</f>
        <v>288.01063925837531</v>
      </c>
      <c r="D55" s="995"/>
      <c r="E55" s="995">
        <f>E25*EF_CO2_aardgas</f>
        <v>542.5549620100179</v>
      </c>
      <c r="F55" s="995"/>
      <c r="G55" s="995"/>
      <c r="H55" s="995"/>
      <c r="I55" s="995"/>
      <c r="J55" s="995"/>
      <c r="K55" s="995"/>
      <c r="L55" s="995"/>
      <c r="M55" s="995"/>
      <c r="N55" s="995"/>
      <c r="O55" s="995"/>
      <c r="P55" s="995"/>
      <c r="Q55" s="996"/>
      <c r="R55" s="719">
        <f ca="1">SUM(C55:Q55)</f>
        <v>830.56560126839327</v>
      </c>
    </row>
    <row r="56" spans="1:18" ht="15.75" thickBot="1">
      <c r="A56" s="816" t="s">
        <v>926</v>
      </c>
      <c r="B56" s="829"/>
      <c r="C56" s="720">
        <f ca="1">SUM(C54:C55)</f>
        <v>387.98651752627416</v>
      </c>
      <c r="D56" s="720">
        <f t="shared" ref="D56:Q56" ca="1" si="7">SUM(D54:D55)</f>
        <v>0</v>
      </c>
      <c r="E56" s="720">
        <f t="shared" si="7"/>
        <v>558.66854453788221</v>
      </c>
      <c r="F56" s="720">
        <f t="shared" si="7"/>
        <v>1.1028190182461035</v>
      </c>
      <c r="G56" s="720">
        <f t="shared" si="7"/>
        <v>530.23928714324381</v>
      </c>
      <c r="H56" s="720">
        <f t="shared" si="7"/>
        <v>0</v>
      </c>
      <c r="I56" s="720">
        <f t="shared" si="7"/>
        <v>0</v>
      </c>
      <c r="J56" s="720">
        <f t="shared" si="7"/>
        <v>0</v>
      </c>
      <c r="K56" s="720">
        <f t="shared" si="7"/>
        <v>14.666891775435897</v>
      </c>
      <c r="L56" s="720">
        <f t="shared" si="7"/>
        <v>0</v>
      </c>
      <c r="M56" s="720">
        <f t="shared" si="7"/>
        <v>0</v>
      </c>
      <c r="N56" s="720">
        <f t="shared" si="7"/>
        <v>0</v>
      </c>
      <c r="O56" s="720">
        <f t="shared" si="7"/>
        <v>0</v>
      </c>
      <c r="P56" s="720">
        <f t="shared" si="7"/>
        <v>0</v>
      </c>
      <c r="Q56" s="721">
        <f t="shared" si="7"/>
        <v>0</v>
      </c>
      <c r="R56" s="722">
        <f ca="1">SUM(R54:R55)</f>
        <v>1492.6640600010824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15057.458090464179</v>
      </c>
      <c r="D61" s="728">
        <f t="shared" ref="D61:Q61" ca="1" si="8">D46+D52+D56</f>
        <v>0</v>
      </c>
      <c r="E61" s="728">
        <f t="shared" ca="1" si="8"/>
        <v>14302.700137722311</v>
      </c>
      <c r="F61" s="728">
        <f t="shared" si="8"/>
        <v>1485.9467314962631</v>
      </c>
      <c r="G61" s="728">
        <f t="shared" ca="1" si="8"/>
        <v>12791.444709437717</v>
      </c>
      <c r="H61" s="728">
        <f t="shared" si="8"/>
        <v>51487.878836526885</v>
      </c>
      <c r="I61" s="728">
        <f t="shared" si="8"/>
        <v>8091.6309216308455</v>
      </c>
      <c r="J61" s="728">
        <f t="shared" si="8"/>
        <v>0</v>
      </c>
      <c r="K61" s="728">
        <f t="shared" si="8"/>
        <v>65.302481217473996</v>
      </c>
      <c r="L61" s="728">
        <f t="shared" si="8"/>
        <v>0</v>
      </c>
      <c r="M61" s="728">
        <f t="shared" ca="1" si="8"/>
        <v>0</v>
      </c>
      <c r="N61" s="728">
        <f t="shared" si="8"/>
        <v>0</v>
      </c>
      <c r="O61" s="728">
        <f t="shared" ca="1" si="8"/>
        <v>0</v>
      </c>
      <c r="P61" s="728">
        <f t="shared" si="8"/>
        <v>0</v>
      </c>
      <c r="Q61" s="728">
        <f t="shared" si="8"/>
        <v>0</v>
      </c>
      <c r="R61" s="728">
        <f ca="1">R46+R52+R56</f>
        <v>103282.36190849567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0.21550405678658463</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1737.5854693726246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1737.5854693726246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1737.5854693726246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1737.5854693726246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29395.918174490249</v>
      </c>
      <c r="C4" s="460">
        <f>huishoudens!C8</f>
        <v>0</v>
      </c>
      <c r="D4" s="460">
        <f>huishoudens!D8</f>
        <v>48253.262056109561</v>
      </c>
      <c r="E4" s="460">
        <f>huishoudens!E8</f>
        <v>4841.9895761735534</v>
      </c>
      <c r="F4" s="460">
        <f>huishoudens!F8</f>
        <v>38708.854909015419</v>
      </c>
      <c r="G4" s="460">
        <f>huishoudens!G8</f>
        <v>0</v>
      </c>
      <c r="H4" s="460">
        <f>huishoudens!H8</f>
        <v>0</v>
      </c>
      <c r="I4" s="460">
        <f>huishoudens!I8</f>
        <v>0</v>
      </c>
      <c r="J4" s="460">
        <f>huishoudens!J8</f>
        <v>0</v>
      </c>
      <c r="K4" s="460">
        <f>huishoudens!K8</f>
        <v>0</v>
      </c>
      <c r="L4" s="460">
        <f>huishoudens!L8</f>
        <v>0</v>
      </c>
      <c r="M4" s="460">
        <f>huishoudens!M8</f>
        <v>0</v>
      </c>
      <c r="N4" s="460">
        <f>huishoudens!N8</f>
        <v>6200.9421569928891</v>
      </c>
      <c r="O4" s="460">
        <f>huishoudens!O8</f>
        <v>56.280000000000008</v>
      </c>
      <c r="P4" s="461">
        <f>huishoudens!P8</f>
        <v>152.53333333333333</v>
      </c>
      <c r="Q4" s="462">
        <f>SUM(B4:P4)</f>
        <v>127609.780206115</v>
      </c>
    </row>
    <row r="5" spans="1:17">
      <c r="A5" s="459" t="s">
        <v>156</v>
      </c>
      <c r="B5" s="460">
        <f ca="1">tertiair!B16</f>
        <v>22683.232558932599</v>
      </c>
      <c r="C5" s="460">
        <f ca="1">tertiair!C16</f>
        <v>0</v>
      </c>
      <c r="D5" s="460">
        <f ca="1">tertiair!D16</f>
        <v>16761.95101378332</v>
      </c>
      <c r="E5" s="460">
        <f>tertiair!E16</f>
        <v>463.10008954330635</v>
      </c>
      <c r="F5" s="460">
        <f ca="1">tertiair!F16</f>
        <v>3937.7030961838823</v>
      </c>
      <c r="G5" s="460">
        <f>tertiair!G16</f>
        <v>0</v>
      </c>
      <c r="H5" s="460">
        <f>tertiair!H16</f>
        <v>0</v>
      </c>
      <c r="I5" s="460">
        <f>tertiair!I16</f>
        <v>0</v>
      </c>
      <c r="J5" s="460">
        <f>tertiair!J16</f>
        <v>0</v>
      </c>
      <c r="K5" s="460">
        <f>tertiair!K16</f>
        <v>0</v>
      </c>
      <c r="L5" s="460">
        <f ca="1">tertiair!L16</f>
        <v>0</v>
      </c>
      <c r="M5" s="460">
        <f>tertiair!M16</f>
        <v>0</v>
      </c>
      <c r="N5" s="460">
        <f ca="1">tertiair!N16</f>
        <v>351.09339040638588</v>
      </c>
      <c r="O5" s="460">
        <f>tertiair!O16</f>
        <v>0</v>
      </c>
      <c r="P5" s="461">
        <f>tertiair!P16</f>
        <v>0</v>
      </c>
      <c r="Q5" s="459">
        <f t="shared" ref="Q5:Q14" ca="1" si="0">SUM(B5:P5)</f>
        <v>44197.080148849498</v>
      </c>
    </row>
    <row r="6" spans="1:17">
      <c r="A6" s="459" t="s">
        <v>194</v>
      </c>
      <c r="B6" s="460">
        <f>'openbare verlichting'!B8</f>
        <v>1017.691</v>
      </c>
      <c r="C6" s="460"/>
      <c r="D6" s="460"/>
      <c r="E6" s="460"/>
      <c r="F6" s="460"/>
      <c r="G6" s="460"/>
      <c r="H6" s="460"/>
      <c r="I6" s="460"/>
      <c r="J6" s="460"/>
      <c r="K6" s="460"/>
      <c r="L6" s="460"/>
      <c r="M6" s="460"/>
      <c r="N6" s="460"/>
      <c r="O6" s="460"/>
      <c r="P6" s="461"/>
      <c r="Q6" s="459">
        <f t="shared" si="0"/>
        <v>1017.691</v>
      </c>
    </row>
    <row r="7" spans="1:17">
      <c r="A7" s="459" t="s">
        <v>112</v>
      </c>
      <c r="B7" s="460">
        <f>landbouw!B8</f>
        <v>463.91645595287207</v>
      </c>
      <c r="C7" s="460">
        <f>landbouw!C8</f>
        <v>0</v>
      </c>
      <c r="D7" s="460">
        <f>landbouw!D8</f>
        <v>79.770210533981754</v>
      </c>
      <c r="E7" s="460">
        <f>landbouw!E8</f>
        <v>4.8582335605555222</v>
      </c>
      <c r="F7" s="460">
        <f>landbouw!F8</f>
        <v>1985.9149331207632</v>
      </c>
      <c r="G7" s="460">
        <f>landbouw!G8</f>
        <v>0</v>
      </c>
      <c r="H7" s="460">
        <f>landbouw!H8</f>
        <v>0</v>
      </c>
      <c r="I7" s="460">
        <f>landbouw!I8</f>
        <v>0</v>
      </c>
      <c r="J7" s="460">
        <f>landbouw!J8</f>
        <v>41.431897670722876</v>
      </c>
      <c r="K7" s="460">
        <f>landbouw!K8</f>
        <v>0</v>
      </c>
      <c r="L7" s="460">
        <f>landbouw!L8</f>
        <v>0</v>
      </c>
      <c r="M7" s="460">
        <f>landbouw!M8</f>
        <v>0</v>
      </c>
      <c r="N7" s="460">
        <f>landbouw!N8</f>
        <v>0</v>
      </c>
      <c r="O7" s="460">
        <f>landbouw!O8</f>
        <v>0</v>
      </c>
      <c r="P7" s="461">
        <f>landbouw!P8</f>
        <v>0</v>
      </c>
      <c r="Q7" s="459">
        <f t="shared" si="0"/>
        <v>2575.8917308388955</v>
      </c>
    </row>
    <row r="8" spans="1:17">
      <c r="A8" s="459" t="s">
        <v>655</v>
      </c>
      <c r="B8" s="460">
        <f>industrie!B18</f>
        <v>14971.839795899939</v>
      </c>
      <c r="C8" s="460">
        <f>industrie!C18</f>
        <v>0</v>
      </c>
      <c r="D8" s="460">
        <f>industrie!D18</f>
        <v>3015.0641456729772</v>
      </c>
      <c r="E8" s="460">
        <f>industrie!E18</f>
        <v>136.13069463514859</v>
      </c>
      <c r="F8" s="460">
        <f>industrie!F18</f>
        <v>3275.5596812968506</v>
      </c>
      <c r="G8" s="460">
        <f>industrie!G18</f>
        <v>0</v>
      </c>
      <c r="H8" s="460">
        <f>industrie!H18</f>
        <v>0</v>
      </c>
      <c r="I8" s="460">
        <f>industrie!I18</f>
        <v>0</v>
      </c>
      <c r="J8" s="460">
        <f>industrie!J18</f>
        <v>143.03838825434491</v>
      </c>
      <c r="K8" s="460">
        <f>industrie!K18</f>
        <v>0</v>
      </c>
      <c r="L8" s="460">
        <f>industrie!L18</f>
        <v>0</v>
      </c>
      <c r="M8" s="460">
        <f>industrie!M18</f>
        <v>0</v>
      </c>
      <c r="N8" s="460">
        <f>industrie!N18</f>
        <v>276.96214207664786</v>
      </c>
      <c r="O8" s="460">
        <f>industrie!O18</f>
        <v>0</v>
      </c>
      <c r="P8" s="461">
        <f>industrie!P18</f>
        <v>0</v>
      </c>
      <c r="Q8" s="459">
        <f t="shared" si="0"/>
        <v>21818.59484783591</v>
      </c>
    </row>
    <row r="9" spans="1:17" s="465" customFormat="1">
      <c r="A9" s="463" t="s">
        <v>573</v>
      </c>
      <c r="B9" s="464">
        <f>transport!B14</f>
        <v>1.8308855093788423</v>
      </c>
      <c r="C9" s="464">
        <f>transport!C14</f>
        <v>0</v>
      </c>
      <c r="D9" s="464">
        <f>transport!D14</f>
        <v>9.4831467332886312</v>
      </c>
      <c r="E9" s="464">
        <f>transport!E14</f>
        <v>1099.9422496833097</v>
      </c>
      <c r="F9" s="464">
        <f>transport!F14</f>
        <v>0</v>
      </c>
      <c r="G9" s="464">
        <f>transport!G14</f>
        <v>190897.1154416494</v>
      </c>
      <c r="H9" s="464">
        <f>transport!H14</f>
        <v>32496.509725425083</v>
      </c>
      <c r="I9" s="464">
        <f>transport!I14</f>
        <v>0</v>
      </c>
      <c r="J9" s="464">
        <f>transport!J14</f>
        <v>0</v>
      </c>
      <c r="K9" s="464">
        <f>transport!K14</f>
        <v>0</v>
      </c>
      <c r="L9" s="464">
        <f>transport!L14</f>
        <v>0</v>
      </c>
      <c r="M9" s="464">
        <f>transport!M14</f>
        <v>9746.8297667550614</v>
      </c>
      <c r="N9" s="464">
        <f>transport!N14</f>
        <v>0</v>
      </c>
      <c r="O9" s="464">
        <f>transport!O14</f>
        <v>0</v>
      </c>
      <c r="P9" s="464">
        <f>transport!P14</f>
        <v>0</v>
      </c>
      <c r="Q9" s="463">
        <f>SUM(B9:P9)</f>
        <v>234251.71121575549</v>
      </c>
    </row>
    <row r="10" spans="1:17">
      <c r="A10" s="459" t="s">
        <v>563</v>
      </c>
      <c r="B10" s="460">
        <f>transport!B54</f>
        <v>0</v>
      </c>
      <c r="C10" s="460">
        <f>transport!C54</f>
        <v>0</v>
      </c>
      <c r="D10" s="460">
        <f>transport!D54</f>
        <v>0</v>
      </c>
      <c r="E10" s="460">
        <f>transport!E54</f>
        <v>0</v>
      </c>
      <c r="F10" s="460">
        <f>transport!F54</f>
        <v>0</v>
      </c>
      <c r="G10" s="460">
        <f>transport!G54</f>
        <v>1941.382073432562</v>
      </c>
      <c r="H10" s="460">
        <f>transport!H54</f>
        <v>0</v>
      </c>
      <c r="I10" s="460">
        <f>transport!I54</f>
        <v>0</v>
      </c>
      <c r="J10" s="460">
        <f>transport!J54</f>
        <v>0</v>
      </c>
      <c r="K10" s="460">
        <f>transport!K54</f>
        <v>0</v>
      </c>
      <c r="L10" s="460">
        <f>transport!L54</f>
        <v>0</v>
      </c>
      <c r="M10" s="460">
        <f>transport!M54</f>
        <v>82.75268350150489</v>
      </c>
      <c r="N10" s="460">
        <f>transport!N54</f>
        <v>0</v>
      </c>
      <c r="O10" s="460">
        <f>transport!O54</f>
        <v>0</v>
      </c>
      <c r="P10" s="461">
        <f>transport!P54</f>
        <v>0</v>
      </c>
      <c r="Q10" s="459">
        <f t="shared" si="0"/>
        <v>2024.1347569340669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1336.45112557484</v>
      </c>
      <c r="C14" s="467"/>
      <c r="D14" s="467">
        <f>'SEAP template'!E25</f>
        <v>2685.91565351494</v>
      </c>
      <c r="E14" s="467"/>
      <c r="F14" s="467"/>
      <c r="G14" s="467"/>
      <c r="H14" s="467"/>
      <c r="I14" s="467"/>
      <c r="J14" s="467"/>
      <c r="K14" s="467"/>
      <c r="L14" s="467"/>
      <c r="M14" s="467"/>
      <c r="N14" s="467"/>
      <c r="O14" s="467"/>
      <c r="P14" s="468"/>
      <c r="Q14" s="459">
        <f t="shared" si="0"/>
        <v>4022.3667790897798</v>
      </c>
    </row>
    <row r="15" spans="1:17" s="472" customFormat="1">
      <c r="A15" s="469" t="s">
        <v>567</v>
      </c>
      <c r="B15" s="470">
        <f ca="1">SUM(B4:B14)</f>
        <v>69870.879996359872</v>
      </c>
      <c r="C15" s="470">
        <f t="shared" ref="C15:Q15" ca="1" si="1">SUM(C4:C14)</f>
        <v>0</v>
      </c>
      <c r="D15" s="470">
        <f t="shared" ca="1" si="1"/>
        <v>70805.446226348067</v>
      </c>
      <c r="E15" s="470">
        <f t="shared" si="1"/>
        <v>6546.020843595873</v>
      </c>
      <c r="F15" s="470">
        <f t="shared" ca="1" si="1"/>
        <v>47908.032619616919</v>
      </c>
      <c r="G15" s="470">
        <f t="shared" si="1"/>
        <v>192838.49751508195</v>
      </c>
      <c r="H15" s="470">
        <f t="shared" si="1"/>
        <v>32496.509725425083</v>
      </c>
      <c r="I15" s="470">
        <f t="shared" si="1"/>
        <v>0</v>
      </c>
      <c r="J15" s="470">
        <f t="shared" si="1"/>
        <v>184.4702859250678</v>
      </c>
      <c r="K15" s="470">
        <f t="shared" si="1"/>
        <v>0</v>
      </c>
      <c r="L15" s="470">
        <f t="shared" ca="1" si="1"/>
        <v>0</v>
      </c>
      <c r="M15" s="470">
        <f t="shared" si="1"/>
        <v>9829.5824502565665</v>
      </c>
      <c r="N15" s="470">
        <f t="shared" ca="1" si="1"/>
        <v>6828.9976894759229</v>
      </c>
      <c r="O15" s="470">
        <f t="shared" si="1"/>
        <v>56.280000000000008</v>
      </c>
      <c r="P15" s="470">
        <f t="shared" si="1"/>
        <v>152.53333333333333</v>
      </c>
      <c r="Q15" s="470">
        <f t="shared" ca="1" si="1"/>
        <v>437517.25068541866</v>
      </c>
    </row>
    <row r="17" spans="1:17">
      <c r="A17" s="473" t="s">
        <v>568</v>
      </c>
      <c r="B17" s="777">
        <f ca="1">huishoudens!B10</f>
        <v>0.21550405678658466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6334.9396195691425</v>
      </c>
      <c r="C22" s="460">
        <f t="shared" ref="C22:C32" ca="1" si="3">C4*$C$17</f>
        <v>0</v>
      </c>
      <c r="D22" s="460">
        <f t="shared" ref="D22:D32" si="4">D4*$D$17</f>
        <v>9747.1589353341315</v>
      </c>
      <c r="E22" s="460">
        <f t="shared" ref="E22:E32" si="5">E4*$E$17</f>
        <v>1099.1316337913966</v>
      </c>
      <c r="F22" s="460">
        <f t="shared" ref="F22:F32" si="6">F4*$F$17</f>
        <v>10335.264260707118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27516.494449401787</v>
      </c>
    </row>
    <row r="23" spans="1:17">
      <c r="A23" s="459" t="s">
        <v>156</v>
      </c>
      <c r="B23" s="460">
        <f t="shared" ca="1" si="2"/>
        <v>4888.328637483517</v>
      </c>
      <c r="C23" s="460">
        <f t="shared" ca="1" si="3"/>
        <v>0</v>
      </c>
      <c r="D23" s="460">
        <f t="shared" ca="1" si="4"/>
        <v>3385.9141047842309</v>
      </c>
      <c r="E23" s="460">
        <f t="shared" si="5"/>
        <v>105.12372032633054</v>
      </c>
      <c r="F23" s="460">
        <f t="shared" ca="1" si="6"/>
        <v>1051.3667266810967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9430.7331892751754</v>
      </c>
    </row>
    <row r="24" spans="1:17">
      <c r="A24" s="459" t="s">
        <v>194</v>
      </c>
      <c r="B24" s="460">
        <f t="shared" ca="1" si="2"/>
        <v>219.31653905519613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219.31653905519613</v>
      </c>
    </row>
    <row r="25" spans="1:17">
      <c r="A25" s="459" t="s">
        <v>112</v>
      </c>
      <c r="B25" s="460">
        <f t="shared" ca="1" si="2"/>
        <v>99.97587826789885</v>
      </c>
      <c r="C25" s="460">
        <f t="shared" ca="1" si="3"/>
        <v>0</v>
      </c>
      <c r="D25" s="460">
        <f t="shared" si="4"/>
        <v>16.113582527864317</v>
      </c>
      <c r="E25" s="460">
        <f t="shared" si="5"/>
        <v>1.1028190182461035</v>
      </c>
      <c r="F25" s="460">
        <f t="shared" si="6"/>
        <v>530.23928714324381</v>
      </c>
      <c r="G25" s="460">
        <f t="shared" si="7"/>
        <v>0</v>
      </c>
      <c r="H25" s="460">
        <f t="shared" si="8"/>
        <v>0</v>
      </c>
      <c r="I25" s="460">
        <f t="shared" si="9"/>
        <v>0</v>
      </c>
      <c r="J25" s="460">
        <f t="shared" si="10"/>
        <v>14.666891775435897</v>
      </c>
      <c r="K25" s="460">
        <f t="shared" si="11"/>
        <v>0</v>
      </c>
      <c r="L25" s="460">
        <f t="shared" si="12"/>
        <v>0</v>
      </c>
      <c r="M25" s="460">
        <f t="shared" si="13"/>
        <v>0</v>
      </c>
      <c r="N25" s="460">
        <f t="shared" si="14"/>
        <v>0</v>
      </c>
      <c r="O25" s="460">
        <f t="shared" si="15"/>
        <v>0</v>
      </c>
      <c r="P25" s="461">
        <f t="shared" si="16"/>
        <v>0</v>
      </c>
      <c r="Q25" s="459">
        <f t="shared" ca="1" si="17"/>
        <v>662.09845873268898</v>
      </c>
    </row>
    <row r="26" spans="1:17">
      <c r="A26" s="459" t="s">
        <v>655</v>
      </c>
      <c r="B26" s="460">
        <f t="shared" ca="1" si="2"/>
        <v>3226.4922135752686</v>
      </c>
      <c r="C26" s="460">
        <f t="shared" ca="1" si="3"/>
        <v>0</v>
      </c>
      <c r="D26" s="460">
        <f t="shared" si="4"/>
        <v>609.04295742594149</v>
      </c>
      <c r="E26" s="460">
        <f t="shared" si="5"/>
        <v>30.901667682178729</v>
      </c>
      <c r="F26" s="460">
        <f t="shared" si="6"/>
        <v>874.57443490625917</v>
      </c>
      <c r="G26" s="460">
        <f t="shared" si="7"/>
        <v>0</v>
      </c>
      <c r="H26" s="460">
        <f t="shared" si="8"/>
        <v>0</v>
      </c>
      <c r="I26" s="460">
        <f t="shared" si="9"/>
        <v>0</v>
      </c>
      <c r="J26" s="460">
        <f t="shared" si="10"/>
        <v>50.635589442038096</v>
      </c>
      <c r="K26" s="460">
        <f t="shared" si="11"/>
        <v>0</v>
      </c>
      <c r="L26" s="460">
        <f t="shared" si="12"/>
        <v>0</v>
      </c>
      <c r="M26" s="460">
        <f t="shared" si="13"/>
        <v>0</v>
      </c>
      <c r="N26" s="460">
        <f t="shared" si="14"/>
        <v>0</v>
      </c>
      <c r="O26" s="460">
        <f t="shared" si="15"/>
        <v>0</v>
      </c>
      <c r="P26" s="461">
        <f t="shared" si="16"/>
        <v>0</v>
      </c>
      <c r="Q26" s="459">
        <f t="shared" ca="1" si="17"/>
        <v>4791.6468630316867</v>
      </c>
    </row>
    <row r="27" spans="1:17" s="465" customFormat="1">
      <c r="A27" s="463" t="s">
        <v>573</v>
      </c>
      <c r="B27" s="771">
        <f t="shared" ca="1" si="2"/>
        <v>0.39456325478291299</v>
      </c>
      <c r="C27" s="464">
        <f t="shared" ca="1" si="3"/>
        <v>0</v>
      </c>
      <c r="D27" s="464">
        <f t="shared" si="4"/>
        <v>1.9155956401243037</v>
      </c>
      <c r="E27" s="464">
        <f t="shared" si="5"/>
        <v>249.6868906781113</v>
      </c>
      <c r="F27" s="464">
        <f t="shared" si="6"/>
        <v>0</v>
      </c>
      <c r="G27" s="464">
        <f t="shared" si="7"/>
        <v>50969.529822920391</v>
      </c>
      <c r="H27" s="464">
        <f t="shared" si="8"/>
        <v>8091.6309216308455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59313.15779412425</v>
      </c>
    </row>
    <row r="28" spans="1:17">
      <c r="A28" s="459" t="s">
        <v>563</v>
      </c>
      <c r="B28" s="460">
        <f t="shared" ca="1" si="2"/>
        <v>0</v>
      </c>
      <c r="C28" s="460">
        <f t="shared" ca="1" si="3"/>
        <v>0</v>
      </c>
      <c r="D28" s="460">
        <f t="shared" si="4"/>
        <v>0</v>
      </c>
      <c r="E28" s="460">
        <f t="shared" si="5"/>
        <v>0</v>
      </c>
      <c r="F28" s="460">
        <f t="shared" si="6"/>
        <v>0</v>
      </c>
      <c r="G28" s="460">
        <f t="shared" si="7"/>
        <v>518.34901360649405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518.34901360649405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288.01063925837531</v>
      </c>
      <c r="C32" s="460">
        <f t="shared" ca="1" si="3"/>
        <v>0</v>
      </c>
      <c r="D32" s="460">
        <f t="shared" si="4"/>
        <v>542.5549620100179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830.56560126839327</v>
      </c>
    </row>
    <row r="33" spans="1:17" s="472" customFormat="1">
      <c r="A33" s="469" t="s">
        <v>567</v>
      </c>
      <c r="B33" s="470">
        <f ca="1">SUM(B22:B32)</f>
        <v>15057.458090464181</v>
      </c>
      <c r="C33" s="470">
        <f t="shared" ref="C33:Q33" ca="1" si="19">SUM(C22:C32)</f>
        <v>0</v>
      </c>
      <c r="D33" s="470">
        <f t="shared" ca="1" si="19"/>
        <v>14302.700137722311</v>
      </c>
      <c r="E33" s="470">
        <f t="shared" si="19"/>
        <v>1485.9467314962631</v>
      </c>
      <c r="F33" s="470">
        <f t="shared" ca="1" si="19"/>
        <v>12791.444709437717</v>
      </c>
      <c r="G33" s="470">
        <f t="shared" si="19"/>
        <v>51487.878836526885</v>
      </c>
      <c r="H33" s="470">
        <f t="shared" si="19"/>
        <v>8091.6309216308455</v>
      </c>
      <c r="I33" s="470">
        <f t="shared" si="19"/>
        <v>0</v>
      </c>
      <c r="J33" s="470">
        <f t="shared" si="19"/>
        <v>65.302481217473996</v>
      </c>
      <c r="K33" s="470">
        <f t="shared" si="19"/>
        <v>0</v>
      </c>
      <c r="L33" s="470">
        <f t="shared" ca="1" si="19"/>
        <v>0</v>
      </c>
      <c r="M33" s="470">
        <f t="shared" si="19"/>
        <v>0</v>
      </c>
      <c r="N33" s="470">
        <f t="shared" ca="1" si="19"/>
        <v>0</v>
      </c>
      <c r="O33" s="470">
        <f t="shared" si="19"/>
        <v>0</v>
      </c>
      <c r="P33" s="470">
        <f t="shared" si="19"/>
        <v>0</v>
      </c>
      <c r="Q33" s="470">
        <f t="shared" ca="1" si="19"/>
        <v>103282.36190849567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1737.5854693726246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1737.5854693726246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0.21550405678658466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0.21550405678658466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2019-06-29T16:04:30Z</dcterms:modified>
</cp:coreProperties>
</file>