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D10"/>
  <c r="B8"/>
  <c r="B6"/>
  <c r="B5"/>
  <c r="B4"/>
  <c r="O18" l="1"/>
  <c r="O9"/>
  <c r="O19"/>
  <c r="C98"/>
  <c r="I101" s="1"/>
  <c r="H8" s="1"/>
  <c r="B17"/>
  <c r="B20" s="1"/>
  <c r="G20"/>
  <c r="B10"/>
  <c r="E101"/>
  <c r="E8" s="1"/>
  <c r="E10" s="1"/>
  <c r="H101"/>
  <c r="D101"/>
  <c r="G101"/>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G10" s="1"/>
  <c r="O78" i="14"/>
  <c r="O9" i="55"/>
  <c r="C77" i="14"/>
  <c r="C9" i="55" s="1"/>
  <c r="F9"/>
  <c r="N78" i="14"/>
  <c r="N9" i="55"/>
  <c r="M90" i="14"/>
  <c r="M17" i="55"/>
  <c r="M20" s="1"/>
  <c r="F90" i="14"/>
  <c r="F18" i="55"/>
  <c r="N90" i="14"/>
  <c r="N18" i="55"/>
  <c r="N20" s="1"/>
  <c r="E90" i="14"/>
  <c r="E18" i="55"/>
  <c r="E20" s="1"/>
  <c r="F20"/>
  <c r="L90" i="14"/>
  <c r="O20" i="55"/>
  <c r="H90" i="14"/>
  <c r="P32" i="48"/>
  <c r="K22" i="14"/>
  <c r="D22"/>
  <c r="L22"/>
  <c r="L20" i="55"/>
  <c r="P31" i="48"/>
  <c r="D14"/>
  <c r="C101" i="18"/>
  <c r="J8" s="1"/>
  <c r="F76" i="14"/>
  <c r="K20" i="55"/>
  <c r="F101" i="18"/>
  <c r="I8" s="1"/>
  <c r="R9" i="14"/>
  <c r="E10" i="55"/>
  <c r="O10"/>
  <c r="H20"/>
  <c r="P24" i="48"/>
  <c r="B101" i="18"/>
  <c r="C8" s="1"/>
  <c r="D76" i="14" s="1"/>
  <c r="M22"/>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Q78"/>
  <c r="B9" i="6" s="1"/>
  <c r="P9" i="55"/>
  <c r="P10" s="1"/>
  <c r="Q76" i="14"/>
  <c r="P8" i="55" s="1"/>
  <c r="D8"/>
  <c r="D10" s="1"/>
  <c r="Q14" i="48"/>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7"/>
  <c r="F29"/>
  <c r="F24"/>
  <c r="F31"/>
  <c r="F30"/>
  <c r="F28"/>
  <c r="N32"/>
  <c r="N29"/>
  <c r="N24"/>
  <c r="N31"/>
  <c r="N30"/>
  <c r="N28"/>
  <c r="N27"/>
  <c r="B7"/>
  <c r="C24" i="14"/>
  <c r="C26" s="1"/>
  <c r="E30" i="48"/>
  <c r="E24"/>
  <c r="E32"/>
  <c r="E28"/>
  <c r="E29"/>
  <c r="E31"/>
  <c r="M30"/>
  <c r="M24"/>
  <c r="M32"/>
  <c r="M26"/>
  <c r="M25"/>
  <c r="M29"/>
  <c r="M22"/>
  <c r="L10" i="14"/>
  <c r="L16" s="1"/>
  <c r="L27" s="1"/>
  <c r="K5" i="48"/>
  <c r="D30"/>
  <c r="D24"/>
  <c r="D29"/>
  <c r="D31"/>
  <c r="D28"/>
  <c r="D32"/>
  <c r="L32"/>
  <c r="L22"/>
  <c r="L30"/>
  <c r="L28"/>
  <c r="L24"/>
  <c r="L29"/>
  <c r="L27"/>
  <c r="L31"/>
  <c r="Q10" i="14"/>
  <c r="P5" i="48"/>
  <c r="P23" s="1"/>
  <c r="K30"/>
  <c r="K32"/>
  <c r="K31"/>
  <c r="K28"/>
  <c r="K26"/>
  <c r="K24"/>
  <c r="K29"/>
  <c r="K22"/>
  <c r="K25"/>
  <c r="K27"/>
  <c r="B10"/>
  <c r="C19" i="14"/>
  <c r="I5" i="48"/>
  <c r="J10" i="14"/>
  <c r="J16" s="1"/>
  <c r="J27" s="1"/>
  <c r="J32" i="48"/>
  <c r="J29"/>
  <c r="J27"/>
  <c r="J31"/>
  <c r="J24"/>
  <c r="J30"/>
  <c r="J28"/>
  <c r="Q11" i="14"/>
  <c r="P4" i="48"/>
  <c r="P11" i="14"/>
  <c r="O4" i="48"/>
  <c r="I32"/>
  <c r="I30"/>
  <c r="I28"/>
  <c r="I26"/>
  <c r="I24"/>
  <c r="I25"/>
  <c r="I31"/>
  <c r="I29"/>
  <c r="I22"/>
  <c r="I27"/>
  <c r="H12" i="22"/>
  <c r="H13" i="48"/>
  <c r="H31" s="1"/>
  <c r="I18" i="14"/>
  <c r="D4" i="48"/>
  <c r="D22" s="1"/>
  <c r="E11" i="14"/>
  <c r="H30" i="48"/>
  <c r="H32"/>
  <c r="H25"/>
  <c r="H22"/>
  <c r="H24"/>
  <c r="H29"/>
  <c r="H26"/>
  <c r="H28"/>
  <c r="H23"/>
  <c r="C4"/>
  <c r="D11" i="14"/>
  <c r="G30" i="48"/>
  <c r="G32"/>
  <c r="G26"/>
  <c r="G29"/>
  <c r="G25"/>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M23"/>
  <c r="P10" i="14"/>
  <c r="O5" i="48"/>
  <c r="O23" s="1"/>
  <c r="M13"/>
  <c r="M31" s="1"/>
  <c r="N18" i="14"/>
  <c r="P15" i="48"/>
  <c r="P22"/>
  <c r="P33" s="1"/>
  <c r="K15"/>
  <c r="K23"/>
  <c r="I20" i="14"/>
  <c r="H9" i="48"/>
  <c r="F4"/>
  <c r="F22" s="1"/>
  <c r="G11" i="14"/>
  <c r="O22" i="48"/>
  <c r="G12" i="22"/>
  <c r="G13" i="48"/>
  <c r="H18" i="14"/>
  <c r="R18" s="1"/>
  <c r="P22" i="16"/>
  <c r="Q43" i="14" s="1"/>
  <c r="P8" i="48"/>
  <c r="P26" s="1"/>
  <c r="Q13" i="14"/>
  <c r="I22"/>
  <c r="I27" s="1"/>
  <c r="J63"/>
  <c r="Q16"/>
  <c r="Q27" s="1"/>
  <c r="C8" i="48"/>
  <c r="K33"/>
  <c r="D16" i="15"/>
  <c r="D5" i="48" s="1"/>
  <c r="L46" i="14"/>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N4" i="48" l="1"/>
  <c r="N22" s="1"/>
  <c r="O11" i="14"/>
  <c r="J4" i="48"/>
  <c r="J22" s="1"/>
  <c r="K11" i="14"/>
  <c r="G10" i="48"/>
  <c r="H19" i="14"/>
  <c r="G31" i="48"/>
  <c r="Q13"/>
  <c r="C20" i="14"/>
  <c r="B9" i="48"/>
  <c r="F20" i="14"/>
  <c r="F22" s="1"/>
  <c r="E9" i="48"/>
  <c r="E27" s="1"/>
  <c r="H27"/>
  <c r="H33" s="1"/>
  <c r="H15"/>
  <c r="E20" i="14"/>
  <c r="E22" s="1"/>
  <c r="D9" i="48"/>
  <c r="D27" s="1"/>
  <c r="O8"/>
  <c r="P13" i="14"/>
  <c r="P16" s="1"/>
  <c r="P27" s="1"/>
  <c r="M10" i="48"/>
  <c r="M28" s="1"/>
  <c r="N19" i="14"/>
  <c r="E12" i="13"/>
  <c r="F41" i="14" s="1"/>
  <c r="E4" i="48"/>
  <c r="F11" i="14"/>
  <c r="G14" i="22"/>
  <c r="C15" i="48"/>
  <c r="Q46" i="14"/>
  <c r="Q61" s="1"/>
  <c r="Q63" s="1"/>
  <c r="E10"/>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P63" l="1"/>
  <c r="H52"/>
  <c r="H61" s="1"/>
  <c r="G9" i="48"/>
  <c r="H20" i="14"/>
  <c r="H22" s="1"/>
  <c r="H27" s="1"/>
  <c r="O26" i="48"/>
  <c r="O33" s="1"/>
  <c r="O15"/>
  <c r="C22" i="14"/>
  <c r="M18" i="22"/>
  <c r="N50" i="14" s="1"/>
  <c r="N52" s="1"/>
  <c r="N61" s="1"/>
  <c r="N20"/>
  <c r="N22" s="1"/>
  <c r="N27" s="1"/>
  <c r="M9" i="48"/>
  <c r="G28"/>
  <c r="Q10"/>
  <c r="E22"/>
  <c r="Q4"/>
  <c r="D15"/>
  <c r="R19" i="14"/>
  <c r="R11"/>
  <c r="G18" i="22"/>
  <c r="H50" i="14" s="1"/>
  <c r="J5" i="48"/>
  <c r="K10" i="14"/>
  <c r="E20" i="15"/>
  <c r="F40" i="14" s="1"/>
  <c r="E5" i="48"/>
  <c r="F10" i="14"/>
  <c r="L15" i="48"/>
  <c r="Q7"/>
  <c r="R24" i="14"/>
  <c r="R26" s="1"/>
  <c r="J18" i="16"/>
  <c r="N18"/>
  <c r="E18"/>
  <c r="F18"/>
  <c r="F22"/>
  <c r="G43" i="14" s="1"/>
  <c r="M27" i="48" l="1"/>
  <c r="M33" s="1"/>
  <c r="M15"/>
  <c r="G27"/>
  <c r="G33" s="1"/>
  <c r="G15"/>
  <c r="R22" i="14"/>
  <c r="N63"/>
  <c r="H63"/>
  <c r="R20"/>
  <c r="Q9" i="48"/>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<sst xmlns="http://schemas.openxmlformats.org/spreadsheetml/2006/main" count="2574" uniqueCount="997">
  <si>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</si>
  <si>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</si>
  <si>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</si>
  <si>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</si>
  <si>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</si>
  <si>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</si>
  <si>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</si>
  <si>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</si>
  <si>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</si>
  <si>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</si>
  <si>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</si>
  <si>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</si>
  <si>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</si>
  <si>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</si>
  <si>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</si>
  <si>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</si>
  <si>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</si>
  <si>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</si>
  <si>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</si>
  <si>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</si>
  <si>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</si>
  <si>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</si>
  <si>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</si>
  <si>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</si>
  <si>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</si>
  <si>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</si>
  <si>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</si>
  <si>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</si>
  <si>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</si>
  <si>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</si>
  <si>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</si>
  <si>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</si>
  <si>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</si>
  <si>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</si>
  <si>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</si>
  <si>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</si>
  <si>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</si>
  <si>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</si>
  <si>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</si>
  <si>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</si>
  <si>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</si>
  <si>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</si>
  <si>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</si>
  <si>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</si>
  <si>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</si>
  <si>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</si>
  <si>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</si>
  <si>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</si>
  <si>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</si>
  <si>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</si>
  <si>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</si>
  <si>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</si>
  <si>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</si>
  <si>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</si>
  <si>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</si>
  <si>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</si>
  <si>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</si>
  <si>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</si>
  <si>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</si>
  <si>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</si>
  <si>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</si>
  <si>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</si>
  <si>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</si>
  <si>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</si>
  <si>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</si>
  <si>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</si>
  <si>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</si>
  <si>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</si>
  <si>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</si>
  <si>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</si>
  <si>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</si>
  <si>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</si>
  <si>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</si>
  <si>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</si>
  <si>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</si>
  <si>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</si>
  <si>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</si>
  <si>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</si>
  <si>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</si>
  <si>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</si>
  <si>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</si>
  <si>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</si>
  <si>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</si>
  <si>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</si>
  <si>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</si>
  <si>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</si>
  <si>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</si>
  <si>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</si>
  <si>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</si>
  <si>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</si>
  <si>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</si>
  <si>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</si>
  <si>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</si>
  <si>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</si>
  <si>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</si>
  <si>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</si>
  <si>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</si>
  <si>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</si>
  <si>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</si>
  <si>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</si>
  <si>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</si>
  <si>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</si>
  <si>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</si>
  <si>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</si>
  <si>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</si>
  <si>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</si>
  <si>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</si>
  <si>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</si>
  <si>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</si>
  <si>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</si>
  <si>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</si>
  <si>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</si>
  <si>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</si>
  <si>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</si>
  <si>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</si>
  <si>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</si>
  <si>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</si>
  <si>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</si>
  <si>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</si>
  <si>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</si>
  <si>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</si>
  <si>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</si>
  <si>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</si>
  <si>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</si>
  <si>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</si>
  <si>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</si>
  <si>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</si>
  <si>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</si>
  <si>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</si>
  <si>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</si>
  <si>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</si>
  <si>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</si>
  <si>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</si>
  <si>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</si>
  <si>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</si>
  <si>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</si>
  <si>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</si>
  <si>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</si>
  <si>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</si>
  <si>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</si>
  <si>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</si>
  <si>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</si>
  <si>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</si>
  <si>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</si>
  <si>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</si>
  <si>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</si>
  <si>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</si>
  <si>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</si>
  <si>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</si>
  <si>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</si>
  <si>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</si>
  <si>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</si>
  <si>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</si>
  <si>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</si>
  <si>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</si>
  <si>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</si>
  <si>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</si>
  <si>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</si>
  <si>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</si>
  <si>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</si>
  <si>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</si>
  <si>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</si>
  <si>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</si>
  <si>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</si>
  <si>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</si>
  <si>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</si>
  <si>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</si>
  <si>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</si>
  <si>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</si>
  <si>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</si>
  <si>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</si>
  <si>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</si>
  <si>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</si>
  <si>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</si>
  <si>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</si>
  <si>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</si>
  <si>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</si>
  <si>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</si>
  <si>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</si>
  <si>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</si>
  <si>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</si>
  <si>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</si>
  <si>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</si>
  <si>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</si>
  <si>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</si>
  <si>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</si>
  <si>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</si>
  <si>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</si>
  <si>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</si>
  <si>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</si>
  <si>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</si>
  <si>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</si>
  <si>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</si>
  <si>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</si>
  <si>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</si>
  <si>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</si>
  <si>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</si>
  <si>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</si>
  <si>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</si>
  <si>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</si>
  <si>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</si>
  <si>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</si>
  <si>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</si>
  <si>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</si>
  <si>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</si>
  <si>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</si>
  <si>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</si>
  <si>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</si>
  <si>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</si>
  <si>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</si>
  <si>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</si>
  <si>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</si>
  <si>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</si>
  <si>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</si>
  <si>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</si>
  <si>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</si>
  <si>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</si>
  <si>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</si>
  <si>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</si>
  <si>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</si>
  <si>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</si>
  <si>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</si>
  <si>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</si>
  <si>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</si>
  <si>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</si>
  <si>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</si>
  <si>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</si>
  <si>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</si>
  <si>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</si>
  <si>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</si>
  <si>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</si>
  <si>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</si>
  <si>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</si>
  <si>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</si>
  <si>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</si>
  <si>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</si>
  <si>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</si>
  <si>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</si>
  <si>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</si>
  <si>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</si>
  <si>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</si>
  <si>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</si>
  <si>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</si>
  <si>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</si>
  <si>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</si>
  <si>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</si>
  <si>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</si>
  <si>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</si>
  <si>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</si>
  <si>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</si>
  <si>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</si>
  <si>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</si>
  <si>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</si>
  <si>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</si>
  <si>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</si>
  <si>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</si>
  <si>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</si>
  <si>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</si>
  <si>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</si>
  <si>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</si>
  <si>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</si>
  <si>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</si>
  <si>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</si>
  <si>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</si>
  <si>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</si>
  <si>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</si>
  <si>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</si>
  <si>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</si>
  <si>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</si>
  <si>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</si>
  <si>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</si>
  <si>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</si>
  <si>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</si>
  <si>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</si>
  <si>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</si>
  <si>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</si>
  <si>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</si>
  <si>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</si>
  <si>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</si>
  <si>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</si>
  <si>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</si>
  <si>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</si>
  <si>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</si>
  <si>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</si>
  <si>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</si>
  <si>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</si>
  <si>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</si>
  <si>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</si>
  <si>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</si>
  <si>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</si>
  <si>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</si>
  <si>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</si>
  <si>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</si>
  <si>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</si>
  <si>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</si>
  <si>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</si>
  <si>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</si>
  <si>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</si>
  <si>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</si>
  <si>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</si>
  <si>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</si>
  <si>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</si>
  <si>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</si>
  <si>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</si>
  <si>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</si>
  <si>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</si>
  <si>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</si>
  <si>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</si>
  <si>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</si>
  <si>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</si>
  <si>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</si>
  <si>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</si>
  <si>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</si>
  <si>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</si>
  <si>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</si>
  <si>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</si>
  <si>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</si>
  <si>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</si>
  <si>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</si>
  <si>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</si>
  <si>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</si>
  <si>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</si>
  <si>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</si>
  <si>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</si>
  <si>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</si>
  <si>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</si>
  <si>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</si>
  <si>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</si>
  <si>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</si>
  <si>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</si>
  <si>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</si>
  <si>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</si>
  <si>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</si>
  <si>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</si>
  <si>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</si>
  <si>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</si>
  <si>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</si>
  <si>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</si>
  <si>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</si>
  <si>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</si>
  <si>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</si>
  <si>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</si>
  <si>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</si>
  <si>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</si>
  <si>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</si>
  <si>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</si>
  <si>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</si>
  <si>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</si>
  <si>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</si>
  <si>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</si>
  <si>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</si>
  <si>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</si>
  <si>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</si>
  <si>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</si>
  <si>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</si>
  <si>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</si>
  <si>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</si>
  <si>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</si>
  <si>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</si>
  <si>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</si>
  <si>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</si>
  <si>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</si>
  <si>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</si>
  <si>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</si>
  <si>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</si>
  <si>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</si>
  <si>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</si>
  <si>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</si>
  <si>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</si>
  <si>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</si>
  <si>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</si>
  <si>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</si>
  <si>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</si>
  <si>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</si>
  <si>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</si>
  <si>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</si>
  <si>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</si>
  <si>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</si>
  <si>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</si>
  <si>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</si>
  <si>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</si>
  <si>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</si>
  <si>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</si>
  <si>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</si>
  <si>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</si>
  <si>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</si>
  <si>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</si>
  <si>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</si>
  <si>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</si>
  <si>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</si>
  <si>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</si>
  <si>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</si>
  <si>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</si>
  <si>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</si>
  <si>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</si>
  <si>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</si>
  <si>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</si>
  <si>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</si>
  <si>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</si>
  <si>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</si>
  <si>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</si>
  <si>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</si>
  <si>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</si>
  <si>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</si>
  <si>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</si>
  <si>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</si>
  <si>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</si>
  <si>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</si>
  <si>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</si>
  <si>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</si>
  <si>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</si>
  <si>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</si>
  <si>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</si>
  <si>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</si>
  <si>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</si>
  <si>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</si>
  <si>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</si>
  <si>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</si>
  <si>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</si>
  <si>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</si>
  <si>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</si>
  <si>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</si>
  <si>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</si>
  <si>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</si>
  <si>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</si>
  <si>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</si>
  <si>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</si>
  <si>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</si>
  <si>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</si>
  <si>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</si>
  <si>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</si>
  <si>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</si>
  <si>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</si>
  <si>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</si>
  <si>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</si>
  <si>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</si>
  <si>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</si>
  <si>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</si>
  <si>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</si>
  <si>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</si>
  <si>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</si>
  <si>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</si>
  <si>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</si>
  <si>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</si>
  <si>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</si>
  <si>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</si>
  <si>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</si>
  <si>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</si>
  <si>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</si>
  <si>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</si>
  <si>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</si>
  <si>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</si>
  <si>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</si>
  <si>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</si>
  <si>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</si>
  <si>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</si>
  <si>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</si>
  <si>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</si>
  <si>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</si>
  <si>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</si>
  <si>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</si>
  <si>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</si>
  <si>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</si>
  <si>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</si>
  <si>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</si>
  <si>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</si>
  <si>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</si>
  <si>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</si>
  <si>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</si>
  <si>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</si>
  <si>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</si>
  <si>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</si>
  <si>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</si>
  <si>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</si>
  <si>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</si>
  <si>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</si>
  <si>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</si>
  <si>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</si>
  <si>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</si>
  <si>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</si>
  <si>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</si>
  <si>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</si>
  <si>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</si>
  <si>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</si>
  <si>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</si>
  <si>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</si>
  <si>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</si>
  <si>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</si>
  <si>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</si>
  <si>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</si>
  <si>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</si>
  <si>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</si>
  <si>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</si>
  <si>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</si>
  <si>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</si>
  <si>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</si>
  <si>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</si>
  <si>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</si>
  <si>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</si>
  <si>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</si>
  <si>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</si>
  <si>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</si>
  <si>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</si>
  <si>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</si>
  <si>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</si>
  <si>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</si>
  <si>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</si>
  <si>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</si>
  <si>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</si>
  <si>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</si>
  <si>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</si>
  <si>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</si>
  <si>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</si>
  <si>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</si>
  <si>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</si>
  <si>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</si>
  <si>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</si>
  <si>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</si>
  <si>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</si>
  <si>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</si>
  <si>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</si>
  <si>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</si>
  <si>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</si>
  <si>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</si>
  <si>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</si>
  <si>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</si>
  <si>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</si>
  <si>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</si>
  <si>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</si>
  <si>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</si>
  <si>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</si>
  <si>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</si>
  <si>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</si>
  <si>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</si>
  <si>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</si>
  <si>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</si>
  <si>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</si>
  <si>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</si>
  <si>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</si>
  <si>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</si>
  <si>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</si>
  <si>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</si>
  <si>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</si>
  <si>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</si>
  <si>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</si>
  <si>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</si>
  <si>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</si>
  <si>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</si>
  <si>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</si>
  <si>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</si>
  <si>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</si>
  <si>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</si>
  <si>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</si>
  <si>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</si>
  <si>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</si>
  <si>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</si>
  <si>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</si>
  <si>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</si>
  <si>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</si>
  <si>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</si>
  <si>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</si>
  <si>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</si>
  <si>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</si>
  <si>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</si>
  <si>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</si>
  <si>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</si>
  <si>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</si>
  <si>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</si>
  <si>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</si>
  <si>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</si>
  <si>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</si>
  <si>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</si>
  <si>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</si>
  <si>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</si>
  <si>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</si>
  <si>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</si>
  <si>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</si>
  <si>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</si>
  <si>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</si>
  <si>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</si>
  <si>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</si>
  <si>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</si>
  <si>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</si>
  <si>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</si>
  <si>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</si>
  <si>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</si>
  <si>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</si>
  <si>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</si>
  <si>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</si>
  <si>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</si>
  <si>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</si>
  <si>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</si>
  <si>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</si>
  <si>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</si>
  <si>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</si>
  <si>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</si>
  <si>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</si>
  <si>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</si>
  <si>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</si>
  <si>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</si>
  <si>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</si>
  <si>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</si>
  <si>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</si>
  <si>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</si>
  <si>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</si>
  <si>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</si>
  <si>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</si>
  <si>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</si>
  <si>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</si>
  <si>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</si>
  <si>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</si>
  <si>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</si>
  <si>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</si>
  <si>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</si>
  <si>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</si>
  <si>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</si>
  <si>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</si>
  <si>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</si>
  <si>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</si>
  <si>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</si>
  <si>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</si>
  <si>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</si>
  <si>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</si>
  <si>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</si>
  <si>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</si>
  <si>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</si>
  <si>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</si>
  <si>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</si>
  <si>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</si>
  <si>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</si>
  <si>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</si>
  <si>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</si>
  <si>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</si>
  <si>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</si>
  <si>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</si>
  <si>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</si>
  <si>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</si>
  <si>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</si>
  <si>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</si>
  <si>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</si>
  <si>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</si>
  <si>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</si>
  <si>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</si>
  <si>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</si>
  <si>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</si>
  <si>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</si>
  <si>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</si>
  <si>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</si>
  <si>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</si>
  <si>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</si>
  <si>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</si>
  <si>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</si>
  <si>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</si>
  <si>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</si>
  <si>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</si>
  <si>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</si>
  <si>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</si>
  <si>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</si>
  <si>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</si>
  <si>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</si>
  <si>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</si>
  <si>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</si>
  <si>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</si>
  <si>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</si>
  <si>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</si>
  <si>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</si>
  <si>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</si>
  <si>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</si>
  <si>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</si>
  <si>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</si>
  <si>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</si>
  <si>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</si>
  <si>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</si>
  <si>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</si>
  <si>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</si>
  <si>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</si>
  <si>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</si>
  <si>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</si>
  <si>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</si>
  <si>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</si>
  <si>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</si>
  <si>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</si>
  <si>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</si>
  <si>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</si>
  <si>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</si>
  <si>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</si>
  <si>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</si>
  <si>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</si>
  <si>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</si>
  <si>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</si>
  <si>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</si>
  <si>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</si>
  <si>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</si>
  <si>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</si>
  <si>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</si>
  <si>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</si>
  <si>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</si>
  <si>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</si>
  <si>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</si>
  <si>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</si>
  <si>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</si>
  <si>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</si>
  <si>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</si>
  <si>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</si>
  <si>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</si>
  <si>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</si>
  <si>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</si>
  <si>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</si>
  <si>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</si>
  <si>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</si>
  <si>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</si>
  <si>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</si>
  <si>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</si>
  <si>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</si>
  <si>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</si>
  <si>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</si>
  <si>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</si>
  <si>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</si>
  <si>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</si>
  <si>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</si>
  <si>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</si>
  <si>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</si>
  <si>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</si>
  <si>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</si>
  <si>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</si>
  <si>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</si>
  <si>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</si>
  <si>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</si>
  <si>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</si>
  <si>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</si>
  <si>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</si>
  <si>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</si>
  <si>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</si>
  <si>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</si>
  <si>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</si>
  <si>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</si>
  <si>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</si>
  <si>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</si>
  <si>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</si>
  <si>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</si>
  <si>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</si>
  <si>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</si>
  <si>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</si>
  <si>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</si>
  <si>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</si>
  <si>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</si>
  <si>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</si>
  <si>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</si>
  <si>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</si>
  <si>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</si>
  <si>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</si>
  <si>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</si>
  <si>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</si>
  <si>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</si>
  <si>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</si>
  <si>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</si>
  <si>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</si>
  <si>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</si>
  <si>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</si>
  <si>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</si>
  <si>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</si>
  <si>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</si>
  <si>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</si>
  <si>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</si>
  <si>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</si>
  <si>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</si>
  <si>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</si>
  <si>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</si>
  <si>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</si>
  <si>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</si>
  <si>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</si>
  <si>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</si>
  <si>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</si>
  <si>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</si>
  <si>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</si>
  <si>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</si>
  <si>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</si>
  <si>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</si>
  <si>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</si>
  <si>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</si>
  <si>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</si>
  <si>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</si>
  <si>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</si>
  <si>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</si>
  <si>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</si>
  <si>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</si>
  <si>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</si>
  <si>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</si>
  <si>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</si>
  <si>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</si>
  <si>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</si>
  <si>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</si>
  <si>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</si>
  <si>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</si>
  <si>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</si>
  <si>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</si>
  <si>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</si>
  <si>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</si>
  <si>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</si>
  <si>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</si>
  <si>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</si>
  <si>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</si>
  <si>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</si>
  <si>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</si>
  <si>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</si>
  <si>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</si>
  <si>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</si>
  <si>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</si>
  <si>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</si>
  <si>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</si>
  <si>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</si>
  <si>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</si>
  <si>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</si>
  <si>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</si>
  <si>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</si>
  <si>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</si>
  <si>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</si>
  <si>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</si>
  <si>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</si>
  <si>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</si>
  <si>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</si>
  <si>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</si>
  <si>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</si>
  <si>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</si>
  <si>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</si>
  <si>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</si>
  <si>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</si>
  <si>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</si>
  <si>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</si>
  <si>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</si>
  <si>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</si>
  <si>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</si>
  <si>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</si>
  <si>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</si>
  <si>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</si>
  <si>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</si>
  <si>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</si>
  <si>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</si>
  <si>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</si>
  <si>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</si>
  <si>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</si>
  <si>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</si>
  <si>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</si>
  <si>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</si>
  <si>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</si>
  <si>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</si>
  <si>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</si>
  <si>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</si>
  <si>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</si>
  <si>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</si>
  <si>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</si>
  <si>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</si>
  <si>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</si>
  <si>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</si>
  <si>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</si>
  <si>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</si>
  <si>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</si>
  <si>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</si>
  <si>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</si>
  <si>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</si>
  <si>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</si>
  <si>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</si>
  <si>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</si>
  <si>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</si>
  <si>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</si>
  <si>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</si>
  <si>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</si>
  <si>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</si>
  <si>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</si>
  <si>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</si>
  <si>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</si>
  <si>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</si>
  <si>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</si>
  <si>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</si>
  <si>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</si>
  <si>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</si>
  <si>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</si>
  <si>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</si>
  <si>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</si>
  <si>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</si>
  <si>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</si>
  <si>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</si>
  <si>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</si>
  <si>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</si>
  <si>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</si>
  <si>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</si>
  <si>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</si>
  <si>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</si>
  <si>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</si>
  <si>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</si>
  <si>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</si>
  <si>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</si>
  <si>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</si>
  <si>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</si>
  <si>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</si>
  <si>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</si>
  <si>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</si>
  <si>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</si>
  <si>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</si>
  <si>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</si>
  <si>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</si>
  <si>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</si>
  <si>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</si>
  <si>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</si>
  <si>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</si>
  <si>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</si>
  <si>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</si>
  <si>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</si>
  <si>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</si>
  <si>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</si>
  <si>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</si>
  <si>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</si>
  <si>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</si>
  <si>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</si>
  <si>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</si>
  <si>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</si>
  <si>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</si>
  <si>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</si>
  <si>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</si>
  <si>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</si>
  <si>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</si>
  <si>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</si>
  <si>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</si>
  <si>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</si>
  <si>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</si>
  <si>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</si>
  <si>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</si>
  <si>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</si>
  <si>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</si>
  <si>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</si>
  <si>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</si>
  <si>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</si>
  <si>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</si>
  <si>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</si>
  <si>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</si>
  <si>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</si>
  <si>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</si>
  <si>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</si>
  <si>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</si>
  <si>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</si>
  <si>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</si>
  <si>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</si>
  <si>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</si>
  <si>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</si>
  <si>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</si>
  <si>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</si>
  <si>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</si>
  <si>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</si>
  <si>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</si>
  <si>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</si>
  <si>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</si>
  <si>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</si>
  <si>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</si>
  <si>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</si>
  <si>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13023</t>
  </si>
  <si>
    <t>MERKSPLAS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</si>
  <si>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</si>
  <si>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</si>
  <si>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</si>
  <si>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</si>
  <si>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</si>
  <si>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</si>
  <si>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</si>
  <si>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BVBA De Groentuin</t>
  </si>
  <si>
    <t>Koekhoven 41 A, 2330 Merksplas</t>
  </si>
  <si>
    <t>WKK-0052 De Groentuin</t>
  </si>
  <si>
    <t>interne verbrandingsmotor</t>
  </si>
  <si>
    <t>WKK interne verbrandinsgmotor (gas)</t>
  </si>
  <si>
    <t>Koekhoven 31, 2330 Merksplas</t>
  </si>
  <si>
    <t>IVEG</t>
  </si>
  <si>
    <t>Lauwerysen-Krijnen bvba</t>
  </si>
  <si>
    <t>Koekhoven 37, 2330 Merksplas</t>
  </si>
  <si>
    <t>WKK-0131 Lauwerysen-Krijnen</t>
  </si>
  <si>
    <t>Groeikracht Merksplas nv</t>
  </si>
  <si>
    <t>Horst 8, 2330 Merksplas</t>
  </si>
  <si>
    <t>WKK-0012a Groeikracht Merksplas</t>
  </si>
  <si>
    <t>Kurt Dielis FV</t>
  </si>
  <si>
    <t>Koekhoven 59, 2330 Merksplas</t>
  </si>
  <si>
    <t>WKK-0126 Kurt Dielis</t>
  </si>
  <si>
    <t>Groeikracht Marvado NV</t>
  </si>
  <si>
    <t>Geheul 13, 2330 Merksplas</t>
  </si>
  <si>
    <t>WKK-0071 Groeikracht Marvado</t>
  </si>
  <si>
    <t>Groeikracht De Markvallei nv</t>
  </si>
  <si>
    <t>Horst 12,, 2330 Merksplas</t>
  </si>
  <si>
    <t>WKK-0034a Groeikracht de Markvallei</t>
  </si>
  <si>
    <t>Den Berk bvba</t>
  </si>
  <si>
    <t>Berkelaar 10 , 2330 Merksplas</t>
  </si>
  <si>
    <t>WKK-0243 Den Berk</t>
  </si>
  <si>
    <t>Hortipower bvba</t>
  </si>
  <si>
    <t>Berkelaar 7 , 2330 Merksplas</t>
  </si>
  <si>
    <t>WKK-0294 Hortipower</t>
  </si>
  <si>
    <t>EBEM BVBA</t>
  </si>
  <si>
    <t>Markt 1, 2330 Merksplas</t>
  </si>
  <si>
    <t>BGS-0025 IOK Merksplas-Beerse</t>
  </si>
  <si>
    <t>biogas - stortgas</t>
  </si>
  <si>
    <t>niet WKK interne verbrandingsmotor (gas)</t>
  </si>
  <si>
    <t>Moerstraat, 2330 Merksplas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</si>
</sst>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13023</v>
      </c>
      <c r="B6" s="396"/>
      <c r="C6" s="397"/>
    </row>
    <row r="7" spans="1:7" s="394" customFormat="1" ht="15.75" customHeight="1">
      <c r="A7" s="398" t="str">
        <f>txtMunicipality</f>
        <v>MERKSPLAS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1.1667886367867721</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1.1667886367867721</v>
      </c>
      <c r="C29" s="510">
        <f ca="1">'EF ele_warmte'!B22</f>
        <v>0.23764705882352941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3107</v>
      </c>
      <c r="C9" s="336">
        <v>3356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2382</v>
      </c>
    </row>
    <row r="15" spans="1:6">
      <c r="A15" s="1277" t="s">
        <v>184</v>
      </c>
      <c r="B15" s="333">
        <v>11968</v>
      </c>
    </row>
    <row r="16" spans="1:6">
      <c r="A16" s="1277" t="s">
        <v>6</v>
      </c>
      <c r="B16" s="333">
        <v>2984</v>
      </c>
    </row>
    <row r="17" spans="1:6">
      <c r="A17" s="1277" t="s">
        <v>7</v>
      </c>
      <c r="B17" s="333">
        <v>599</v>
      </c>
    </row>
    <row r="18" spans="1:6">
      <c r="A18" s="1277" t="s">
        <v>8</v>
      </c>
      <c r="B18" s="333">
        <v>1851</v>
      </c>
    </row>
    <row r="19" spans="1:6">
      <c r="A19" s="1277" t="s">
        <v>9</v>
      </c>
      <c r="B19" s="333">
        <v>1729</v>
      </c>
    </row>
    <row r="20" spans="1:6">
      <c r="A20" s="1277" t="s">
        <v>10</v>
      </c>
      <c r="B20" s="333">
        <v>1023</v>
      </c>
    </row>
    <row r="21" spans="1:6">
      <c r="A21" s="1277" t="s">
        <v>11</v>
      </c>
      <c r="B21" s="333">
        <v>18898</v>
      </c>
    </row>
    <row r="22" spans="1:6">
      <c r="A22" s="1277" t="s">
        <v>12</v>
      </c>
      <c r="B22" s="333">
        <v>42494</v>
      </c>
    </row>
    <row r="23" spans="1:6">
      <c r="A23" s="1277" t="s">
        <v>13</v>
      </c>
      <c r="B23" s="333">
        <v>1128</v>
      </c>
    </row>
    <row r="24" spans="1:6">
      <c r="A24" s="1277" t="s">
        <v>14</v>
      </c>
      <c r="B24" s="333">
        <v>38</v>
      </c>
    </row>
    <row r="25" spans="1:6">
      <c r="A25" s="1277" t="s">
        <v>15</v>
      </c>
      <c r="B25" s="333">
        <v>4557</v>
      </c>
    </row>
    <row r="26" spans="1:6">
      <c r="A26" s="1277" t="s">
        <v>16</v>
      </c>
      <c r="B26" s="333">
        <v>7</v>
      </c>
    </row>
    <row r="27" spans="1:6">
      <c r="A27" s="1277" t="s">
        <v>17</v>
      </c>
      <c r="B27" s="333">
        <v>9</v>
      </c>
    </row>
    <row r="28" spans="1:6">
      <c r="A28" s="1277" t="s">
        <v>18</v>
      </c>
      <c r="B28" s="333">
        <v>567084</v>
      </c>
    </row>
    <row r="29" spans="1:6">
      <c r="A29" s="1277" t="s">
        <v>957</v>
      </c>
      <c r="B29" s="333">
        <v>98</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127379453.155027</v>
      </c>
      <c r="E36" s="333">
        <v>6</v>
      </c>
      <c r="F36" s="333">
        <v>670334</v>
      </c>
    </row>
    <row r="37" spans="1:6">
      <c r="A37" s="1277" t="s">
        <v>25</v>
      </c>
      <c r="B37" s="1277" t="s">
        <v>28</v>
      </c>
      <c r="C37" s="333">
        <v>0</v>
      </c>
      <c r="D37" s="333">
        <v>0</v>
      </c>
      <c r="E37" s="333">
        <v>0</v>
      </c>
      <c r="F37" s="333">
        <v>0</v>
      </c>
    </row>
    <row r="38" spans="1:6">
      <c r="A38" s="1277" t="s">
        <v>25</v>
      </c>
      <c r="B38" s="1277" t="s">
        <v>29</v>
      </c>
      <c r="C38" s="333">
        <v>1</v>
      </c>
      <c r="D38" s="333">
        <v>1048675.1725685201</v>
      </c>
      <c r="E38" s="333">
        <v>1</v>
      </c>
      <c r="F38" s="333">
        <v>7769</v>
      </c>
    </row>
    <row r="39" spans="1:6">
      <c r="A39" s="1277" t="s">
        <v>30</v>
      </c>
      <c r="B39" s="1277" t="s">
        <v>31</v>
      </c>
      <c r="C39" s="333">
        <v>2160</v>
      </c>
      <c r="D39" s="333">
        <v>43498903.714026697</v>
      </c>
      <c r="E39" s="333">
        <v>3058</v>
      </c>
      <c r="F39" s="333">
        <v>12638604</v>
      </c>
    </row>
    <row r="40" spans="1:6">
      <c r="A40" s="1277" t="s">
        <v>30</v>
      </c>
      <c r="B40" s="1277" t="s">
        <v>29</v>
      </c>
      <c r="C40" s="333">
        <v>0</v>
      </c>
      <c r="D40" s="333">
        <v>0</v>
      </c>
      <c r="E40" s="333">
        <v>0</v>
      </c>
      <c r="F40" s="333">
        <v>0</v>
      </c>
    </row>
    <row r="41" spans="1:6">
      <c r="A41" s="1277" t="s">
        <v>32</v>
      </c>
      <c r="B41" s="1277" t="s">
        <v>33</v>
      </c>
      <c r="C41" s="333">
        <v>0</v>
      </c>
      <c r="D41" s="333">
        <v>0</v>
      </c>
      <c r="E41" s="333">
        <v>82</v>
      </c>
      <c r="F41" s="333">
        <v>670740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12</v>
      </c>
      <c r="F44" s="333">
        <v>551715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20</v>
      </c>
      <c r="D48" s="333">
        <v>828279.58728497103</v>
      </c>
      <c r="E48" s="333">
        <v>7</v>
      </c>
      <c r="F48" s="333">
        <v>196943</v>
      </c>
    </row>
    <row r="49" spans="1:6">
      <c r="A49" s="1277" t="s">
        <v>32</v>
      </c>
      <c r="B49" s="1277" t="s">
        <v>40</v>
      </c>
      <c r="C49" s="333">
        <v>0</v>
      </c>
      <c r="D49" s="333">
        <v>0</v>
      </c>
      <c r="E49" s="333">
        <v>0</v>
      </c>
      <c r="F49" s="333">
        <v>0</v>
      </c>
    </row>
    <row r="50" spans="1:6">
      <c r="A50" s="1277" t="s">
        <v>32</v>
      </c>
      <c r="B50" s="1277" t="s">
        <v>41</v>
      </c>
      <c r="C50" s="333">
        <v>4</v>
      </c>
      <c r="D50" s="333">
        <v>547016.20515041298</v>
      </c>
      <c r="E50" s="333">
        <v>7</v>
      </c>
      <c r="F50" s="333">
        <v>150654</v>
      </c>
    </row>
    <row r="51" spans="1:6">
      <c r="A51" s="1277" t="s">
        <v>42</v>
      </c>
      <c r="B51" s="1277" t="s">
        <v>43</v>
      </c>
      <c r="C51" s="333">
        <v>12</v>
      </c>
      <c r="D51" s="333">
        <v>378654639.83157301</v>
      </c>
      <c r="E51" s="333">
        <v>154</v>
      </c>
      <c r="F51" s="333">
        <v>9678842</v>
      </c>
    </row>
    <row r="52" spans="1:6">
      <c r="A52" s="1277" t="s">
        <v>42</v>
      </c>
      <c r="B52" s="1277" t="s">
        <v>29</v>
      </c>
      <c r="C52" s="333">
        <v>4</v>
      </c>
      <c r="D52" s="333">
        <v>57442.973744128103</v>
      </c>
      <c r="E52" s="333">
        <v>0</v>
      </c>
      <c r="F52" s="333">
        <v>0</v>
      </c>
    </row>
    <row r="53" spans="1:6">
      <c r="A53" s="1277" t="s">
        <v>44</v>
      </c>
      <c r="B53" s="1277" t="s">
        <v>45</v>
      </c>
      <c r="C53" s="333">
        <v>21</v>
      </c>
      <c r="D53" s="333">
        <v>436253.24404991599</v>
      </c>
      <c r="E53" s="333">
        <v>0</v>
      </c>
      <c r="F53" s="333">
        <v>0</v>
      </c>
    </row>
    <row r="54" spans="1:6">
      <c r="A54" s="1277" t="s">
        <v>46</v>
      </c>
      <c r="B54" s="1277" t="s">
        <v>47</v>
      </c>
      <c r="C54" s="333">
        <v>0</v>
      </c>
      <c r="D54" s="333">
        <v>0</v>
      </c>
      <c r="E54" s="333">
        <v>50</v>
      </c>
      <c r="F54" s="333">
        <v>342731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v>
      </c>
      <c r="D57" s="333">
        <v>3682089.6794756302</v>
      </c>
      <c r="E57" s="333">
        <v>33</v>
      </c>
      <c r="F57" s="333">
        <v>3570275</v>
      </c>
    </row>
    <row r="58" spans="1:6">
      <c r="A58" s="1277" t="s">
        <v>49</v>
      </c>
      <c r="B58" s="1277" t="s">
        <v>51</v>
      </c>
      <c r="C58" s="333">
        <v>3</v>
      </c>
      <c r="D58" s="333">
        <v>551604.84201119398</v>
      </c>
      <c r="E58" s="333">
        <v>19</v>
      </c>
      <c r="F58" s="333">
        <v>392777</v>
      </c>
    </row>
    <row r="59" spans="1:6">
      <c r="A59" s="1277" t="s">
        <v>49</v>
      </c>
      <c r="B59" s="1277" t="s">
        <v>52</v>
      </c>
      <c r="C59" s="333">
        <v>6</v>
      </c>
      <c r="D59" s="333">
        <v>406848.02554957499</v>
      </c>
      <c r="E59" s="333">
        <v>100</v>
      </c>
      <c r="F59" s="333">
        <v>3593049</v>
      </c>
    </row>
    <row r="60" spans="1:6">
      <c r="A60" s="1277" t="s">
        <v>49</v>
      </c>
      <c r="B60" s="1277" t="s">
        <v>53</v>
      </c>
      <c r="C60" s="333">
        <v>8</v>
      </c>
      <c r="D60" s="333">
        <v>517551.90949372499</v>
      </c>
      <c r="E60" s="333">
        <v>19</v>
      </c>
      <c r="F60" s="333">
        <v>1281770</v>
      </c>
    </row>
    <row r="61" spans="1:6">
      <c r="A61" s="1277" t="s">
        <v>49</v>
      </c>
      <c r="B61" s="1277" t="s">
        <v>54</v>
      </c>
      <c r="C61" s="333">
        <v>33</v>
      </c>
      <c r="D61" s="333">
        <v>13965558.7429672</v>
      </c>
      <c r="E61" s="333">
        <v>122</v>
      </c>
      <c r="F61" s="333">
        <v>5155862</v>
      </c>
    </row>
    <row r="62" spans="1:6">
      <c r="A62" s="1277" t="s">
        <v>49</v>
      </c>
      <c r="B62" s="1277" t="s">
        <v>55</v>
      </c>
      <c r="C62" s="333">
        <v>3</v>
      </c>
      <c r="D62" s="333">
        <v>311981.53046194703</v>
      </c>
      <c r="E62" s="333">
        <v>4</v>
      </c>
      <c r="F62" s="333">
        <v>87671</v>
      </c>
    </row>
    <row r="63" spans="1:6">
      <c r="A63" s="1277" t="s">
        <v>49</v>
      </c>
      <c r="B63" s="1277" t="s">
        <v>29</v>
      </c>
      <c r="C63" s="333">
        <v>52</v>
      </c>
      <c r="D63" s="333">
        <v>2078195.43989731</v>
      </c>
      <c r="E63" s="333">
        <v>0</v>
      </c>
      <c r="F63" s="333">
        <v>0</v>
      </c>
    </row>
    <row r="64" spans="1:6">
      <c r="A64" s="1277" t="s">
        <v>56</v>
      </c>
      <c r="B64" s="1277" t="s">
        <v>57</v>
      </c>
      <c r="C64" s="333">
        <v>0</v>
      </c>
      <c r="D64" s="333">
        <v>0</v>
      </c>
      <c r="E64" s="333">
        <v>0</v>
      </c>
      <c r="F64" s="333">
        <v>0</v>
      </c>
    </row>
    <row r="65" spans="1:6">
      <c r="A65" s="1277" t="s">
        <v>56</v>
      </c>
      <c r="B65" s="1277" t="s">
        <v>29</v>
      </c>
      <c r="C65" s="333">
        <v>1</v>
      </c>
      <c r="D65" s="333">
        <v>26327.779445190499</v>
      </c>
      <c r="E65" s="333">
        <v>2</v>
      </c>
      <c r="F65" s="333">
        <v>4732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67602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44711193</v>
      </c>
      <c r="E73" s="333">
        <v>46595789.045936197</v>
      </c>
      <c r="F73" s="333">
        <v>44941961</v>
      </c>
    </row>
    <row r="74" spans="1:6">
      <c r="A74" s="1277" t="s">
        <v>64</v>
      </c>
      <c r="B74" s="1277" t="s">
        <v>774</v>
      </c>
      <c r="C74" s="1288" t="s">
        <v>775</v>
      </c>
      <c r="D74" s="333">
        <v>3139399.634062293</v>
      </c>
      <c r="E74" s="333">
        <v>3412626.4532941845</v>
      </c>
      <c r="F74" s="333">
        <v>3242879.3944564597</v>
      </c>
    </row>
    <row r="75" spans="1:6">
      <c r="A75" s="1277" t="s">
        <v>65</v>
      </c>
      <c r="B75" s="1277" t="s">
        <v>772</v>
      </c>
      <c r="C75" s="1288" t="s">
        <v>776</v>
      </c>
      <c r="D75" s="333">
        <v>8121047</v>
      </c>
      <c r="E75" s="333">
        <v>8450637.9421992507</v>
      </c>
      <c r="F75" s="333">
        <v>8158346</v>
      </c>
    </row>
    <row r="76" spans="1:6">
      <c r="A76" s="1277" t="s">
        <v>65</v>
      </c>
      <c r="B76" s="1277" t="s">
        <v>774</v>
      </c>
      <c r="C76" s="1288" t="s">
        <v>777</v>
      </c>
      <c r="D76" s="333">
        <v>183705.6340622931</v>
      </c>
      <c r="E76" s="333">
        <v>219081.39956548513</v>
      </c>
      <c r="F76" s="333">
        <v>201714.39445645947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259624.73187541377</v>
      </c>
      <c r="C83" s="333">
        <v>239330.50139340168</v>
      </c>
      <c r="D83" s="333">
        <v>242073.21108708106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998.31191864122752</v>
      </c>
    </row>
    <row r="92" spans="1:6">
      <c r="A92" s="1273" t="s">
        <v>69</v>
      </c>
      <c r="B92" s="336">
        <v>627.14354446710161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1528</v>
      </c>
    </row>
    <row r="98" spans="1:6">
      <c r="A98" s="1277" t="s">
        <v>72</v>
      </c>
      <c r="B98" s="333">
        <v>2</v>
      </c>
    </row>
    <row r="99" spans="1:6">
      <c r="A99" s="1277" t="s">
        <v>73</v>
      </c>
      <c r="B99" s="333">
        <v>75</v>
      </c>
    </row>
    <row r="100" spans="1:6">
      <c r="A100" s="1277" t="s">
        <v>74</v>
      </c>
      <c r="B100" s="333">
        <v>103</v>
      </c>
    </row>
    <row r="101" spans="1:6">
      <c r="A101" s="1277" t="s">
        <v>75</v>
      </c>
      <c r="B101" s="333">
        <v>100</v>
      </c>
    </row>
    <row r="102" spans="1:6">
      <c r="A102" s="1277" t="s">
        <v>76</v>
      </c>
      <c r="B102" s="333">
        <v>31</v>
      </c>
    </row>
    <row r="103" spans="1:6">
      <c r="A103" s="1277" t="s">
        <v>77</v>
      </c>
      <c r="B103" s="333">
        <v>63</v>
      </c>
    </row>
    <row r="104" spans="1:6">
      <c r="A104" s="1277" t="s">
        <v>78</v>
      </c>
      <c r="B104" s="333">
        <v>786</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v>
      </c>
    </row>
    <row r="130" spans="1:6">
      <c r="A130" s="1277" t="s">
        <v>295</v>
      </c>
      <c r="B130" s="333">
        <v>1</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40957.366732741437</v>
      </c>
      <c r="C3" s="43" t="s">
        <v>170</v>
      </c>
      <c r="D3" s="43"/>
      <c r="E3" s="156"/>
      <c r="F3" s="43"/>
      <c r="G3" s="43"/>
      <c r="H3" s="43"/>
      <c r="I3" s="43"/>
      <c r="J3" s="43"/>
      <c r="K3" s="96"/>
    </row>
    <row r="4" spans="1:11">
      <c r="A4" s="364" t="s">
        <v>171</v>
      </c>
      <c r="B4" s="49">
        <f>IF(ISERROR('SEAP template'!B78),0,'SEAP template'!B78)</f>
        <v>3272.4554631083292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39460.224705882356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1.1667886367867721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56371.749579831936</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237207.85714285716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342.73099999999999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342.73099999999999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1.1667886367867721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399.89463627456718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12638.603999999999</v>
      </c>
      <c r="C5" s="17">
        <f>IF(ISERROR('Eigen informatie GS &amp; warmtenet'!B57),0,'Eigen informatie GS &amp; warmtenet'!B57)</f>
        <v>0</v>
      </c>
      <c r="D5" s="30">
        <f>(SUM(HH_hh_gas_kWh,HH_rest_gas_kWh)/1000)*0.902</f>
        <v>39236.01115005208</v>
      </c>
      <c r="E5" s="17">
        <f>B46*B57</f>
        <v>4038.834763186062</v>
      </c>
      <c r="F5" s="17">
        <f>B51*B62</f>
        <v>4952.6173929301058</v>
      </c>
      <c r="G5" s="18"/>
      <c r="H5" s="17"/>
      <c r="I5" s="17"/>
      <c r="J5" s="17">
        <f>B50*B61+C50*C61</f>
        <v>0</v>
      </c>
      <c r="K5" s="17"/>
      <c r="L5" s="17"/>
      <c r="M5" s="17"/>
      <c r="N5" s="17">
        <f>B48*B59+C48*C59</f>
        <v>15580.978317396952</v>
      </c>
      <c r="O5" s="17">
        <f>B69*B70*B71</f>
        <v>35.956666666666671</v>
      </c>
      <c r="P5" s="17">
        <f>B77*B78*B79/1000-B77*B78*B79/1000/B80</f>
        <v>38.133333333333333</v>
      </c>
    </row>
    <row r="6" spans="1:16">
      <c r="A6" s="16" t="s">
        <v>632</v>
      </c>
      <c r="B6" s="779">
        <f>kWh_PV_kleiner_dan_10kW</f>
        <v>998.31191864122752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13636.915918641227</v>
      </c>
      <c r="C8" s="21">
        <f>C5</f>
        <v>0</v>
      </c>
      <c r="D8" s="21">
        <f>D5</f>
        <v>39236.01115005208</v>
      </c>
      <c r="E8" s="21">
        <f>E5</f>
        <v>4038.834763186062</v>
      </c>
      <c r="F8" s="21">
        <f>F5</f>
        <v>4952.6173929301058</v>
      </c>
      <c r="G8" s="21"/>
      <c r="H8" s="21"/>
      <c r="I8" s="21"/>
      <c r="J8" s="21">
        <f>J5</f>
        <v>0</v>
      </c>
      <c r="K8" s="21"/>
      <c r="L8" s="21">
        <f>L5</f>
        <v>0</v>
      </c>
      <c r="M8" s="21">
        <f>M5</f>
        <v>0</v>
      </c>
      <c r="N8" s="21">
        <f>N5</f>
        <v>15580.978317396952</v>
      </c>
      <c r="O8" s="21">
        <f>O5</f>
        <v>35.956666666666671</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1.1667886367867721</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15911.39853468723</v>
      </c>
      <c r="C12" s="23">
        <f ca="1">C10*C8</f>
        <v>0</v>
      </c>
      <c r="D12" s="23">
        <f>D8*D10</f>
        <v>7925.6742523105204</v>
      </c>
      <c r="E12" s="23">
        <f>E10*E8</f>
        <v>916.81549124323612</v>
      </c>
      <c r="F12" s="23">
        <f>F10*F8</f>
        <v>1322.3488439123382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1528</v>
      </c>
      <c r="C18" s="167" t="s">
        <v>111</v>
      </c>
      <c r="D18" s="229"/>
      <c r="E18" s="15"/>
    </row>
    <row r="19" spans="1:7">
      <c r="A19" s="172" t="s">
        <v>72</v>
      </c>
      <c r="B19" s="37">
        <f>aantalw2001_ander</f>
        <v>2</v>
      </c>
      <c r="C19" s="167" t="s">
        <v>111</v>
      </c>
      <c r="D19" s="230"/>
      <c r="E19" s="15"/>
    </row>
    <row r="20" spans="1:7">
      <c r="A20" s="172" t="s">
        <v>73</v>
      </c>
      <c r="B20" s="37">
        <f>aantalw2001_propaan</f>
        <v>75</v>
      </c>
      <c r="C20" s="168">
        <f>IF(ISERROR(B20/SUM($B$20,$B$21,$B$22)*100),0,B20/SUM($B$20,$B$21,$B$22)*100)</f>
        <v>26.978417266187048</v>
      </c>
      <c r="D20" s="230"/>
      <c r="E20" s="15"/>
    </row>
    <row r="21" spans="1:7">
      <c r="A21" s="172" t="s">
        <v>74</v>
      </c>
      <c r="B21" s="37">
        <f>aantalw2001_elektriciteit</f>
        <v>103</v>
      </c>
      <c r="C21" s="168">
        <f>IF(ISERROR(B21/SUM($B$20,$B$21,$B$22)*100),0,B21/SUM($B$20,$B$21,$B$22)*100)</f>
        <v>37.050359712230211</v>
      </c>
      <c r="D21" s="230"/>
      <c r="E21" s="15"/>
    </row>
    <row r="22" spans="1:7">
      <c r="A22" s="172" t="s">
        <v>75</v>
      </c>
      <c r="B22" s="37">
        <f>aantalw2001_hout</f>
        <v>100</v>
      </c>
      <c r="C22" s="168">
        <f>IF(ISERROR(B22/SUM($B$20,$B$21,$B$22)*100),0,B22/SUM($B$20,$B$21,$B$22)*100)</f>
        <v>35.97122302158273</v>
      </c>
      <c r="D22" s="230"/>
      <c r="E22" s="15"/>
    </row>
    <row r="23" spans="1:7">
      <c r="A23" s="172" t="s">
        <v>76</v>
      </c>
      <c r="B23" s="37">
        <f>aantalw2001_niet_gespec</f>
        <v>31</v>
      </c>
      <c r="C23" s="167" t="s">
        <v>111</v>
      </c>
      <c r="D23" s="229"/>
      <c r="E23" s="15"/>
    </row>
    <row r="24" spans="1:7">
      <c r="A24" s="172" t="s">
        <v>77</v>
      </c>
      <c r="B24" s="37">
        <f>aantalw2001_steenkool</f>
        <v>63</v>
      </c>
      <c r="C24" s="167" t="s">
        <v>111</v>
      </c>
      <c r="D24" s="230"/>
      <c r="E24" s="15"/>
    </row>
    <row r="25" spans="1:7">
      <c r="A25" s="172" t="s">
        <v>78</v>
      </c>
      <c r="B25" s="37">
        <f>aantalw2001_stookolie</f>
        <v>786</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3107</v>
      </c>
      <c r="C28" s="36"/>
      <c r="D28" s="229"/>
    </row>
    <row r="29" spans="1:7" s="15" customFormat="1">
      <c r="A29" s="231" t="s">
        <v>713</v>
      </c>
      <c r="B29" s="37">
        <f>SUM(HH_hh_gas_aantal,HH_rest_gas_aantal)</f>
        <v>2160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2160</v>
      </c>
      <c r="C32" s="168">
        <f>IF(ISERROR(B32/SUM($B$32,$B$34,$B$35,$B$36,$B$38,$B$39)*100),0,B32/SUM($B$32,$B$34,$B$35,$B$36,$B$38,$B$39)*100)</f>
        <v>69.565217391304344</v>
      </c>
      <c r="D32" s="234"/>
      <c r="G32" s="15"/>
    </row>
    <row r="33" spans="1:7">
      <c r="A33" s="172" t="s">
        <v>72</v>
      </c>
      <c r="B33" s="34" t="s">
        <v>111</v>
      </c>
      <c r="C33" s="168"/>
      <c r="D33" s="234"/>
      <c r="G33" s="15"/>
    </row>
    <row r="34" spans="1:7">
      <c r="A34" s="172" t="s">
        <v>73</v>
      </c>
      <c r="B34" s="33">
        <f>IF((($B$28-$B$32-$B$39-$B$77-$B$38)*C20/100)&lt;0,0,($B$28-$B$32-$B$39-$B$77-$B$38)*C20/100)</f>
        <v>196.34892086330936</v>
      </c>
      <c r="C34" s="168">
        <f>IF(ISERROR(B34/SUM($B$32,$B$34,$B$35,$B$36,$B$38,$B$39)*100),0,B34/SUM($B$32,$B$34,$B$35,$B$36,$B$38,$B$39)*100)</f>
        <v>6.3236367427796898</v>
      </c>
      <c r="D34" s="234"/>
      <c r="G34" s="15"/>
    </row>
    <row r="35" spans="1:7">
      <c r="A35" s="172" t="s">
        <v>74</v>
      </c>
      <c r="B35" s="33">
        <f>IF((($B$28-$B$32-$B$39-$B$77-$B$38)*C21/100)&lt;0,0,($B$28-$B$32-$B$39-$B$77-$B$38)*C21/100)</f>
        <v>269.6525179856115</v>
      </c>
      <c r="C35" s="168">
        <f>IF(ISERROR(B35/SUM($B$32,$B$34,$B$35,$B$36,$B$38,$B$39)*100),0,B35/SUM($B$32,$B$34,$B$35,$B$36,$B$38,$B$39)*100)</f>
        <v>8.6844611267507723</v>
      </c>
      <c r="D35" s="234"/>
      <c r="G35" s="15"/>
    </row>
    <row r="36" spans="1:7">
      <c r="A36" s="172" t="s">
        <v>75</v>
      </c>
      <c r="B36" s="33">
        <f>IF((($B$28-$B$32-$B$39-$B$77-$B$38)*C22/100)&lt;0,0,($B$28-$B$32-$B$39-$B$77-$B$38)*C22/100)</f>
        <v>261.79856115107913</v>
      </c>
      <c r="C36" s="168">
        <f>IF(ISERROR(B36/SUM($B$32,$B$34,$B$35,$B$36,$B$38,$B$39)*100),0,B36/SUM($B$32,$B$34,$B$35,$B$36,$B$38,$B$39)*100)</f>
        <v>8.4315156570395864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217.19999999999993</v>
      </c>
      <c r="C39" s="168">
        <f>IF(ISERROR(B39/SUM($B$32,$B$34,$B$35,$B$36,$B$38,$B$39)*100),0,B39/SUM($B$32,$B$34,$B$35,$B$36,$B$38,$B$39)*100)</f>
        <v>6.9951690821256021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2160</v>
      </c>
      <c r="C44" s="34" t="s">
        <v>111</v>
      </c>
      <c r="D44" s="175"/>
    </row>
    <row r="45" spans="1:7">
      <c r="A45" s="172" t="s">
        <v>72</v>
      </c>
      <c r="B45" s="33" t="str">
        <f t="shared" si="0"/>
        <v>-</v>
      </c>
      <c r="C45" s="34" t="s">
        <v>111</v>
      </c>
      <c r="D45" s="175"/>
    </row>
    <row r="46" spans="1:7">
      <c r="A46" s="172" t="s">
        <v>73</v>
      </c>
      <c r="B46" s="33">
        <f t="shared" si="0"/>
        <v>196.34892086330936</v>
      </c>
      <c r="C46" s="34" t="s">
        <v>111</v>
      </c>
      <c r="D46" s="175"/>
    </row>
    <row r="47" spans="1:7">
      <c r="A47" s="172" t="s">
        <v>74</v>
      </c>
      <c r="B47" s="33">
        <f t="shared" si="0"/>
        <v>269.6525179856115</v>
      </c>
      <c r="C47" s="34" t="s">
        <v>111</v>
      </c>
      <c r="D47" s="175"/>
    </row>
    <row r="48" spans="1:7">
      <c r="A48" s="172" t="s">
        <v>75</v>
      </c>
      <c r="B48" s="33">
        <f t="shared" si="0"/>
        <v>261.79856115107913</v>
      </c>
      <c r="C48" s="33">
        <f>B48*10</f>
        <v>2617.9856115107914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217.19999999999993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14081.404</v>
      </c>
      <c r="C5" s="17">
        <f>IF(ISERROR('Eigen informatie GS &amp; warmtenet'!B58),0,'Eigen informatie GS &amp; warmtenet'!B58)</f>
        <v>0</v>
      </c>
      <c r="D5" s="30">
        <f>SUM(D6:D12)</f>
        <v>19405.474813210636</v>
      </c>
      <c r="E5" s="17">
        <f>SUM(E6:E12)</f>
        <v>293.22476938717602</v>
      </c>
      <c r="F5" s="17">
        <f>SUM(F6:F12)</f>
        <v>2665.7311311892454</v>
      </c>
      <c r="G5" s="18"/>
      <c r="H5" s="17"/>
      <c r="I5" s="17"/>
      <c r="J5" s="17">
        <f>SUM(J6:J12)</f>
        <v>0</v>
      </c>
      <c r="K5" s="17"/>
      <c r="L5" s="17"/>
      <c r="M5" s="17"/>
      <c r="N5" s="17">
        <f>SUM(N6:N12)</f>
        <v>868.05790477384392</v>
      </c>
      <c r="O5" s="17">
        <f>B38*B39*B40</f>
        <v>1.5633333333333335</v>
      </c>
      <c r="P5" s="17">
        <f>B46*B47*B48/1000-B46*B47*B48/1000/B49</f>
        <v>0</v>
      </c>
      <c r="R5" s="32"/>
    </row>
    <row r="6" spans="1:18">
      <c r="A6" s="32" t="s">
        <v>54</v>
      </c>
      <c r="B6" s="37">
        <f>B26</f>
        <v>5155.8620000000001</v>
      </c>
      <c r="C6" s="33"/>
      <c r="D6" s="37">
        <f>IF(ISERROR(TER_kantoor_gas_kWh/1000),0,TER_kantoor_gas_kWh/1000)*0.902</f>
        <v>12596.933986156415</v>
      </c>
      <c r="E6" s="33">
        <f>$C$26*'E Balans VL '!I12/100/3.6*1000000</f>
        <v>180.47545185479427</v>
      </c>
      <c r="F6" s="33">
        <f>$C$26*('E Balans VL '!L12+'E Balans VL '!N12)/100/3.6*1000000</f>
        <v>781.73937447242565</v>
      </c>
      <c r="G6" s="34"/>
      <c r="H6" s="33"/>
      <c r="I6" s="33"/>
      <c r="J6" s="33">
        <f>$C$26*('E Balans VL '!D12+'E Balans VL '!E12)/100/3.6*1000000</f>
        <v>0</v>
      </c>
      <c r="K6" s="33"/>
      <c r="L6" s="33"/>
      <c r="M6" s="33"/>
      <c r="N6" s="33">
        <f>$C$26*'E Balans VL '!Y12/100/3.6*1000000</f>
        <v>39.853199519606129</v>
      </c>
      <c r="O6" s="33"/>
      <c r="P6" s="33"/>
      <c r="R6" s="32"/>
    </row>
    <row r="7" spans="1:18">
      <c r="A7" s="32" t="s">
        <v>53</v>
      </c>
      <c r="B7" s="37">
        <f t="shared" ref="B7:B12" si="0">B27</f>
        <v>1281.77</v>
      </c>
      <c r="C7" s="33"/>
      <c r="D7" s="37">
        <f>IF(ISERROR(TER_horeca_gas_kWh/1000),0,TER_horeca_gas_kWh/1000)*0.902</f>
        <v>466.83182236334</v>
      </c>
      <c r="E7" s="33">
        <f>$C$27*'E Balans VL '!I9/100/3.6*1000000</f>
        <v>72.308871390231175</v>
      </c>
      <c r="F7" s="33">
        <f>$C$27*('E Balans VL '!L9+'E Balans VL '!N9)/100/3.6*1000000</f>
        <v>223.29142740625502</v>
      </c>
      <c r="G7" s="34"/>
      <c r="H7" s="33"/>
      <c r="I7" s="33"/>
      <c r="J7" s="33">
        <f>$C$27*('E Balans VL '!D9+'E Balans VL '!E9)/100/3.6*1000000</f>
        <v>0</v>
      </c>
      <c r="K7" s="33"/>
      <c r="L7" s="33"/>
      <c r="M7" s="33"/>
      <c r="N7" s="33">
        <f>$C$27*'E Balans VL '!Y9/100/3.6*1000000</f>
        <v>0</v>
      </c>
      <c r="O7" s="33"/>
      <c r="P7" s="33"/>
      <c r="R7" s="32"/>
    </row>
    <row r="8" spans="1:18">
      <c r="A8" s="6" t="s">
        <v>52</v>
      </c>
      <c r="B8" s="37">
        <f t="shared" si="0"/>
        <v>3593.049</v>
      </c>
      <c r="C8" s="33"/>
      <c r="D8" s="37">
        <f>IF(ISERROR(TER_handel_gas_kWh/1000),0,TER_handel_gas_kWh/1000)*0.902</f>
        <v>366.97691904571661</v>
      </c>
      <c r="E8" s="33">
        <f>$C$28*'E Balans VL '!I13/100/3.6*1000000</f>
        <v>18.446348517516032</v>
      </c>
      <c r="F8" s="33">
        <f>$C$28*('E Balans VL '!L13+'E Balans VL '!N13)/100/3.6*1000000</f>
        <v>553.99263749374688</v>
      </c>
      <c r="G8" s="34"/>
      <c r="H8" s="33"/>
      <c r="I8" s="33"/>
      <c r="J8" s="33">
        <f>$C$28*('E Balans VL '!D13+'E Balans VL '!E13)/100/3.6*1000000</f>
        <v>0</v>
      </c>
      <c r="K8" s="33"/>
      <c r="L8" s="33"/>
      <c r="M8" s="33"/>
      <c r="N8" s="33">
        <f>$C$28*'E Balans VL '!Y13/100/3.6*1000000</f>
        <v>1.6805128763666399</v>
      </c>
      <c r="O8" s="33"/>
      <c r="P8" s="33"/>
      <c r="R8" s="32"/>
    </row>
    <row r="9" spans="1:18">
      <c r="A9" s="32" t="s">
        <v>51</v>
      </c>
      <c r="B9" s="37">
        <f t="shared" si="0"/>
        <v>392.77699999999999</v>
      </c>
      <c r="C9" s="33"/>
      <c r="D9" s="37">
        <f>IF(ISERROR(TER_gezond_gas_kWh/1000),0,TER_gezond_gas_kWh/1000)*0.902</f>
        <v>497.547567494097</v>
      </c>
      <c r="E9" s="33">
        <f>$C$29*'E Balans VL '!I10/100/3.6*1000000</f>
        <v>0.16280326924245911</v>
      </c>
      <c r="F9" s="33">
        <f>$C$29*('E Balans VL '!L10+'E Balans VL '!N10)/100/3.6*1000000</f>
        <v>96.735341926396742</v>
      </c>
      <c r="G9" s="34"/>
      <c r="H9" s="33"/>
      <c r="I9" s="33"/>
      <c r="J9" s="33">
        <f>$C$29*('E Balans VL '!D10+'E Balans VL '!E10)/100/3.6*1000000</f>
        <v>0</v>
      </c>
      <c r="K9" s="33"/>
      <c r="L9" s="33"/>
      <c r="M9" s="33"/>
      <c r="N9" s="33">
        <f>$C$29*'E Balans VL '!Y10/100/3.6*1000000</f>
        <v>3.3945654522184117</v>
      </c>
      <c r="O9" s="33"/>
      <c r="P9" s="33"/>
      <c r="R9" s="32"/>
    </row>
    <row r="10" spans="1:18">
      <c r="A10" s="32" t="s">
        <v>50</v>
      </c>
      <c r="B10" s="37">
        <f t="shared" si="0"/>
        <v>3570.2750000000001</v>
      </c>
      <c r="C10" s="33"/>
      <c r="D10" s="37">
        <f>IF(ISERROR(TER_ander_gas_kWh/1000),0,TER_ander_gas_kWh/1000)*0.902</f>
        <v>3321.2448908870183</v>
      </c>
      <c r="E10" s="33">
        <f>$C$30*'E Balans VL '!I14/100/3.6*1000000</f>
        <v>21.764484488314896</v>
      </c>
      <c r="F10" s="33">
        <f>$C$30*('E Balans VL '!L14+'E Balans VL '!N14)/100/3.6*1000000</f>
        <v>946.52880971971297</v>
      </c>
      <c r="G10" s="34"/>
      <c r="H10" s="33"/>
      <c r="I10" s="33"/>
      <c r="J10" s="33">
        <f>$C$30*('E Balans VL '!D14+'E Balans VL '!E14)/100/3.6*1000000</f>
        <v>0</v>
      </c>
      <c r="K10" s="33"/>
      <c r="L10" s="33"/>
      <c r="M10" s="33"/>
      <c r="N10" s="33">
        <f>$C$30*'E Balans VL '!Y14/100/3.6*1000000</f>
        <v>822.8712395356655</v>
      </c>
      <c r="O10" s="33"/>
      <c r="P10" s="33"/>
      <c r="R10" s="32"/>
    </row>
    <row r="11" spans="1:18">
      <c r="A11" s="32" t="s">
        <v>55</v>
      </c>
      <c r="B11" s="37">
        <f t="shared" si="0"/>
        <v>87.671000000000006</v>
      </c>
      <c r="C11" s="33"/>
      <c r="D11" s="37">
        <f>IF(ISERROR(TER_onderwijs_gas_kWh/1000),0,TER_onderwijs_gas_kWh/1000)*0.902</f>
        <v>281.40734047667627</v>
      </c>
      <c r="E11" s="33">
        <f>$C$31*'E Balans VL '!I11/100/3.6*1000000</f>
        <v>6.6809867077197022E-2</v>
      </c>
      <c r="F11" s="33">
        <f>$C$31*('E Balans VL '!L11+'E Balans VL '!N11)/100/3.6*1000000</f>
        <v>63.443540170707763</v>
      </c>
      <c r="G11" s="34"/>
      <c r="H11" s="33"/>
      <c r="I11" s="33"/>
      <c r="J11" s="33">
        <f>$C$31*('E Balans VL '!D11+'E Balans VL '!E11)/100/3.6*1000000</f>
        <v>0</v>
      </c>
      <c r="K11" s="33"/>
      <c r="L11" s="33"/>
      <c r="M11" s="33"/>
      <c r="N11" s="33">
        <f>$C$31*'E Balans VL '!Y11/100/3.6*1000000</f>
        <v>0.25838738998719546</v>
      </c>
      <c r="O11" s="33"/>
      <c r="P11" s="33"/>
      <c r="R11" s="32"/>
    </row>
    <row r="12" spans="1:18">
      <c r="A12" s="32" t="s">
        <v>260</v>
      </c>
      <c r="B12" s="37">
        <f t="shared" si="0"/>
        <v>0</v>
      </c>
      <c r="C12" s="33"/>
      <c r="D12" s="37">
        <f>IF(ISERROR(TER_rest_gas_kWh/1000),0,TER_rest_gas_kWh/1000)*0.902</f>
        <v>1874.5322867873736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1647</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-4705.7142857142862</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15728.404</v>
      </c>
      <c r="C16" s="21">
        <f ca="1">C5+C13+C14</f>
        <v>0</v>
      </c>
      <c r="D16" s="21">
        <f t="shared" ref="D16:N16" ca="1" si="1">MAX((D5+D13+D14),0)</f>
        <v>19405.474813210636</v>
      </c>
      <c r="E16" s="21">
        <f t="shared" si="1"/>
        <v>293.22476938717602</v>
      </c>
      <c r="F16" s="21">
        <f t="shared" ca="1" si="1"/>
        <v>2665.7311311892454</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1.1667886367867721</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18351.723061991615</v>
      </c>
      <c r="C20" s="23">
        <f t="shared" ref="C20:P20" ca="1" si="2">C16*C18</f>
        <v>0</v>
      </c>
      <c r="D20" s="23">
        <f t="shared" ca="1" si="2"/>
        <v>3919.9059122685489</v>
      </c>
      <c r="E20" s="23">
        <f t="shared" si="2"/>
        <v>66.562022650888963</v>
      </c>
      <c r="F20" s="23">
        <f t="shared" ca="1" si="2"/>
        <v>711.75021202752851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5155.8620000000001</v>
      </c>
      <c r="C26" s="39">
        <f>IF(ISERROR(B26*3.6/1000000/'E Balans VL '!Z12*100),0,B26*3.6/1000000/'E Balans VL '!Z12*100)</f>
        <v>0.10849656543647876</v>
      </c>
      <c r="D26" s="238" t="s">
        <v>719</v>
      </c>
      <c r="F26" s="6"/>
    </row>
    <row r="27" spans="1:18">
      <c r="A27" s="232" t="s">
        <v>53</v>
      </c>
      <c r="B27" s="33">
        <f>IF(ISERROR(TER_horeca_ele_kWh/1000),0,TER_horeca_ele_kWh/1000)</f>
        <v>1281.77</v>
      </c>
      <c r="C27" s="39">
        <f>IF(ISERROR(B27*3.6/1000000/'E Balans VL '!Z9*100),0,B27*3.6/1000000/'E Balans VL '!Z9*100)</f>
        <v>0.10852386415965437</v>
      </c>
      <c r="D27" s="238" t="s">
        <v>719</v>
      </c>
      <c r="F27" s="6"/>
    </row>
    <row r="28" spans="1:18">
      <c r="A28" s="172" t="s">
        <v>52</v>
      </c>
      <c r="B28" s="33">
        <f>IF(ISERROR(TER_handel_ele_kWh/1000),0,TER_handel_ele_kWh/1000)</f>
        <v>3593.049</v>
      </c>
      <c r="C28" s="39">
        <f>IF(ISERROR(B28*3.6/1000000/'E Balans VL '!Z13*100),0,B28*3.6/1000000/'E Balans VL '!Z13*100)</f>
        <v>9.9473064721613089E-2</v>
      </c>
      <c r="D28" s="238" t="s">
        <v>719</v>
      </c>
      <c r="F28" s="6"/>
    </row>
    <row r="29" spans="1:18">
      <c r="A29" s="232" t="s">
        <v>51</v>
      </c>
      <c r="B29" s="33">
        <f>IF(ISERROR(TER_gezond_ele_kWh/1000),0,TER_gezond_ele_kWh/1000)</f>
        <v>392.77699999999999</v>
      </c>
      <c r="C29" s="39">
        <f>IF(ISERROR(B29*3.6/1000000/'E Balans VL '!Z10*100),0,B29*3.6/1000000/'E Balans VL '!Z10*100)</f>
        <v>5.1056655559271975E-2</v>
      </c>
      <c r="D29" s="238" t="s">
        <v>719</v>
      </c>
      <c r="F29" s="6"/>
    </row>
    <row r="30" spans="1:18">
      <c r="A30" s="232" t="s">
        <v>50</v>
      </c>
      <c r="B30" s="33">
        <f>IF(ISERROR(TER_ander_ele_kWh/1000),0,TER_ander_ele_kWh/1000)</f>
        <v>3570.2750000000001</v>
      </c>
      <c r="C30" s="39">
        <f>IF(ISERROR(B30*3.6/1000000/'E Balans VL '!Z14*100),0,B30*3.6/1000000/'E Balans VL '!Z14*100)</f>
        <v>0.27672905442293882</v>
      </c>
      <c r="D30" s="238" t="s">
        <v>719</v>
      </c>
      <c r="F30" s="6"/>
    </row>
    <row r="31" spans="1:18">
      <c r="A31" s="232" t="s">
        <v>55</v>
      </c>
      <c r="B31" s="33">
        <f>IF(ISERROR(TER_onderwijs_ele_kWh/1000),0,TER_onderwijs_ele_kWh/1000)</f>
        <v>87.671000000000006</v>
      </c>
      <c r="C31" s="39">
        <f>IF(ISERROR(B31*3.6/1000000/'E Balans VL '!Z11*100),0,B31*3.6/1000000/'E Balans VL '!Z11*100)</f>
        <v>1.6772956182226254E-2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1570.0519999999999</v>
      </c>
      <c r="C5" s="17">
        <f>IF(ISERROR('Eigen informatie GS &amp; warmtenet'!B59),0,'Eigen informatie GS &amp; warmtenet'!B59)</f>
        <v>0</v>
      </c>
      <c r="D5" s="30">
        <f>SUM(D6:D15)</f>
        <v>1240.5168047767165</v>
      </c>
      <c r="E5" s="17">
        <f>SUM(E6:E15)</f>
        <v>18.294548047481676</v>
      </c>
      <c r="F5" s="17">
        <f>SUM(F6:F15)</f>
        <v>648.59709815579276</v>
      </c>
      <c r="G5" s="18"/>
      <c r="H5" s="17"/>
      <c r="I5" s="17"/>
      <c r="J5" s="17">
        <f>SUM(J6:J15)</f>
        <v>13.390142971468951</v>
      </c>
      <c r="K5" s="17"/>
      <c r="L5" s="17"/>
      <c r="M5" s="17"/>
      <c r="N5" s="17">
        <f>SUM(N6:N15)</f>
        <v>57.528569906984814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551.71500000000003</v>
      </c>
      <c r="C8" s="33"/>
      <c r="D8" s="37">
        <f>IF( ISERROR(IND_metaal_Gas_kWH/1000),0,IND_metaal_Gas_kWH/1000)*0.902</f>
        <v>0</v>
      </c>
      <c r="E8" s="33">
        <f>C30*'E Balans VL '!I18/100/3.6*1000000</f>
        <v>3.8767795746069735</v>
      </c>
      <c r="F8" s="33">
        <f>C30*'E Balans VL '!L18/100/3.6*1000000+C30*'E Balans VL '!N18/100/3.6*1000000</f>
        <v>60.575079149537416</v>
      </c>
      <c r="G8" s="34"/>
      <c r="H8" s="33"/>
      <c r="I8" s="33"/>
      <c r="J8" s="40">
        <f>C30*'E Balans VL '!D18/100/3.6*1000000+C30*'E Balans VL '!E18/100/3.6*1000000</f>
        <v>11.383069611971717</v>
      </c>
      <c r="K8" s="33"/>
      <c r="L8" s="33"/>
      <c r="M8" s="33"/>
      <c r="N8" s="33">
        <f>C30*'E Balans VL '!Y18/100/3.6*1000000</f>
        <v>2.0678675544716807</v>
      </c>
      <c r="O8" s="33"/>
      <c r="P8" s="33"/>
      <c r="R8" s="32"/>
    </row>
    <row r="9" spans="1:18">
      <c r="A9" s="6" t="s">
        <v>33</v>
      </c>
      <c r="B9" s="37">
        <f t="shared" si="0"/>
        <v>670.74</v>
      </c>
      <c r="C9" s="33"/>
      <c r="D9" s="37">
        <f>IF( ISERROR(IND_andere_gas_kWh/1000),0,IND_andere_gas_kWh/1000)*0.902</f>
        <v>0</v>
      </c>
      <c r="E9" s="33">
        <f>C31*'E Balans VL '!I19/100/3.6*1000000</f>
        <v>11.265899982734872</v>
      </c>
      <c r="F9" s="33">
        <f>C31*'E Balans VL '!L19/100/3.6*1000000+C31*'E Balans VL '!N19/100/3.6*1000000</f>
        <v>524.34632950208788</v>
      </c>
      <c r="G9" s="34"/>
      <c r="H9" s="33"/>
      <c r="I9" s="33"/>
      <c r="J9" s="40">
        <f>C31*'E Balans VL '!D19/100/3.6*1000000+C31*'E Balans VL '!E19/100/3.6*1000000</f>
        <v>6.0494827119842984E-2</v>
      </c>
      <c r="K9" s="33"/>
      <c r="L9" s="33"/>
      <c r="M9" s="33"/>
      <c r="N9" s="33">
        <f>C31*'E Balans VL '!Y19/100/3.6*1000000</f>
        <v>49.712595075924284</v>
      </c>
      <c r="O9" s="33"/>
      <c r="P9" s="33"/>
      <c r="R9" s="32"/>
    </row>
    <row r="10" spans="1:18">
      <c r="A10" s="6" t="s">
        <v>41</v>
      </c>
      <c r="B10" s="37">
        <f t="shared" si="0"/>
        <v>150.654</v>
      </c>
      <c r="C10" s="33"/>
      <c r="D10" s="37">
        <f>IF( ISERROR(IND_voed_gas_kWh/1000),0,IND_voed_gas_kWh/1000)*0.902</f>
        <v>493.40861704567249</v>
      </c>
      <c r="E10" s="33">
        <f>C32*'E Balans VL '!I20/100/3.6*1000000</f>
        <v>1.3745044917333098</v>
      </c>
      <c r="F10" s="33">
        <f>C32*'E Balans VL '!L20/100/3.6*1000000+C32*'E Balans VL '!N20/100/3.6*1000000</f>
        <v>24.305202381353553</v>
      </c>
      <c r="G10" s="34"/>
      <c r="H10" s="33"/>
      <c r="I10" s="33"/>
      <c r="J10" s="40">
        <f>C32*'E Balans VL '!D20/100/3.6*1000000+C32*'E Balans VL '!E20/100/3.6*1000000</f>
        <v>0.62049194554354148</v>
      </c>
      <c r="K10" s="33"/>
      <c r="L10" s="33"/>
      <c r="M10" s="33"/>
      <c r="N10" s="33">
        <f>C32*'E Balans VL '!Y20/100/3.6*1000000</f>
        <v>2.2039492259869196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196.94300000000001</v>
      </c>
      <c r="C15" s="33"/>
      <c r="D15" s="37">
        <f>IF( ISERROR(IND_rest_gas_kWh/1000),0,IND_rest_gas_kWh/1000)*0.902</f>
        <v>747.10818773104393</v>
      </c>
      <c r="E15" s="33">
        <f>C37*'E Balans VL '!I15/100/3.6*1000000</f>
        <v>1.7773639984065206</v>
      </c>
      <c r="F15" s="33">
        <f>C37*'E Balans VL '!L15/100/3.6*1000000+C37*'E Balans VL '!N15/100/3.6*1000000</f>
        <v>39.370487122813977</v>
      </c>
      <c r="G15" s="34"/>
      <c r="H15" s="33"/>
      <c r="I15" s="33"/>
      <c r="J15" s="40">
        <f>C37*'E Balans VL '!D15/100/3.6*1000000+C37*'E Balans VL '!E15/100/3.6*1000000</f>
        <v>1.3260865868338489</v>
      </c>
      <c r="K15" s="33"/>
      <c r="L15" s="33"/>
      <c r="M15" s="33"/>
      <c r="N15" s="33">
        <f>C37*'E Balans VL '!Y15/100/3.6*1000000</f>
        <v>3.5441580506019283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1570.0519999999999</v>
      </c>
      <c r="C18" s="21">
        <f>C5+C16</f>
        <v>0</v>
      </c>
      <c r="D18" s="21">
        <f>MAX((D5+D16),0)</f>
        <v>1240.5168047767165</v>
      </c>
      <c r="E18" s="21">
        <f>MAX((E5+E16),0)</f>
        <v>18.294548047481676</v>
      </c>
      <c r="F18" s="21">
        <f>MAX((F5+F16),0)</f>
        <v>648.59709815579276</v>
      </c>
      <c r="G18" s="21"/>
      <c r="H18" s="21"/>
      <c r="I18" s="21"/>
      <c r="J18" s="21">
        <f>MAX((J5+J16),0)</f>
        <v>13.390142971468951</v>
      </c>
      <c r="K18" s="21"/>
      <c r="L18" s="21">
        <f>MAX((L5+L16),0)</f>
        <v>0</v>
      </c>
      <c r="M18" s="21"/>
      <c r="N18" s="21">
        <f>MAX((N5+N16),0)</f>
        <v>57.528569906984814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1.1667886367867721</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1831.9188327643451</v>
      </c>
      <c r="C22" s="23">
        <f ca="1">C18*C20</f>
        <v>0</v>
      </c>
      <c r="D22" s="23">
        <f>D18*D20</f>
        <v>250.58439456489674</v>
      </c>
      <c r="E22" s="23">
        <f>E18*E20</f>
        <v>4.1528624067783406</v>
      </c>
      <c r="F22" s="23">
        <f>F18*F20</f>
        <v>173.17542520759667</v>
      </c>
      <c r="G22" s="23"/>
      <c r="H22" s="23"/>
      <c r="I22" s="23"/>
      <c r="J22" s="23">
        <f>J18*J20</f>
        <v>4.7401106119000085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551.71500000000003</v>
      </c>
      <c r="C30" s="39">
        <f>IF(ISERROR(B30*3.6/1000000/'E Balans VL '!Z18*100),0,B30*3.6/1000000/'E Balans VL '!Z18*100)</f>
        <v>3.6728004455411085E-2</v>
      </c>
      <c r="D30" s="238" t="s">
        <v>719</v>
      </c>
    </row>
    <row r="31" spans="1:18">
      <c r="A31" s="6" t="s">
        <v>33</v>
      </c>
      <c r="B31" s="37">
        <f>IF( ISERROR(IND_ander_ele_kWh/1000),0,IND_ander_ele_kWh/1000)</f>
        <v>670.74</v>
      </c>
      <c r="C31" s="39">
        <f>IF(ISERROR(B31*3.6/1000000/'E Balans VL '!Z19*100),0,B31*3.6/1000000/'E Balans VL '!Z19*100)</f>
        <v>2.9731246093028633E-2</v>
      </c>
      <c r="D31" s="238" t="s">
        <v>719</v>
      </c>
    </row>
    <row r="32" spans="1:18">
      <c r="A32" s="172" t="s">
        <v>41</v>
      </c>
      <c r="B32" s="37">
        <f>IF( ISERROR(IND_voed_ele_kWh/1000),0,IND_voed_ele_kWh/1000)</f>
        <v>150.654</v>
      </c>
      <c r="C32" s="39">
        <f>IF(ISERROR(B32*3.6/1000000/'E Balans VL '!Z20*100),0,B32*3.6/1000000/'E Balans VL '!Z20*100)</f>
        <v>5.0322757703922206E-3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196.94300000000001</v>
      </c>
      <c r="C37" s="39">
        <f>IF(ISERROR(B37*3.6/1000000/'E Balans VL '!Z15*100),0,B37*3.6/1000000/'E Balans VL '!Z15*100)</f>
        <v>1.4649350724079396E-3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9678.8420000000006</v>
      </c>
      <c r="C5" s="17">
        <f>'Eigen informatie GS &amp; warmtenet'!B60</f>
        <v>0</v>
      </c>
      <c r="D5" s="30">
        <f>IF(ISERROR(SUM(LB_lb_gas_kWh,LB_rest_gas_kWh)/1000),0,SUM(LB_lb_gas_kWh,LB_rest_gas_kWh)/1000)*0.902</f>
        <v>341598.29869039613</v>
      </c>
      <c r="E5" s="17">
        <f>B17*'E Balans VL '!I25/3.6*1000000/100</f>
        <v>101.35892880784375</v>
      </c>
      <c r="F5" s="17">
        <f>B17*('E Balans VL '!L25/3.6*1000000+'E Balans VL '!N25/3.6*1000000)/100</f>
        <v>41432.798118006569</v>
      </c>
      <c r="G5" s="18"/>
      <c r="H5" s="17"/>
      <c r="I5" s="17"/>
      <c r="J5" s="17">
        <f>('E Balans VL '!D25+'E Balans VL '!E25)/3.6*1000000*landbouw!B17/100</f>
        <v>864.40734354082178</v>
      </c>
      <c r="K5" s="17"/>
      <c r="L5" s="17">
        <f>L6*(-1)</f>
        <v>0</v>
      </c>
      <c r="M5" s="17"/>
      <c r="N5" s="17">
        <f>N6*(-1)</f>
        <v>0</v>
      </c>
      <c r="O5" s="17"/>
      <c r="P5" s="17"/>
      <c r="R5" s="32"/>
    </row>
    <row r="6" spans="1:18">
      <c r="A6" s="16" t="s">
        <v>496</v>
      </c>
      <c r="B6" s="17" t="s">
        <v>211</v>
      </c>
      <c r="C6" s="17">
        <f>'lokale energieproductie'!O92+'lokale energieproductie'!O61</f>
        <v>237207.85714285716</v>
      </c>
      <c r="D6" s="311">
        <f>('lokale energieproductie'!P61+'lokale energieproductie'!P92)*(-1)</f>
        <v>-474415.71428571432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9678.8420000000006</v>
      </c>
      <c r="C8" s="21">
        <f>C5+C6</f>
        <v>237207.85714285716</v>
      </c>
      <c r="D8" s="21">
        <f>MAX((D5+D6),0)</f>
        <v>0</v>
      </c>
      <c r="E8" s="21">
        <f>MAX((E5+E6),0)</f>
        <v>101.35892880784375</v>
      </c>
      <c r="F8" s="21">
        <f>MAX((F5+F6),0)</f>
        <v>41432.798118006569</v>
      </c>
      <c r="G8" s="21"/>
      <c r="H8" s="21"/>
      <c r="I8" s="21"/>
      <c r="J8" s="21">
        <f>MAX((J5+J6),0)</f>
        <v>864.40734354082178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1.1667886367867721</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11293.162862854555</v>
      </c>
      <c r="C12" s="23">
        <f ca="1">C8*C10</f>
        <v>56371.749579831936</v>
      </c>
      <c r="D12" s="23">
        <f>D8*D10</f>
        <v>0</v>
      </c>
      <c r="E12" s="23">
        <f>E8*E10</f>
        <v>23.008476839380531</v>
      </c>
      <c r="F12" s="23">
        <f>F8*F10</f>
        <v>11062.557097507755</v>
      </c>
      <c r="G12" s="23"/>
      <c r="H12" s="23"/>
      <c r="I12" s="23"/>
      <c r="J12" s="23">
        <f>J8*J10</f>
        <v>306.00019961345089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1.4897606199776339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846.25765807507719</v>
      </c>
      <c r="C26" s="248">
        <f>B26*'GWP N2O_CH4'!B5</f>
        <v>17771.41081957662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485.05059378105278</v>
      </c>
      <c r="C27" s="248">
        <f>B27*'GWP N2O_CH4'!B5</f>
        <v>10186.062469402108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20.75550004888251</v>
      </c>
      <c r="C28" s="248">
        <f>B28*'GWP N2O_CH4'!B4</f>
        <v>6434.2050151535777</v>
      </c>
      <c r="D28" s="50"/>
    </row>
    <row r="29" spans="1:4">
      <c r="A29" s="41" t="s">
        <v>277</v>
      </c>
      <c r="B29" s="248">
        <f>B34*'ha_N2O bodem landbouw'!B4</f>
        <v>21.431002555356645</v>
      </c>
      <c r="C29" s="248">
        <f>B29*'GWP N2O_CH4'!B4</f>
        <v>6643.6107921605599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3.5417546405609713E-3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1.5185307607500497E-6</v>
      </c>
      <c r="C5" s="446" t="s">
        <v>211</v>
      </c>
      <c r="D5" s="431">
        <f>SUM(D6:D11)</f>
        <v>7.3451911088247813E-6</v>
      </c>
      <c r="E5" s="431">
        <f>SUM(E6:E11)</f>
        <v>7.4789543527799967E-4</v>
      </c>
      <c r="F5" s="444" t="s">
        <v>211</v>
      </c>
      <c r="G5" s="431">
        <f>SUM(G6:G11)</f>
        <v>0.12265227975116463</v>
      </c>
      <c r="H5" s="431">
        <f>SUM(H6:H11)</f>
        <v>2.4483064561767208E-2</v>
      </c>
      <c r="I5" s="446" t="s">
        <v>211</v>
      </c>
      <c r="J5" s="446" t="s">
        <v>211</v>
      </c>
      <c r="K5" s="446" t="s">
        <v>211</v>
      </c>
      <c r="L5" s="446" t="s">
        <v>211</v>
      </c>
      <c r="M5" s="431">
        <f>SUM(M6:M11)</f>
        <v>6.4291189984098792E-3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1.2851115515891869E-6</v>
      </c>
      <c r="C6" s="432"/>
      <c r="D6" s="432">
        <f>vkm_2011_GW_PW*SUMIFS(TableVerdeelsleutelVkm[CNG],TableVerdeelsleutelVkm[Voertuigtype],"Lichte voertuigen")*SUMIFS(TableECFTransport[EnergieConsumptieFactor (PJ per km)],TableECFTransport[Index],CONCATENATE($A6,"_CNG_CNG"))</f>
        <v>5.5399665176991604E-6</v>
      </c>
      <c r="E6" s="434">
        <f>vkm_2011_GW_PW*SUMIFS(TableVerdeelsleutelVkm[LPG],TableVerdeelsleutelVkm[Voertuigtype],"Lichte voertuigen")*SUMIFS(TableECFTransport[EnergieConsumptieFactor (PJ per km)],TableECFTransport[Index],CONCATENATE($A6,"_LPG_LPG"))</f>
        <v>5.7639952364548408E-4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7.0898723785837017E-2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1.8666164737134793E-2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3.9251628056073788E-3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2.9358768316274347E-2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1.0066714812195126E-5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1.2682437824703395E-3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2.3341920916086294E-7</v>
      </c>
      <c r="C8" s="432"/>
      <c r="D8" s="434">
        <f>vkm_2011_NGW_PW*SUMIFS(TableVerdeelsleutelVkm[CNG],TableVerdeelsleutelVkm[Voertuigtype],"Lichte voertuigen")*SUMIFS(TableECFTransport[EnergieConsumptieFactor (PJ per km)],TableECFTransport[Index],CONCATENATE($A8,"_CNG_CNG"))</f>
        <v>1.8052245911256212E-6</v>
      </c>
      <c r="E8" s="434">
        <f>vkm_2011_NGW_PW*SUMIFS(TableVerdeelsleutelVkm[LPG],TableVerdeelsleutelVkm[Voertuigtype],"Lichte voertuigen")*SUMIFS(TableECFTransport[EnergieConsumptieFactor (PJ per km)],TableECFTransport[Index],CONCATENATE($A8,"_LPG_LPG"))</f>
        <v>1.7149591163251557E-4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2.00076225241979E-2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5.8061220360429294E-3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1.1325963210109485E-3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2.3871651248553796E-3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7.1107377729103948E-7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1.0311608932121325E-4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0.42181410020834714</v>
      </c>
      <c r="C14" s="21"/>
      <c r="D14" s="21">
        <f t="shared" ref="D14:M14" si="0">((D5)*10^9/3600)+D12</f>
        <v>2.0403308635624393</v>
      </c>
      <c r="E14" s="21">
        <f t="shared" si="0"/>
        <v>207.7487320216666</v>
      </c>
      <c r="F14" s="21"/>
      <c r="G14" s="21">
        <f t="shared" si="0"/>
        <v>34070.077708656841</v>
      </c>
      <c r="H14" s="21">
        <f t="shared" si="0"/>
        <v>6800.8512671575581</v>
      </c>
      <c r="I14" s="21"/>
      <c r="J14" s="21"/>
      <c r="K14" s="21"/>
      <c r="L14" s="21"/>
      <c r="M14" s="21">
        <f t="shared" si="0"/>
        <v>1785.8663884471887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1.1667886367867721</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0.49216789895953628</v>
      </c>
      <c r="C18" s="23"/>
      <c r="D18" s="23">
        <f t="shared" ref="D18:M18" si="1">D14*D16</f>
        <v>0.41214683443961275</v>
      </c>
      <c r="E18" s="23">
        <f t="shared" si="1"/>
        <v>47.158962168918322</v>
      </c>
      <c r="F18" s="23"/>
      <c r="G18" s="23">
        <f t="shared" si="1"/>
        <v>9096.710748211377</v>
      </c>
      <c r="H18" s="23">
        <f t="shared" si="1"/>
        <v>1693.4119655222319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3.4089726489583364E-3</v>
      </c>
      <c r="H50" s="322">
        <f t="shared" si="2"/>
        <v>0</v>
      </c>
      <c r="I50" s="322">
        <f t="shared" si="2"/>
        <v>0</v>
      </c>
      <c r="J50" s="322">
        <f t="shared" si="2"/>
        <v>0</v>
      </c>
      <c r="K50" s="322">
        <f t="shared" si="2"/>
        <v>0</v>
      </c>
      <c r="L50" s="322">
        <f t="shared" si="2"/>
        <v>0</v>
      </c>
      <c r="M50" s="322">
        <f t="shared" si="2"/>
        <v>1.4530969382330362E-4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3.4089726489583364E-3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1.4530969382330362E-4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946.93684693287128</v>
      </c>
      <c r="H54" s="21">
        <f t="shared" si="3"/>
        <v>0</v>
      </c>
      <c r="I54" s="21">
        <f t="shared" si="3"/>
        <v>0</v>
      </c>
      <c r="J54" s="21">
        <f t="shared" si="3"/>
        <v>0</v>
      </c>
      <c r="K54" s="21">
        <f t="shared" si="3"/>
        <v>0</v>
      </c>
      <c r="L54" s="21">
        <f t="shared" si="3"/>
        <v>0</v>
      </c>
      <c r="M54" s="21">
        <f t="shared" si="3"/>
        <v>40.363803839806565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1.1667886367867721</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252.83213813107665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16071.135</v>
      </c>
      <c r="D10" s="687">
        <f ca="1">tertiair!C16</f>
        <v>0</v>
      </c>
      <c r="E10" s="687">
        <f ca="1">tertiair!D16</f>
        <v>19405.474813210636</v>
      </c>
      <c r="F10" s="687">
        <f>tertiair!E16</f>
        <v>293.22476938717602</v>
      </c>
      <c r="G10" s="687">
        <f ca="1">tertiair!F16</f>
        <v>2665.7311311892454</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0</v>
      </c>
      <c r="R10" s="690">
        <f ca="1">SUM(C10:Q10)</f>
        <v>38437.12904712039</v>
      </c>
      <c r="S10" s="67"/>
    </row>
    <row r="11" spans="1:19" s="456" customFormat="1">
      <c r="A11" s="802" t="s">
        <v>225</v>
      </c>
      <c r="B11" s="807"/>
      <c r="C11" s="687">
        <f>huishoudens!B8</f>
        <v>13636.915918641227</v>
      </c>
      <c r="D11" s="687">
        <f>huishoudens!C8</f>
        <v>0</v>
      </c>
      <c r="E11" s="687">
        <f>huishoudens!D8</f>
        <v>39236.01115005208</v>
      </c>
      <c r="F11" s="687">
        <f>huishoudens!E8</f>
        <v>4038.834763186062</v>
      </c>
      <c r="G11" s="687">
        <f>huishoudens!F8</f>
        <v>4952.6173929301058</v>
      </c>
      <c r="H11" s="687">
        <f>huishoudens!G8</f>
        <v>0</v>
      </c>
      <c r="I11" s="687">
        <f>huishoudens!H8</f>
        <v>0</v>
      </c>
      <c r="J11" s="687">
        <f>huishoudens!I8</f>
        <v>0</v>
      </c>
      <c r="K11" s="687">
        <f>huishoudens!J8</f>
        <v>0</v>
      </c>
      <c r="L11" s="687">
        <f>huishoudens!K8</f>
        <v>0</v>
      </c>
      <c r="M11" s="687">
        <f>huishoudens!L8</f>
        <v>0</v>
      </c>
      <c r="N11" s="687">
        <f>huishoudens!M8</f>
        <v>0</v>
      </c>
      <c r="O11" s="687">
        <f>huishoudens!N8</f>
        <v>15580.978317396952</v>
      </c>
      <c r="P11" s="687">
        <f>huishoudens!O8</f>
        <v>35.956666666666671</v>
      </c>
      <c r="Q11" s="688">
        <f>huishoudens!P8</f>
        <v>38.133333333333333</v>
      </c>
      <c r="R11" s="690">
        <f>SUM(C11:Q11)</f>
        <v>77519.447542206428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1570.0519999999999</v>
      </c>
      <c r="D13" s="687">
        <f>industrie!C18</f>
        <v>0</v>
      </c>
      <c r="E13" s="687">
        <f>industrie!D18</f>
        <v>1240.5168047767165</v>
      </c>
      <c r="F13" s="687">
        <f>industrie!E18</f>
        <v>18.294548047481676</v>
      </c>
      <c r="G13" s="687">
        <f>industrie!F18</f>
        <v>648.59709815579276</v>
      </c>
      <c r="H13" s="687">
        <f>industrie!G18</f>
        <v>0</v>
      </c>
      <c r="I13" s="687">
        <f>industrie!H18</f>
        <v>0</v>
      </c>
      <c r="J13" s="687">
        <f>industrie!I18</f>
        <v>0</v>
      </c>
      <c r="K13" s="687">
        <f>industrie!J18</f>
        <v>13.390142971468951</v>
      </c>
      <c r="L13" s="687">
        <f>industrie!K18</f>
        <v>0</v>
      </c>
      <c r="M13" s="687">
        <f>industrie!L18</f>
        <v>0</v>
      </c>
      <c r="N13" s="687">
        <f>industrie!M18</f>
        <v>0</v>
      </c>
      <c r="O13" s="687">
        <f>industrie!N18</f>
        <v>57.528569906984814</v>
      </c>
      <c r="P13" s="687">
        <f>industrie!O18</f>
        <v>0</v>
      </c>
      <c r="Q13" s="688">
        <f>industrie!P18</f>
        <v>0</v>
      </c>
      <c r="R13" s="690">
        <f>SUM(C13:Q13)</f>
        <v>3548.3791638584448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31278.102918641227</v>
      </c>
      <c r="D16" s="720">
        <f t="shared" ref="D16:R16" ca="1" si="0">SUM(D9:D15)</f>
        <v>0</v>
      </c>
      <c r="E16" s="720">
        <f t="shared" ca="1" si="0"/>
        <v>59882.002768039434</v>
      </c>
      <c r="F16" s="720">
        <f t="shared" si="0"/>
        <v>4350.3540806207202</v>
      </c>
      <c r="G16" s="720">
        <f t="shared" ca="1" si="0"/>
        <v>8266.9456222751433</v>
      </c>
      <c r="H16" s="720">
        <f t="shared" si="0"/>
        <v>0</v>
      </c>
      <c r="I16" s="720">
        <f t="shared" si="0"/>
        <v>0</v>
      </c>
      <c r="J16" s="720">
        <f t="shared" si="0"/>
        <v>0</v>
      </c>
      <c r="K16" s="720">
        <f t="shared" si="0"/>
        <v>13.390142971468951</v>
      </c>
      <c r="L16" s="720">
        <f t="shared" si="0"/>
        <v>0</v>
      </c>
      <c r="M16" s="720">
        <f t="shared" ca="1" si="0"/>
        <v>0</v>
      </c>
      <c r="N16" s="720">
        <f t="shared" si="0"/>
        <v>0</v>
      </c>
      <c r="O16" s="720">
        <f t="shared" ca="1" si="0"/>
        <v>15638.506887303936</v>
      </c>
      <c r="P16" s="720">
        <f t="shared" si="0"/>
        <v>37.520000000000003</v>
      </c>
      <c r="Q16" s="720">
        <f t="shared" si="0"/>
        <v>38.133333333333333</v>
      </c>
      <c r="R16" s="720">
        <f t="shared" ca="1" si="0"/>
        <v>119504.95575318526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946.93684693287128</v>
      </c>
      <c r="I19" s="687">
        <f>transport!H54</f>
        <v>0</v>
      </c>
      <c r="J19" s="687">
        <f>transport!I54</f>
        <v>0</v>
      </c>
      <c r="K19" s="687">
        <f>transport!J54</f>
        <v>0</v>
      </c>
      <c r="L19" s="687">
        <f>transport!K54</f>
        <v>0</v>
      </c>
      <c r="M19" s="687">
        <f>transport!L54</f>
        <v>0</v>
      </c>
      <c r="N19" s="687">
        <f>transport!M54</f>
        <v>40.363803839806565</v>
      </c>
      <c r="O19" s="687">
        <f>transport!N54</f>
        <v>0</v>
      </c>
      <c r="P19" s="687">
        <f>transport!O54</f>
        <v>0</v>
      </c>
      <c r="Q19" s="688">
        <f>transport!P54</f>
        <v>0</v>
      </c>
      <c r="R19" s="690">
        <f>SUM(C19:Q19)</f>
        <v>987.30065077267784</v>
      </c>
      <c r="S19" s="67"/>
    </row>
    <row r="20" spans="1:19" s="456" customFormat="1">
      <c r="A20" s="802" t="s">
        <v>307</v>
      </c>
      <c r="B20" s="807"/>
      <c r="C20" s="687">
        <f>transport!B14</f>
        <v>0.42181410020834714</v>
      </c>
      <c r="D20" s="687">
        <f>transport!C14</f>
        <v>0</v>
      </c>
      <c r="E20" s="687">
        <f>transport!D14</f>
        <v>2.0403308635624393</v>
      </c>
      <c r="F20" s="687">
        <f>transport!E14</f>
        <v>207.7487320216666</v>
      </c>
      <c r="G20" s="687">
        <f>transport!F14</f>
        <v>0</v>
      </c>
      <c r="H20" s="687">
        <f>transport!G14</f>
        <v>34070.077708656841</v>
      </c>
      <c r="I20" s="687">
        <f>transport!H14</f>
        <v>6800.8512671575581</v>
      </c>
      <c r="J20" s="687">
        <f>transport!I14</f>
        <v>0</v>
      </c>
      <c r="K20" s="687">
        <f>transport!J14</f>
        <v>0</v>
      </c>
      <c r="L20" s="687">
        <f>transport!K14</f>
        <v>0</v>
      </c>
      <c r="M20" s="687">
        <f>transport!L14</f>
        <v>0</v>
      </c>
      <c r="N20" s="687">
        <f>transport!M14</f>
        <v>1785.8663884471887</v>
      </c>
      <c r="O20" s="687">
        <f>transport!N14</f>
        <v>0</v>
      </c>
      <c r="P20" s="687">
        <f>transport!O14</f>
        <v>0</v>
      </c>
      <c r="Q20" s="688">
        <f>transport!P14</f>
        <v>0</v>
      </c>
      <c r="R20" s="690">
        <f>SUM(C20:Q20)</f>
        <v>42867.006241247029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0.42181410020834714</v>
      </c>
      <c r="D22" s="805">
        <f t="shared" ref="D22:R22" si="1">SUM(D18:D21)</f>
        <v>0</v>
      </c>
      <c r="E22" s="805">
        <f t="shared" si="1"/>
        <v>2.0403308635624393</v>
      </c>
      <c r="F22" s="805">
        <f t="shared" si="1"/>
        <v>207.7487320216666</v>
      </c>
      <c r="G22" s="805">
        <f t="shared" si="1"/>
        <v>0</v>
      </c>
      <c r="H22" s="805">
        <f t="shared" si="1"/>
        <v>35017.014555589711</v>
      </c>
      <c r="I22" s="805">
        <f t="shared" si="1"/>
        <v>6800.8512671575581</v>
      </c>
      <c r="J22" s="805">
        <f t="shared" si="1"/>
        <v>0</v>
      </c>
      <c r="K22" s="805">
        <f t="shared" si="1"/>
        <v>0</v>
      </c>
      <c r="L22" s="805">
        <f t="shared" si="1"/>
        <v>0</v>
      </c>
      <c r="M22" s="805">
        <f t="shared" si="1"/>
        <v>0</v>
      </c>
      <c r="N22" s="805">
        <f t="shared" si="1"/>
        <v>1826.2301922869951</v>
      </c>
      <c r="O22" s="805">
        <f t="shared" si="1"/>
        <v>0</v>
      </c>
      <c r="P22" s="805">
        <f t="shared" si="1"/>
        <v>0</v>
      </c>
      <c r="Q22" s="805">
        <f t="shared" si="1"/>
        <v>0</v>
      </c>
      <c r="R22" s="805">
        <f t="shared" si="1"/>
        <v>43854.306892019704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9678.8420000000006</v>
      </c>
      <c r="D24" s="687">
        <f>+landbouw!C8</f>
        <v>237207.85714285716</v>
      </c>
      <c r="E24" s="687">
        <f>+landbouw!D8</f>
        <v>0</v>
      </c>
      <c r="F24" s="687">
        <f>+landbouw!E8</f>
        <v>101.35892880784375</v>
      </c>
      <c r="G24" s="687">
        <f>+landbouw!F8</f>
        <v>41432.798118006569</v>
      </c>
      <c r="H24" s="687">
        <f>+landbouw!G8</f>
        <v>0</v>
      </c>
      <c r="I24" s="687">
        <f>+landbouw!H8</f>
        <v>0</v>
      </c>
      <c r="J24" s="687">
        <f>+landbouw!I8</f>
        <v>0</v>
      </c>
      <c r="K24" s="687">
        <f>+landbouw!J8</f>
        <v>864.40734354082178</v>
      </c>
      <c r="L24" s="687">
        <f>+landbouw!K8</f>
        <v>0</v>
      </c>
      <c r="M24" s="687">
        <f>+landbouw!L8</f>
        <v>0</v>
      </c>
      <c r="N24" s="687">
        <f>+landbouw!M8</f>
        <v>0</v>
      </c>
      <c r="O24" s="687">
        <f>+landbouw!N8</f>
        <v>0</v>
      </c>
      <c r="P24" s="687">
        <f>+landbouw!O8</f>
        <v>0</v>
      </c>
      <c r="Q24" s="688">
        <f>+landbouw!P8</f>
        <v>0</v>
      </c>
      <c r="R24" s="690">
        <f>SUM(C24:Q24)</f>
        <v>289285.26353321236</v>
      </c>
      <c r="S24" s="67"/>
    </row>
    <row r="25" spans="1:19" s="456" customFormat="1" ht="15" thickBot="1">
      <c r="A25" s="824" t="s">
        <v>925</v>
      </c>
      <c r="B25" s="988"/>
      <c r="C25" s="989">
        <f>IF(Onbekend_ele_kWh="---",0,Onbekend_ele_kWh)/1000+IF(REST_rest_ele_kWh="---",0,REST_rest_ele_kWh)/1000</f>
        <v>0</v>
      </c>
      <c r="D25" s="989"/>
      <c r="E25" s="989">
        <f>IF(onbekend_gas_kWh="---",0,onbekend_gas_kWh)/1000+IF(REST_rest_gas_kWh="---",0,REST_rest_gas_kWh)/1000</f>
        <v>436.25324404991596</v>
      </c>
      <c r="F25" s="989"/>
      <c r="G25" s="989"/>
      <c r="H25" s="989"/>
      <c r="I25" s="989"/>
      <c r="J25" s="989"/>
      <c r="K25" s="989"/>
      <c r="L25" s="989"/>
      <c r="M25" s="989"/>
      <c r="N25" s="989"/>
      <c r="O25" s="989"/>
      <c r="P25" s="989"/>
      <c r="Q25" s="990"/>
      <c r="R25" s="690">
        <f>SUM(C25:Q25)</f>
        <v>436.25324404991596</v>
      </c>
      <c r="S25" s="67"/>
    </row>
    <row r="26" spans="1:19" s="456" customFormat="1" ht="15.75" thickBot="1">
      <c r="A26" s="693" t="s">
        <v>926</v>
      </c>
      <c r="B26" s="810"/>
      <c r="C26" s="805">
        <f>SUM(C24:C25)</f>
        <v>9678.8420000000006</v>
      </c>
      <c r="D26" s="805">
        <f t="shared" ref="D26:R26" si="2">SUM(D24:D25)</f>
        <v>237207.85714285716</v>
      </c>
      <c r="E26" s="805">
        <f t="shared" si="2"/>
        <v>436.25324404991596</v>
      </c>
      <c r="F26" s="805">
        <f t="shared" si="2"/>
        <v>101.35892880784375</v>
      </c>
      <c r="G26" s="805">
        <f t="shared" si="2"/>
        <v>41432.798118006569</v>
      </c>
      <c r="H26" s="805">
        <f t="shared" si="2"/>
        <v>0</v>
      </c>
      <c r="I26" s="805">
        <f t="shared" si="2"/>
        <v>0</v>
      </c>
      <c r="J26" s="805">
        <f t="shared" si="2"/>
        <v>0</v>
      </c>
      <c r="K26" s="805">
        <f t="shared" si="2"/>
        <v>864.40734354082178</v>
      </c>
      <c r="L26" s="805">
        <f t="shared" si="2"/>
        <v>0</v>
      </c>
      <c r="M26" s="805">
        <f t="shared" si="2"/>
        <v>0</v>
      </c>
      <c r="N26" s="805">
        <f t="shared" si="2"/>
        <v>0</v>
      </c>
      <c r="O26" s="805">
        <f t="shared" si="2"/>
        <v>0</v>
      </c>
      <c r="P26" s="805">
        <f t="shared" si="2"/>
        <v>0</v>
      </c>
      <c r="Q26" s="805">
        <f t="shared" si="2"/>
        <v>0</v>
      </c>
      <c r="R26" s="805">
        <f t="shared" si="2"/>
        <v>289721.51677726227</v>
      </c>
      <c r="S26" s="67"/>
    </row>
    <row r="27" spans="1:19" s="456" customFormat="1" ht="17.25" thickTop="1" thickBot="1">
      <c r="A27" s="694" t="s">
        <v>116</v>
      </c>
      <c r="B27" s="797"/>
      <c r="C27" s="695">
        <f ca="1">C22+C16+C26</f>
        <v>40957.366732741437</v>
      </c>
      <c r="D27" s="695">
        <f t="shared" ref="D27:R27" ca="1" si="3">D22+D16+D26</f>
        <v>237207.85714285716</v>
      </c>
      <c r="E27" s="695">
        <f t="shared" ca="1" si="3"/>
        <v>60320.296342952912</v>
      </c>
      <c r="F27" s="695">
        <f t="shared" si="3"/>
        <v>4659.4617414502309</v>
      </c>
      <c r="G27" s="695">
        <f t="shared" ca="1" si="3"/>
        <v>49699.743740281716</v>
      </c>
      <c r="H27" s="695">
        <f t="shared" si="3"/>
        <v>35017.014555589711</v>
      </c>
      <c r="I27" s="695">
        <f t="shared" si="3"/>
        <v>6800.8512671575581</v>
      </c>
      <c r="J27" s="695">
        <f t="shared" si="3"/>
        <v>0</v>
      </c>
      <c r="K27" s="695">
        <f t="shared" si="3"/>
        <v>877.79748651229079</v>
      </c>
      <c r="L27" s="695">
        <f t="shared" si="3"/>
        <v>0</v>
      </c>
      <c r="M27" s="695">
        <f t="shared" ca="1" si="3"/>
        <v>0</v>
      </c>
      <c r="N27" s="695">
        <f t="shared" si="3"/>
        <v>1826.2301922869951</v>
      </c>
      <c r="O27" s="695">
        <f t="shared" ca="1" si="3"/>
        <v>15638.506887303936</v>
      </c>
      <c r="P27" s="695">
        <f t="shared" si="3"/>
        <v>37.520000000000003</v>
      </c>
      <c r="Q27" s="695">
        <f t="shared" si="3"/>
        <v>38.133333333333333</v>
      </c>
      <c r="R27" s="695">
        <f t="shared" ca="1" si="3"/>
        <v>453080.77942246723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18751.617698266182</v>
      </c>
      <c r="D40" s="687">
        <f ca="1">tertiair!C20</f>
        <v>0</v>
      </c>
      <c r="E40" s="687">
        <f ca="1">tertiair!D20</f>
        <v>3919.9059122685489</v>
      </c>
      <c r="F40" s="687">
        <f>tertiair!E20</f>
        <v>66.562022650888963</v>
      </c>
      <c r="G40" s="687">
        <f ca="1">tertiair!F20</f>
        <v>711.75021202752851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23449.835845213147</v>
      </c>
    </row>
    <row r="41" spans="1:18">
      <c r="A41" s="815" t="s">
        <v>225</v>
      </c>
      <c r="B41" s="822"/>
      <c r="C41" s="687">
        <f ca="1">huishoudens!B12</f>
        <v>15911.39853468723</v>
      </c>
      <c r="D41" s="687">
        <f ca="1">huishoudens!C12</f>
        <v>0</v>
      </c>
      <c r="E41" s="687">
        <f>huishoudens!D12</f>
        <v>7925.6742523105204</v>
      </c>
      <c r="F41" s="687">
        <f>huishoudens!E12</f>
        <v>916.81549124323612</v>
      </c>
      <c r="G41" s="687">
        <f>huishoudens!F12</f>
        <v>1322.3488439123382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26076.237122153325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1831.9188327643451</v>
      </c>
      <c r="D43" s="687">
        <f ca="1">industrie!C22</f>
        <v>0</v>
      </c>
      <c r="E43" s="687">
        <f>industrie!D22</f>
        <v>250.58439456489674</v>
      </c>
      <c r="F43" s="687">
        <f>industrie!E22</f>
        <v>4.1528624067783406</v>
      </c>
      <c r="G43" s="687">
        <f>industrie!F22</f>
        <v>173.17542520759667</v>
      </c>
      <c r="H43" s="687">
        <f>industrie!G22</f>
        <v>0</v>
      </c>
      <c r="I43" s="687">
        <f>industrie!H22</f>
        <v>0</v>
      </c>
      <c r="J43" s="687">
        <f>industrie!I22</f>
        <v>0</v>
      </c>
      <c r="K43" s="687">
        <f>industrie!J22</f>
        <v>4.7401106119000085</v>
      </c>
      <c r="L43" s="687">
        <f>industrie!K22</f>
        <v>0</v>
      </c>
      <c r="M43" s="687">
        <f>industrie!L22</f>
        <v>0</v>
      </c>
      <c r="N43" s="687">
        <f>industrie!M22</f>
        <v>0</v>
      </c>
      <c r="O43" s="687">
        <f>industrie!N22</f>
        <v>0</v>
      </c>
      <c r="P43" s="687">
        <f>industrie!O22</f>
        <v>0</v>
      </c>
      <c r="Q43" s="762">
        <f>industrie!P22</f>
        <v>0</v>
      </c>
      <c r="R43" s="842">
        <f t="shared" ca="1" si="4"/>
        <v>2264.5716255555167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36494.935065717757</v>
      </c>
      <c r="D46" s="720">
        <f t="shared" ref="D46:Q46" ca="1" si="5">SUM(D39:D45)</f>
        <v>0</v>
      </c>
      <c r="E46" s="720">
        <f t="shared" ca="1" si="5"/>
        <v>12096.164559143966</v>
      </c>
      <c r="F46" s="720">
        <f t="shared" si="5"/>
        <v>987.53037630090341</v>
      </c>
      <c r="G46" s="720">
        <f t="shared" ca="1" si="5"/>
        <v>2207.2744811474636</v>
      </c>
      <c r="H46" s="720">
        <f t="shared" si="5"/>
        <v>0</v>
      </c>
      <c r="I46" s="720">
        <f t="shared" si="5"/>
        <v>0</v>
      </c>
      <c r="J46" s="720">
        <f t="shared" si="5"/>
        <v>0</v>
      </c>
      <c r="K46" s="720">
        <f t="shared" si="5"/>
        <v>4.7401106119000085</v>
      </c>
      <c r="L46" s="720">
        <f t="shared" si="5"/>
        <v>0</v>
      </c>
      <c r="M46" s="720">
        <f t="shared" ca="1" si="5"/>
        <v>0</v>
      </c>
      <c r="N46" s="720">
        <f t="shared" si="5"/>
        <v>0</v>
      </c>
      <c r="O46" s="720">
        <f t="shared" ca="1" si="5"/>
        <v>0</v>
      </c>
      <c r="P46" s="720">
        <f t="shared" si="5"/>
        <v>0</v>
      </c>
      <c r="Q46" s="720">
        <f t="shared" si="5"/>
        <v>0</v>
      </c>
      <c r="R46" s="720">
        <f ca="1">SUM(R39:R45)</f>
        <v>51790.644592921992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252.83213813107665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252.83213813107665</v>
      </c>
    </row>
    <row r="50" spans="1:18">
      <c r="A50" s="818" t="s">
        <v>307</v>
      </c>
      <c r="B50" s="828"/>
      <c r="C50" s="995">
        <f ca="1">transport!B18</f>
        <v>0.49216789895953628</v>
      </c>
      <c r="D50" s="995">
        <f>transport!C18</f>
        <v>0</v>
      </c>
      <c r="E50" s="995">
        <f>transport!D18</f>
        <v>0.41214683443961275</v>
      </c>
      <c r="F50" s="995">
        <f>transport!E18</f>
        <v>47.158962168918322</v>
      </c>
      <c r="G50" s="995">
        <f>transport!F18</f>
        <v>0</v>
      </c>
      <c r="H50" s="995">
        <f>transport!G18</f>
        <v>9096.710748211377</v>
      </c>
      <c r="I50" s="995">
        <f>transport!H18</f>
        <v>1693.4119655222319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10838.185990635926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0.49216789895953628</v>
      </c>
      <c r="D52" s="720">
        <f t="shared" ref="D52:Q52" ca="1" si="6">SUM(D48:D51)</f>
        <v>0</v>
      </c>
      <c r="E52" s="720">
        <f t="shared" si="6"/>
        <v>0.41214683443961275</v>
      </c>
      <c r="F52" s="720">
        <f t="shared" si="6"/>
        <v>47.158962168918322</v>
      </c>
      <c r="G52" s="720">
        <f t="shared" si="6"/>
        <v>0</v>
      </c>
      <c r="H52" s="720">
        <f t="shared" si="6"/>
        <v>9349.5428863424531</v>
      </c>
      <c r="I52" s="720">
        <f t="shared" si="6"/>
        <v>1693.4119655222319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11091.018128767002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11293.162862854555</v>
      </c>
      <c r="D54" s="995">
        <f ca="1">+landbouw!C12</f>
        <v>56371.749579831936</v>
      </c>
      <c r="E54" s="995">
        <f>+landbouw!D12</f>
        <v>0</v>
      </c>
      <c r="F54" s="995">
        <f>+landbouw!E12</f>
        <v>23.008476839380531</v>
      </c>
      <c r="G54" s="995">
        <f>+landbouw!F12</f>
        <v>11062.557097507755</v>
      </c>
      <c r="H54" s="995">
        <f>+landbouw!G12</f>
        <v>0</v>
      </c>
      <c r="I54" s="995">
        <f>+landbouw!H12</f>
        <v>0</v>
      </c>
      <c r="J54" s="995">
        <f>+landbouw!I12</f>
        <v>0</v>
      </c>
      <c r="K54" s="995">
        <f>+landbouw!J12</f>
        <v>306.00019961345089</v>
      </c>
      <c r="L54" s="995">
        <f>+landbouw!K12</f>
        <v>0</v>
      </c>
      <c r="M54" s="995">
        <f>+landbouw!L12</f>
        <v>0</v>
      </c>
      <c r="N54" s="995">
        <f>+landbouw!M12</f>
        <v>0</v>
      </c>
      <c r="O54" s="995">
        <f>+landbouw!N12</f>
        <v>0</v>
      </c>
      <c r="P54" s="995">
        <f>+landbouw!O12</f>
        <v>0</v>
      </c>
      <c r="Q54" s="996">
        <f>+landbouw!P12</f>
        <v>0</v>
      </c>
      <c r="R54" s="719">
        <f ca="1">SUM(C54:Q54)</f>
        <v>79056.478216647083</v>
      </c>
    </row>
    <row r="55" spans="1:18" ht="15" thickBot="1">
      <c r="A55" s="818" t="s">
        <v>925</v>
      </c>
      <c r="B55" s="828"/>
      <c r="C55" s="995">
        <f ca="1">C25*'EF ele_warmte'!B12</f>
        <v>0</v>
      </c>
      <c r="D55" s="995"/>
      <c r="E55" s="995">
        <f>E25*EF_CO2_aardgas</f>
        <v>88.123155298083034</v>
      </c>
      <c r="F55" s="995"/>
      <c r="G55" s="995"/>
      <c r="H55" s="995"/>
      <c r="I55" s="995"/>
      <c r="J55" s="995"/>
      <c r="K55" s="995"/>
      <c r="L55" s="995"/>
      <c r="M55" s="995"/>
      <c r="N55" s="995"/>
      <c r="O55" s="995"/>
      <c r="P55" s="995"/>
      <c r="Q55" s="996"/>
      <c r="R55" s="719">
        <f ca="1">SUM(C55:Q55)</f>
        <v>88.123155298083034</v>
      </c>
    </row>
    <row r="56" spans="1:18" ht="15.75" thickBot="1">
      <c r="A56" s="816" t="s">
        <v>926</v>
      </c>
      <c r="B56" s="829"/>
      <c r="C56" s="720">
        <f ca="1">SUM(C54:C55)</f>
        <v>11293.162862854555</v>
      </c>
      <c r="D56" s="720">
        <f t="shared" ref="D56:Q56" ca="1" si="7">SUM(D54:D55)</f>
        <v>56371.749579831936</v>
      </c>
      <c r="E56" s="720">
        <f t="shared" si="7"/>
        <v>88.123155298083034</v>
      </c>
      <c r="F56" s="720">
        <f t="shared" si="7"/>
        <v>23.008476839380531</v>
      </c>
      <c r="G56" s="720">
        <f t="shared" si="7"/>
        <v>11062.557097507755</v>
      </c>
      <c r="H56" s="720">
        <f t="shared" si="7"/>
        <v>0</v>
      </c>
      <c r="I56" s="720">
        <f t="shared" si="7"/>
        <v>0</v>
      </c>
      <c r="J56" s="720">
        <f t="shared" si="7"/>
        <v>0</v>
      </c>
      <c r="K56" s="720">
        <f t="shared" si="7"/>
        <v>306.00019961345089</v>
      </c>
      <c r="L56" s="720">
        <f t="shared" si="7"/>
        <v>0</v>
      </c>
      <c r="M56" s="720">
        <f t="shared" si="7"/>
        <v>0</v>
      </c>
      <c r="N56" s="720">
        <f t="shared" si="7"/>
        <v>0</v>
      </c>
      <c r="O56" s="720">
        <f t="shared" si="7"/>
        <v>0</v>
      </c>
      <c r="P56" s="720">
        <f t="shared" si="7"/>
        <v>0</v>
      </c>
      <c r="Q56" s="721">
        <f t="shared" si="7"/>
        <v>0</v>
      </c>
      <c r="R56" s="722">
        <f ca="1">SUM(R54:R55)</f>
        <v>79144.601371945173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47788.590096471278</v>
      </c>
      <c r="D61" s="728">
        <f t="shared" ref="D61:Q61" ca="1" si="8">D46+D52+D56</f>
        <v>56371.749579831936</v>
      </c>
      <c r="E61" s="728">
        <f t="shared" ca="1" si="8"/>
        <v>12184.699861276489</v>
      </c>
      <c r="F61" s="728">
        <f t="shared" si="8"/>
        <v>1057.6978153092023</v>
      </c>
      <c r="G61" s="728">
        <f t="shared" ca="1" si="8"/>
        <v>13269.831578655219</v>
      </c>
      <c r="H61" s="728">
        <f t="shared" si="8"/>
        <v>9349.5428863424531</v>
      </c>
      <c r="I61" s="728">
        <f t="shared" si="8"/>
        <v>1693.4119655222319</v>
      </c>
      <c r="J61" s="728">
        <f t="shared" si="8"/>
        <v>0</v>
      </c>
      <c r="K61" s="728">
        <f t="shared" si="8"/>
        <v>310.74031022535092</v>
      </c>
      <c r="L61" s="728">
        <f t="shared" si="8"/>
        <v>0</v>
      </c>
      <c r="M61" s="728">
        <f t="shared" ca="1" si="8"/>
        <v>0</v>
      </c>
      <c r="N61" s="728">
        <f t="shared" si="8"/>
        <v>0</v>
      </c>
      <c r="O61" s="728">
        <f t="shared" ca="1" si="8"/>
        <v>0</v>
      </c>
      <c r="P61" s="728">
        <f t="shared" si="8"/>
        <v>0</v>
      </c>
      <c r="Q61" s="728">
        <f t="shared" si="8"/>
        <v>0</v>
      </c>
      <c r="R61" s="728">
        <f ca="1">R46+R52+R56</f>
        <v>142026.26409363415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1.1667886367867724</v>
      </c>
      <c r="D63" s="772">
        <f t="shared" ca="1" si="9"/>
        <v>0.23764705882352941</v>
      </c>
      <c r="E63" s="997">
        <f t="shared" ca="1" si="9"/>
        <v>0.20200000000000001</v>
      </c>
      <c r="F63" s="772">
        <f t="shared" si="9"/>
        <v>0.22699999999999998</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1625.4554631083292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166045.5</v>
      </c>
      <c r="D76" s="1007">
        <f>'lokale energieproductie'!C8</f>
        <v>195347.64705882352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39460.224705882356</v>
      </c>
      <c r="R76" s="845">
        <v>0</v>
      </c>
    </row>
    <row r="77" spans="1:18" ht="30.75" thickBot="1">
      <c r="A77" s="741" t="s">
        <v>353</v>
      </c>
      <c r="B77" s="738">
        <f>'lokale energieproductie'!B9*IFERROR(SUM(I77:O77)/SUM(D77:O77),0)</f>
        <v>1647</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4705.7142857142862</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3272.4554631083292</v>
      </c>
      <c r="C78" s="743">
        <f>SUM(C72:C77)</f>
        <v>166045.5</v>
      </c>
      <c r="D78" s="744">
        <f t="shared" ref="D78:H78" si="10">SUM(D76:D77)</f>
        <v>195347.64705882352</v>
      </c>
      <c r="E78" s="744">
        <f t="shared" si="10"/>
        <v>0</v>
      </c>
      <c r="F78" s="744">
        <f t="shared" si="10"/>
        <v>0</v>
      </c>
      <c r="G78" s="744">
        <f t="shared" si="10"/>
        <v>0</v>
      </c>
      <c r="H78" s="744">
        <f t="shared" si="10"/>
        <v>0</v>
      </c>
      <c r="I78" s="744">
        <f>SUM(I76:I77)</f>
        <v>0</v>
      </c>
      <c r="J78" s="744">
        <f>SUM(J76:J77)</f>
        <v>4705.7142857142862</v>
      </c>
      <c r="K78" s="744">
        <f t="shared" ref="K78:L78" si="11">SUM(K76:K77)</f>
        <v>0</v>
      </c>
      <c r="L78" s="744">
        <f t="shared" si="11"/>
        <v>0</v>
      </c>
      <c r="M78" s="744">
        <f>SUM(M76:M77)</f>
        <v>0</v>
      </c>
      <c r="N78" s="744">
        <f>SUM(N76:N77)</f>
        <v>0</v>
      </c>
      <c r="O78" s="853">
        <f>SUM(O76:O77)</f>
        <v>0</v>
      </c>
      <c r="P78" s="745">
        <v>0</v>
      </c>
      <c r="Q78" s="745">
        <f>SUM(Q76:Q77)</f>
        <v>39460.224705882356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237207.85714285716</v>
      </c>
      <c r="D87" s="765">
        <f>'lokale energieproductie'!C17</f>
        <v>279068.06722689077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56371.749579831936</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237207.85714285716</v>
      </c>
      <c r="D90" s="743">
        <f t="shared" ref="D90:H90" si="12">SUM(D87:D89)</f>
        <v>279068.06722689077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56371.749579831936</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1625.4554631083292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166045.5</v>
      </c>
      <c r="C8" s="557">
        <f>B101</f>
        <v>195347.64705882352</v>
      </c>
      <c r="D8" s="985"/>
      <c r="E8" s="985">
        <f>E101</f>
        <v>0</v>
      </c>
      <c r="F8" s="986"/>
      <c r="G8" s="558"/>
      <c r="H8" s="985">
        <f>I101</f>
        <v>0</v>
      </c>
      <c r="I8" s="985">
        <f>G101+F101</f>
        <v>0</v>
      </c>
      <c r="J8" s="985">
        <f>H101+D101+C101</f>
        <v>0</v>
      </c>
      <c r="K8" s="985"/>
      <c r="L8" s="985"/>
      <c r="M8" s="985"/>
      <c r="N8" s="559"/>
      <c r="O8" s="560">
        <f>C8*$C$12+D8*$D$12+E8*$E$12+F8*$F$12+G8*$G$12+H8*$H$12+I8*$I$12+J8*$J$12</f>
        <v>39460.224705882356</v>
      </c>
      <c r="P8" s="1225"/>
      <c r="Q8" s="1226"/>
      <c r="S8" s="1018"/>
      <c r="T8" s="1213"/>
      <c r="U8" s="1213"/>
    </row>
    <row r="9" spans="1:21" s="545" customFormat="1" ht="17.45" customHeight="1" thickBot="1">
      <c r="A9" s="561" t="s">
        <v>248</v>
      </c>
      <c r="B9" s="1022">
        <f>N89+'Eigen informatie GS &amp; warmtenet'!B12</f>
        <v>1647</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169317.95546310832</v>
      </c>
      <c r="C10" s="569">
        <f t="shared" ref="C10:L10" si="0">SUM(C8:C9)</f>
        <v>195347.64705882352</v>
      </c>
      <c r="D10" s="569">
        <f t="shared" si="0"/>
        <v>0</v>
      </c>
      <c r="E10" s="569">
        <f t="shared" si="0"/>
        <v>0</v>
      </c>
      <c r="F10" s="569">
        <f t="shared" si="0"/>
        <v>0</v>
      </c>
      <c r="G10" s="569">
        <f t="shared" si="0"/>
        <v>0</v>
      </c>
      <c r="H10" s="569">
        <f t="shared" si="0"/>
        <v>0</v>
      </c>
      <c r="I10" s="569">
        <f t="shared" si="0"/>
        <v>0</v>
      </c>
      <c r="J10" s="569">
        <f t="shared" si="0"/>
        <v>4705.7142857142862</v>
      </c>
      <c r="K10" s="569">
        <f t="shared" si="0"/>
        <v>0</v>
      </c>
      <c r="L10" s="569">
        <f t="shared" si="0"/>
        <v>0</v>
      </c>
      <c r="M10" s="980"/>
      <c r="N10" s="980"/>
      <c r="O10" s="570">
        <f>SUM(O4:O9)</f>
        <v>39460.224705882356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237207.85714285716</v>
      </c>
      <c r="C17" s="581">
        <f>B102</f>
        <v>279068.06722689077</v>
      </c>
      <c r="D17" s="582"/>
      <c r="E17" s="582">
        <f>E102</f>
        <v>0</v>
      </c>
      <c r="F17" s="583"/>
      <c r="G17" s="584"/>
      <c r="H17" s="581">
        <f>I102</f>
        <v>0</v>
      </c>
      <c r="I17" s="582">
        <f>G102+F102</f>
        <v>0</v>
      </c>
      <c r="J17" s="582">
        <f>H102+D102+C102</f>
        <v>0</v>
      </c>
      <c r="K17" s="582"/>
      <c r="L17" s="582"/>
      <c r="M17" s="582"/>
      <c r="N17" s="981"/>
      <c r="O17" s="585">
        <f>C17*$C$22+E17*$E$22+H17*$H$22+I17*$I$22+J17*$J$22+D17*$D$22+F17*$F$22+G17*$G$22+K17*$K$22+L17*$L$22</f>
        <v>56371.749579831936</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237207.85714285716</v>
      </c>
      <c r="C20" s="568">
        <f>SUM(C17:C19)</f>
        <v>279068.06722689077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56371.749579831936</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13023</v>
      </c>
      <c r="C28" s="788">
        <v>2330</v>
      </c>
      <c r="D28" s="641" t="s">
        <v>963</v>
      </c>
      <c r="E28" s="640" t="s">
        <v>964</v>
      </c>
      <c r="F28" s="640" t="s">
        <v>965</v>
      </c>
      <c r="G28" s="640" t="s">
        <v>966</v>
      </c>
      <c r="H28" s="640" t="s">
        <v>967</v>
      </c>
      <c r="I28" s="640" t="s">
        <v>968</v>
      </c>
      <c r="J28" s="787">
        <v>39027</v>
      </c>
      <c r="K28" s="787">
        <v>39071</v>
      </c>
      <c r="L28" s="640" t="s">
        <v>969</v>
      </c>
      <c r="M28" s="640">
        <v>2000</v>
      </c>
      <c r="N28" s="640">
        <v>9000</v>
      </c>
      <c r="O28" s="640">
        <v>12857.142857142857</v>
      </c>
      <c r="P28" s="640">
        <v>25714.285714285717</v>
      </c>
      <c r="Q28" s="640">
        <v>0</v>
      </c>
      <c r="R28" s="640">
        <v>0</v>
      </c>
      <c r="S28" s="640">
        <v>0</v>
      </c>
      <c r="T28" s="640">
        <v>0</v>
      </c>
      <c r="U28" s="640">
        <v>0</v>
      </c>
      <c r="V28" s="640">
        <v>0</v>
      </c>
      <c r="W28" s="640">
        <v>0</v>
      </c>
      <c r="X28" s="640">
        <v>10</v>
      </c>
      <c r="Y28" s="640" t="s">
        <v>112</v>
      </c>
      <c r="Z28" s="642" t="s">
        <v>112</v>
      </c>
    </row>
    <row r="29" spans="1:26" s="594" customFormat="1" ht="25.5">
      <c r="A29" s="593"/>
      <c r="B29" s="788">
        <v>13023</v>
      </c>
      <c r="C29" s="788">
        <v>2330</v>
      </c>
      <c r="D29" s="641" t="s">
        <v>970</v>
      </c>
      <c r="E29" s="640" t="s">
        <v>971</v>
      </c>
      <c r="F29" s="640" t="s">
        <v>972</v>
      </c>
      <c r="G29" s="640" t="s">
        <v>966</v>
      </c>
      <c r="H29" s="640" t="s">
        <v>967</v>
      </c>
      <c r="I29" s="640" t="s">
        <v>971</v>
      </c>
      <c r="J29" s="787">
        <v>39625</v>
      </c>
      <c r="K29" s="787">
        <v>39625</v>
      </c>
      <c r="L29" s="640" t="s">
        <v>969</v>
      </c>
      <c r="M29" s="640">
        <v>2014</v>
      </c>
      <c r="N29" s="640">
        <v>9062.9999999999982</v>
      </c>
      <c r="O29" s="640">
        <v>12947.142857142855</v>
      </c>
      <c r="P29" s="640">
        <v>25894.28571428571</v>
      </c>
      <c r="Q29" s="640">
        <v>0</v>
      </c>
      <c r="R29" s="640">
        <v>0</v>
      </c>
      <c r="S29" s="640">
        <v>0</v>
      </c>
      <c r="T29" s="640">
        <v>0</v>
      </c>
      <c r="U29" s="640">
        <v>0</v>
      </c>
      <c r="V29" s="640">
        <v>0</v>
      </c>
      <c r="W29" s="640">
        <v>0</v>
      </c>
      <c r="X29" s="640">
        <v>10</v>
      </c>
      <c r="Y29" s="640" t="s">
        <v>112</v>
      </c>
      <c r="Z29" s="642" t="s">
        <v>112</v>
      </c>
    </row>
    <row r="30" spans="1:26" s="594" customFormat="1" ht="38.25">
      <c r="A30" s="593"/>
      <c r="B30" s="788">
        <v>13023</v>
      </c>
      <c r="C30" s="788">
        <v>2330</v>
      </c>
      <c r="D30" s="641" t="s">
        <v>973</v>
      </c>
      <c r="E30" s="640" t="s">
        <v>974</v>
      </c>
      <c r="F30" s="640" t="s">
        <v>975</v>
      </c>
      <c r="G30" s="640" t="s">
        <v>966</v>
      </c>
      <c r="H30" s="640" t="s">
        <v>967</v>
      </c>
      <c r="I30" s="640" t="s">
        <v>974</v>
      </c>
      <c r="J30" s="787">
        <v>38852</v>
      </c>
      <c r="K30" s="787">
        <v>38473</v>
      </c>
      <c r="L30" s="640" t="s">
        <v>969</v>
      </c>
      <c r="M30" s="640">
        <v>2758</v>
      </c>
      <c r="N30" s="640">
        <v>12411</v>
      </c>
      <c r="O30" s="640">
        <v>17730</v>
      </c>
      <c r="P30" s="640">
        <v>35460</v>
      </c>
      <c r="Q30" s="640">
        <v>0</v>
      </c>
      <c r="R30" s="640">
        <v>0</v>
      </c>
      <c r="S30" s="640">
        <v>0</v>
      </c>
      <c r="T30" s="640">
        <v>0</v>
      </c>
      <c r="U30" s="640">
        <v>0</v>
      </c>
      <c r="V30" s="640">
        <v>0</v>
      </c>
      <c r="W30" s="640">
        <v>0</v>
      </c>
      <c r="X30" s="640">
        <v>10</v>
      </c>
      <c r="Y30" s="640" t="s">
        <v>112</v>
      </c>
      <c r="Z30" s="642" t="s">
        <v>112</v>
      </c>
    </row>
    <row r="31" spans="1:26" s="594" customFormat="1" ht="25.5">
      <c r="A31" s="593"/>
      <c r="B31" s="788">
        <v>13023</v>
      </c>
      <c r="C31" s="788">
        <v>2330</v>
      </c>
      <c r="D31" s="641" t="s">
        <v>976</v>
      </c>
      <c r="E31" s="640" t="s">
        <v>977</v>
      </c>
      <c r="F31" s="640" t="s">
        <v>978</v>
      </c>
      <c r="G31" s="640" t="s">
        <v>966</v>
      </c>
      <c r="H31" s="640" t="s">
        <v>967</v>
      </c>
      <c r="I31" s="640" t="s">
        <v>977</v>
      </c>
      <c r="J31" s="787">
        <v>40009</v>
      </c>
      <c r="K31" s="787">
        <v>39504</v>
      </c>
      <c r="L31" s="640" t="s">
        <v>969</v>
      </c>
      <c r="M31" s="640">
        <v>3183</v>
      </c>
      <c r="N31" s="640">
        <v>14323.5</v>
      </c>
      <c r="O31" s="640">
        <v>20462.142857142859</v>
      </c>
      <c r="P31" s="640">
        <v>40924.285714285717</v>
      </c>
      <c r="Q31" s="640">
        <v>0</v>
      </c>
      <c r="R31" s="640">
        <v>0</v>
      </c>
      <c r="S31" s="640">
        <v>0</v>
      </c>
      <c r="T31" s="640">
        <v>0</v>
      </c>
      <c r="U31" s="640">
        <v>0</v>
      </c>
      <c r="V31" s="640">
        <v>0</v>
      </c>
      <c r="W31" s="640">
        <v>0</v>
      </c>
      <c r="X31" s="640">
        <v>10</v>
      </c>
      <c r="Y31" s="640" t="s">
        <v>112</v>
      </c>
      <c r="Z31" s="642" t="s">
        <v>112</v>
      </c>
    </row>
    <row r="32" spans="1:26" s="594" customFormat="1" ht="38.25">
      <c r="A32" s="593"/>
      <c r="B32" s="788">
        <v>13023</v>
      </c>
      <c r="C32" s="788">
        <v>2330</v>
      </c>
      <c r="D32" s="641" t="s">
        <v>979</v>
      </c>
      <c r="E32" s="640" t="s">
        <v>980</v>
      </c>
      <c r="F32" s="640" t="s">
        <v>981</v>
      </c>
      <c r="G32" s="640" t="s">
        <v>966</v>
      </c>
      <c r="H32" s="640" t="s">
        <v>967</v>
      </c>
      <c r="I32" s="640" t="s">
        <v>980</v>
      </c>
      <c r="J32" s="787">
        <v>39233</v>
      </c>
      <c r="K32" s="787">
        <v>39233</v>
      </c>
      <c r="L32" s="640" t="s">
        <v>969</v>
      </c>
      <c r="M32" s="640">
        <v>3256</v>
      </c>
      <c r="N32" s="640">
        <v>14651.999999999998</v>
      </c>
      <c r="O32" s="640">
        <v>20931.428571428569</v>
      </c>
      <c r="P32" s="640">
        <v>41862.857142857138</v>
      </c>
      <c r="Q32" s="640">
        <v>0</v>
      </c>
      <c r="R32" s="640">
        <v>0</v>
      </c>
      <c r="S32" s="640">
        <v>0</v>
      </c>
      <c r="T32" s="640">
        <v>0</v>
      </c>
      <c r="U32" s="640">
        <v>0</v>
      </c>
      <c r="V32" s="640">
        <v>0</v>
      </c>
      <c r="W32" s="640">
        <v>0</v>
      </c>
      <c r="X32" s="640">
        <v>10</v>
      </c>
      <c r="Y32" s="640" t="s">
        <v>112</v>
      </c>
      <c r="Z32" s="642" t="s">
        <v>112</v>
      </c>
    </row>
    <row r="33" spans="1:26" s="594" customFormat="1" ht="38.25">
      <c r="A33" s="593"/>
      <c r="B33" s="788">
        <v>13023</v>
      </c>
      <c r="C33" s="788">
        <v>2330</v>
      </c>
      <c r="D33" s="641" t="s">
        <v>982</v>
      </c>
      <c r="E33" s="640" t="s">
        <v>983</v>
      </c>
      <c r="F33" s="640" t="s">
        <v>984</v>
      </c>
      <c r="G33" s="640" t="s">
        <v>966</v>
      </c>
      <c r="H33" s="640" t="s">
        <v>967</v>
      </c>
      <c r="I33" s="640" t="s">
        <v>983</v>
      </c>
      <c r="J33" s="787">
        <v>38838</v>
      </c>
      <c r="K33" s="787">
        <v>38808</v>
      </c>
      <c r="L33" s="640" t="s">
        <v>969</v>
      </c>
      <c r="M33" s="640">
        <v>7083</v>
      </c>
      <c r="N33" s="640">
        <v>31873.5</v>
      </c>
      <c r="O33" s="640">
        <v>45533.571428571428</v>
      </c>
      <c r="P33" s="640">
        <v>91067.14285714287</v>
      </c>
      <c r="Q33" s="640">
        <v>0</v>
      </c>
      <c r="R33" s="640">
        <v>0</v>
      </c>
      <c r="S33" s="640">
        <v>0</v>
      </c>
      <c r="T33" s="640">
        <v>0</v>
      </c>
      <c r="U33" s="640">
        <v>0</v>
      </c>
      <c r="V33" s="640">
        <v>0</v>
      </c>
      <c r="W33" s="640">
        <v>0</v>
      </c>
      <c r="X33" s="640">
        <v>10</v>
      </c>
      <c r="Y33" s="640" t="s">
        <v>112</v>
      </c>
      <c r="Z33" s="642" t="s">
        <v>112</v>
      </c>
    </row>
    <row r="34" spans="1:26" s="594" customFormat="1" ht="25.5">
      <c r="A34" s="593"/>
      <c r="B34" s="788">
        <v>13023</v>
      </c>
      <c r="C34" s="788">
        <v>2330</v>
      </c>
      <c r="D34" s="641" t="s">
        <v>985</v>
      </c>
      <c r="E34" s="640" t="s">
        <v>986</v>
      </c>
      <c r="F34" s="640" t="s">
        <v>987</v>
      </c>
      <c r="G34" s="640" t="s">
        <v>966</v>
      </c>
      <c r="H34" s="640" t="s">
        <v>967</v>
      </c>
      <c r="I34" s="640" t="s">
        <v>986</v>
      </c>
      <c r="J34" s="787">
        <v>40267</v>
      </c>
      <c r="K34" s="787">
        <v>40267</v>
      </c>
      <c r="L34" s="640" t="s">
        <v>969</v>
      </c>
      <c r="M34" s="640">
        <v>8020</v>
      </c>
      <c r="N34" s="640">
        <v>36090</v>
      </c>
      <c r="O34" s="640">
        <v>51557.142857142855</v>
      </c>
      <c r="P34" s="640">
        <v>103114.28571428572</v>
      </c>
      <c r="Q34" s="640">
        <v>0</v>
      </c>
      <c r="R34" s="640">
        <v>0</v>
      </c>
      <c r="S34" s="640">
        <v>0</v>
      </c>
      <c r="T34" s="640">
        <v>0</v>
      </c>
      <c r="U34" s="640">
        <v>0</v>
      </c>
      <c r="V34" s="640">
        <v>0</v>
      </c>
      <c r="W34" s="640">
        <v>0</v>
      </c>
      <c r="X34" s="640">
        <v>10</v>
      </c>
      <c r="Y34" s="640" t="s">
        <v>112</v>
      </c>
      <c r="Z34" s="642" t="s">
        <v>112</v>
      </c>
    </row>
    <row r="35" spans="1:26" s="594" customFormat="1" ht="25.5">
      <c r="A35" s="593"/>
      <c r="B35" s="788">
        <v>13023</v>
      </c>
      <c r="C35" s="788">
        <v>2330</v>
      </c>
      <c r="D35" s="641" t="s">
        <v>988</v>
      </c>
      <c r="E35" s="640" t="s">
        <v>989</v>
      </c>
      <c r="F35" s="640" t="s">
        <v>990</v>
      </c>
      <c r="G35" s="640" t="s">
        <v>966</v>
      </c>
      <c r="H35" s="640" t="s">
        <v>967</v>
      </c>
      <c r="I35" s="640" t="s">
        <v>989</v>
      </c>
      <c r="J35" s="787">
        <v>40364</v>
      </c>
      <c r="K35" s="787">
        <v>40364</v>
      </c>
      <c r="L35" s="640" t="s">
        <v>969</v>
      </c>
      <c r="M35" s="640">
        <v>8585</v>
      </c>
      <c r="N35" s="640">
        <v>38632.500000000007</v>
      </c>
      <c r="O35" s="640">
        <v>55189.285714285725</v>
      </c>
      <c r="P35" s="640">
        <v>110378.57142857145</v>
      </c>
      <c r="Q35" s="640">
        <v>0</v>
      </c>
      <c r="R35" s="640">
        <v>0</v>
      </c>
      <c r="S35" s="640">
        <v>0</v>
      </c>
      <c r="T35" s="640">
        <v>0</v>
      </c>
      <c r="U35" s="640">
        <v>0</v>
      </c>
      <c r="V35" s="640">
        <v>0</v>
      </c>
      <c r="W35" s="640">
        <v>0</v>
      </c>
      <c r="X35" s="640">
        <v>10</v>
      </c>
      <c r="Y35" s="640" t="s">
        <v>112</v>
      </c>
      <c r="Z35" s="642" t="s">
        <v>112</v>
      </c>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36899</v>
      </c>
      <c r="N58" s="598">
        <f>SUM(N28:N57)</f>
        <v>166045.5</v>
      </c>
      <c r="O58" s="598">
        <f t="shared" ref="O58:W58" si="2">SUM(O28:O57)</f>
        <v>237207.85714285716</v>
      </c>
      <c r="P58" s="598">
        <f t="shared" si="2"/>
        <v>474415.71428571432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36899</v>
      </c>
      <c r="N61" s="603">
        <f t="shared" si="4"/>
        <v>166045.5</v>
      </c>
      <c r="O61" s="603">
        <f t="shared" si="4"/>
        <v>237207.85714285716</v>
      </c>
      <c r="P61" s="603">
        <f t="shared" si="4"/>
        <v>474415.71428571432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13023</v>
      </c>
      <c r="C64" s="788">
        <v>2330</v>
      </c>
      <c r="D64" s="643" t="s">
        <v>991</v>
      </c>
      <c r="E64" s="643" t="s">
        <v>992</v>
      </c>
      <c r="F64" s="643" t="s">
        <v>993</v>
      </c>
      <c r="G64" s="643" t="s">
        <v>994</v>
      </c>
      <c r="H64" s="643" t="s">
        <v>995</v>
      </c>
      <c r="I64" s="643" t="s">
        <v>996</v>
      </c>
      <c r="J64" s="787">
        <v>37656</v>
      </c>
      <c r="K64" s="787">
        <v>37653</v>
      </c>
      <c r="L64" s="643" t="s">
        <v>969</v>
      </c>
      <c r="M64" s="643">
        <v>366</v>
      </c>
      <c r="N64" s="643">
        <v>1647</v>
      </c>
      <c r="O64" s="643">
        <v>0</v>
      </c>
      <c r="P64" s="643">
        <v>0</v>
      </c>
      <c r="Q64" s="643">
        <v>0</v>
      </c>
      <c r="R64" s="643">
        <v>4705.7142857142862</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366</v>
      </c>
      <c r="N89" s="598">
        <f t="shared" ref="N89:W89" si="5">SUM(N64:N88)</f>
        <v>1647</v>
      </c>
      <c r="O89" s="598">
        <f t="shared" si="5"/>
        <v>0</v>
      </c>
      <c r="P89" s="598">
        <f t="shared" si="5"/>
        <v>0</v>
      </c>
      <c r="Q89" s="598">
        <f t="shared" si="5"/>
        <v>0</v>
      </c>
      <c r="R89" s="598">
        <f t="shared" si="5"/>
        <v>4705.7142857142862</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366</v>
      </c>
      <c r="N91" s="598">
        <f t="shared" si="7"/>
        <v>1647</v>
      </c>
      <c r="O91" s="598">
        <f t="shared" si="7"/>
        <v>0</v>
      </c>
      <c r="P91" s="598">
        <f t="shared" si="7"/>
        <v>0</v>
      </c>
      <c r="Q91" s="598">
        <f t="shared" si="7"/>
        <v>0</v>
      </c>
      <c r="R91" s="598">
        <f t="shared" si="7"/>
        <v>4705.7142857142862</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195347.64705882352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279068.06722689077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13636.915918641227</v>
      </c>
      <c r="C4" s="460">
        <f>huishoudens!C8</f>
        <v>0</v>
      </c>
      <c r="D4" s="460">
        <f>huishoudens!D8</f>
        <v>39236.01115005208</v>
      </c>
      <c r="E4" s="460">
        <f>huishoudens!E8</f>
        <v>4038.834763186062</v>
      </c>
      <c r="F4" s="460">
        <f>huishoudens!F8</f>
        <v>4952.6173929301058</v>
      </c>
      <c r="G4" s="460">
        <f>huishoudens!G8</f>
        <v>0</v>
      </c>
      <c r="H4" s="460">
        <f>huishoudens!H8</f>
        <v>0</v>
      </c>
      <c r="I4" s="460">
        <f>huishoudens!I8</f>
        <v>0</v>
      </c>
      <c r="J4" s="460">
        <f>huishoudens!J8</f>
        <v>0</v>
      </c>
      <c r="K4" s="460">
        <f>huishoudens!K8</f>
        <v>0</v>
      </c>
      <c r="L4" s="460">
        <f>huishoudens!L8</f>
        <v>0</v>
      </c>
      <c r="M4" s="460">
        <f>huishoudens!M8</f>
        <v>0</v>
      </c>
      <c r="N4" s="460">
        <f>huishoudens!N8</f>
        <v>15580.978317396952</v>
      </c>
      <c r="O4" s="460">
        <f>huishoudens!O8</f>
        <v>35.956666666666671</v>
      </c>
      <c r="P4" s="461">
        <f>huishoudens!P8</f>
        <v>38.133333333333333</v>
      </c>
      <c r="Q4" s="462">
        <f>SUM(B4:P4)</f>
        <v>77519.447542206428</v>
      </c>
    </row>
    <row r="5" spans="1:17">
      <c r="A5" s="459" t="s">
        <v>156</v>
      </c>
      <c r="B5" s="460">
        <f ca="1">tertiair!B16</f>
        <v>15728.404</v>
      </c>
      <c r="C5" s="460">
        <f ca="1">tertiair!C16</f>
        <v>0</v>
      </c>
      <c r="D5" s="460">
        <f ca="1">tertiair!D16</f>
        <v>19405.474813210636</v>
      </c>
      <c r="E5" s="460">
        <f>tertiair!E16</f>
        <v>293.22476938717602</v>
      </c>
      <c r="F5" s="460">
        <f ca="1">tertiair!F16</f>
        <v>2665.7311311892454</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0</v>
      </c>
      <c r="Q5" s="459">
        <f t="shared" ref="Q5:Q14" ca="1" si="0">SUM(B5:P5)</f>
        <v>38094.39804712039</v>
      </c>
    </row>
    <row r="6" spans="1:17">
      <c r="A6" s="459" t="s">
        <v>194</v>
      </c>
      <c r="B6" s="460">
        <f>'openbare verlichting'!B8</f>
        <v>342.73099999999999</v>
      </c>
      <c r="C6" s="460"/>
      <c r="D6" s="460"/>
      <c r="E6" s="460"/>
      <c r="F6" s="460"/>
      <c r="G6" s="460"/>
      <c r="H6" s="460"/>
      <c r="I6" s="460"/>
      <c r="J6" s="460"/>
      <c r="K6" s="460"/>
      <c r="L6" s="460"/>
      <c r="M6" s="460"/>
      <c r="N6" s="460"/>
      <c r="O6" s="460"/>
      <c r="P6" s="461"/>
      <c r="Q6" s="459">
        <f t="shared" si="0"/>
        <v>342.73099999999999</v>
      </c>
    </row>
    <row r="7" spans="1:17">
      <c r="A7" s="459" t="s">
        <v>112</v>
      </c>
      <c r="B7" s="460">
        <f>landbouw!B8</f>
        <v>9678.8420000000006</v>
      </c>
      <c r="C7" s="460">
        <f>landbouw!C8</f>
        <v>237207.85714285716</v>
      </c>
      <c r="D7" s="460">
        <f>landbouw!D8</f>
        <v>0</v>
      </c>
      <c r="E7" s="460">
        <f>landbouw!E8</f>
        <v>101.35892880784375</v>
      </c>
      <c r="F7" s="460">
        <f>landbouw!F8</f>
        <v>41432.798118006569</v>
      </c>
      <c r="G7" s="460">
        <f>landbouw!G8</f>
        <v>0</v>
      </c>
      <c r="H7" s="460">
        <f>landbouw!H8</f>
        <v>0</v>
      </c>
      <c r="I7" s="460">
        <f>landbouw!I8</f>
        <v>0</v>
      </c>
      <c r="J7" s="460">
        <f>landbouw!J8</f>
        <v>864.40734354082178</v>
      </c>
      <c r="K7" s="460">
        <f>landbouw!K8</f>
        <v>0</v>
      </c>
      <c r="L7" s="460">
        <f>landbouw!L8</f>
        <v>0</v>
      </c>
      <c r="M7" s="460">
        <f>landbouw!M8</f>
        <v>0</v>
      </c>
      <c r="N7" s="460">
        <f>landbouw!N8</f>
        <v>0</v>
      </c>
      <c r="O7" s="460">
        <f>landbouw!O8</f>
        <v>0</v>
      </c>
      <c r="P7" s="461">
        <f>landbouw!P8</f>
        <v>0</v>
      </c>
      <c r="Q7" s="459">
        <f t="shared" si="0"/>
        <v>289285.26353321236</v>
      </c>
    </row>
    <row r="8" spans="1:17">
      <c r="A8" s="459" t="s">
        <v>655</v>
      </c>
      <c r="B8" s="460">
        <f>industrie!B18</f>
        <v>1570.0519999999999</v>
      </c>
      <c r="C8" s="460">
        <f>industrie!C18</f>
        <v>0</v>
      </c>
      <c r="D8" s="460">
        <f>industrie!D18</f>
        <v>1240.5168047767165</v>
      </c>
      <c r="E8" s="460">
        <f>industrie!E18</f>
        <v>18.294548047481676</v>
      </c>
      <c r="F8" s="460">
        <f>industrie!F18</f>
        <v>648.59709815579276</v>
      </c>
      <c r="G8" s="460">
        <f>industrie!G18</f>
        <v>0</v>
      </c>
      <c r="H8" s="460">
        <f>industrie!H18</f>
        <v>0</v>
      </c>
      <c r="I8" s="460">
        <f>industrie!I18</f>
        <v>0</v>
      </c>
      <c r="J8" s="460">
        <f>industrie!J18</f>
        <v>13.390142971468951</v>
      </c>
      <c r="K8" s="460">
        <f>industrie!K18</f>
        <v>0</v>
      </c>
      <c r="L8" s="460">
        <f>industrie!L18</f>
        <v>0</v>
      </c>
      <c r="M8" s="460">
        <f>industrie!M18</f>
        <v>0</v>
      </c>
      <c r="N8" s="460">
        <f>industrie!N18</f>
        <v>57.528569906984814</v>
      </c>
      <c r="O8" s="460">
        <f>industrie!O18</f>
        <v>0</v>
      </c>
      <c r="P8" s="461">
        <f>industrie!P18</f>
        <v>0</v>
      </c>
      <c r="Q8" s="459">
        <f t="shared" si="0"/>
        <v>3548.3791638584448</v>
      </c>
    </row>
    <row r="9" spans="1:17" s="465" customFormat="1">
      <c r="A9" s="463" t="s">
        <v>573</v>
      </c>
      <c r="B9" s="464">
        <f>transport!B14</f>
        <v>0.42181410020834714</v>
      </c>
      <c r="C9" s="464">
        <f>transport!C14</f>
        <v>0</v>
      </c>
      <c r="D9" s="464">
        <f>transport!D14</f>
        <v>2.0403308635624393</v>
      </c>
      <c r="E9" s="464">
        <f>transport!E14</f>
        <v>207.7487320216666</v>
      </c>
      <c r="F9" s="464">
        <f>transport!F14</f>
        <v>0</v>
      </c>
      <c r="G9" s="464">
        <f>transport!G14</f>
        <v>34070.077708656841</v>
      </c>
      <c r="H9" s="464">
        <f>transport!H14</f>
        <v>6800.8512671575581</v>
      </c>
      <c r="I9" s="464">
        <f>transport!I14</f>
        <v>0</v>
      </c>
      <c r="J9" s="464">
        <f>transport!J14</f>
        <v>0</v>
      </c>
      <c r="K9" s="464">
        <f>transport!K14</f>
        <v>0</v>
      </c>
      <c r="L9" s="464">
        <f>transport!L14</f>
        <v>0</v>
      </c>
      <c r="M9" s="464">
        <f>transport!M14</f>
        <v>1785.8663884471887</v>
      </c>
      <c r="N9" s="464">
        <f>transport!N14</f>
        <v>0</v>
      </c>
      <c r="O9" s="464">
        <f>transport!O14</f>
        <v>0</v>
      </c>
      <c r="P9" s="464">
        <f>transport!P14</f>
        <v>0</v>
      </c>
      <c r="Q9" s="463">
        <f>SUM(B9:P9)</f>
        <v>42867.006241247029</v>
      </c>
    </row>
    <row r="10" spans="1:17">
      <c r="A10" s="459" t="s">
        <v>563</v>
      </c>
      <c r="B10" s="460">
        <f>transport!B54</f>
        <v>0</v>
      </c>
      <c r="C10" s="460">
        <f>transport!C54</f>
        <v>0</v>
      </c>
      <c r="D10" s="460">
        <f>transport!D54</f>
        <v>0</v>
      </c>
      <c r="E10" s="460">
        <f>transport!E54</f>
        <v>0</v>
      </c>
      <c r="F10" s="460">
        <f>transport!F54</f>
        <v>0</v>
      </c>
      <c r="G10" s="460">
        <f>transport!G54</f>
        <v>946.93684693287128</v>
      </c>
      <c r="H10" s="460">
        <f>transport!H54</f>
        <v>0</v>
      </c>
      <c r="I10" s="460">
        <f>transport!I54</f>
        <v>0</v>
      </c>
      <c r="J10" s="460">
        <f>transport!J54</f>
        <v>0</v>
      </c>
      <c r="K10" s="460">
        <f>transport!K54</f>
        <v>0</v>
      </c>
      <c r="L10" s="460">
        <f>transport!L54</f>
        <v>0</v>
      </c>
      <c r="M10" s="460">
        <f>transport!M54</f>
        <v>40.363803839806565</v>
      </c>
      <c r="N10" s="460">
        <f>transport!N54</f>
        <v>0</v>
      </c>
      <c r="O10" s="460">
        <f>transport!O54</f>
        <v>0</v>
      </c>
      <c r="P10" s="461">
        <f>transport!P54</f>
        <v>0</v>
      </c>
      <c r="Q10" s="459">
        <f t="shared" si="0"/>
        <v>987.30065077267784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0</v>
      </c>
      <c r="C14" s="467"/>
      <c r="D14" s="467">
        <f>'SEAP template'!E25</f>
        <v>436.25324404991596</v>
      </c>
      <c r="E14" s="467"/>
      <c r="F14" s="467"/>
      <c r="G14" s="467"/>
      <c r="H14" s="467"/>
      <c r="I14" s="467"/>
      <c r="J14" s="467"/>
      <c r="K14" s="467"/>
      <c r="L14" s="467"/>
      <c r="M14" s="467"/>
      <c r="N14" s="467"/>
      <c r="O14" s="467"/>
      <c r="P14" s="468"/>
      <c r="Q14" s="459">
        <f t="shared" si="0"/>
        <v>436.25324404991596</v>
      </c>
    </row>
    <row r="15" spans="1:17" s="472" customFormat="1">
      <c r="A15" s="469" t="s">
        <v>567</v>
      </c>
      <c r="B15" s="470">
        <f ca="1">SUM(B4:B14)</f>
        <v>40957.366732741437</v>
      </c>
      <c r="C15" s="470">
        <f t="shared" ref="C15:Q15" ca="1" si="1">SUM(C4:C14)</f>
        <v>237207.85714285716</v>
      </c>
      <c r="D15" s="470">
        <f t="shared" ca="1" si="1"/>
        <v>60320.296342952912</v>
      </c>
      <c r="E15" s="470">
        <f t="shared" si="1"/>
        <v>4659.4617414502309</v>
      </c>
      <c r="F15" s="470">
        <f t="shared" ca="1" si="1"/>
        <v>49699.743740281709</v>
      </c>
      <c r="G15" s="470">
        <f t="shared" si="1"/>
        <v>35017.014555589711</v>
      </c>
      <c r="H15" s="470">
        <f t="shared" si="1"/>
        <v>6800.8512671575581</v>
      </c>
      <c r="I15" s="470">
        <f t="shared" si="1"/>
        <v>0</v>
      </c>
      <c r="J15" s="470">
        <f t="shared" si="1"/>
        <v>877.79748651229079</v>
      </c>
      <c r="K15" s="470">
        <f t="shared" si="1"/>
        <v>0</v>
      </c>
      <c r="L15" s="470">
        <f t="shared" ca="1" si="1"/>
        <v>0</v>
      </c>
      <c r="M15" s="470">
        <f t="shared" si="1"/>
        <v>1826.2301922869951</v>
      </c>
      <c r="N15" s="470">
        <f t="shared" ca="1" si="1"/>
        <v>15638.506887303936</v>
      </c>
      <c r="O15" s="470">
        <f t="shared" si="1"/>
        <v>37.520000000000003</v>
      </c>
      <c r="P15" s="470">
        <f t="shared" si="1"/>
        <v>38.133333333333333</v>
      </c>
      <c r="Q15" s="470">
        <f t="shared" ca="1" si="1"/>
        <v>453080.77942246723</v>
      </c>
    </row>
    <row r="17" spans="1:17">
      <c r="A17" s="473" t="s">
        <v>568</v>
      </c>
      <c r="B17" s="777">
        <f ca="1">huishoudens!B10</f>
        <v>1.1667886367867721</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15911.39853468723</v>
      </c>
      <c r="C22" s="460">
        <f t="shared" ref="C22:C32" ca="1" si="3">C4*$C$17</f>
        <v>0</v>
      </c>
      <c r="D22" s="460">
        <f t="shared" ref="D22:D32" si="4">D4*$D$17</f>
        <v>7925.6742523105204</v>
      </c>
      <c r="E22" s="460">
        <f t="shared" ref="E22:E32" si="5">E4*$E$17</f>
        <v>916.81549124323612</v>
      </c>
      <c r="F22" s="460">
        <f t="shared" ref="F22:F32" si="6">F4*$F$17</f>
        <v>1322.3488439123382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26076.237122153325</v>
      </c>
    </row>
    <row r="23" spans="1:17">
      <c r="A23" s="459" t="s">
        <v>156</v>
      </c>
      <c r="B23" s="460">
        <f t="shared" ca="1" si="2"/>
        <v>18351.723061991615</v>
      </c>
      <c r="C23" s="460">
        <f t="shared" ca="1" si="3"/>
        <v>0</v>
      </c>
      <c r="D23" s="460">
        <f t="shared" ca="1" si="4"/>
        <v>3919.9059122685489</v>
      </c>
      <c r="E23" s="460">
        <f t="shared" si="5"/>
        <v>66.562022650888963</v>
      </c>
      <c r="F23" s="460">
        <f t="shared" ca="1" si="6"/>
        <v>711.75021202752851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23049.941208938581</v>
      </c>
    </row>
    <row r="24" spans="1:17">
      <c r="A24" s="459" t="s">
        <v>194</v>
      </c>
      <c r="B24" s="460">
        <f t="shared" ca="1" si="2"/>
        <v>399.89463627456718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399.89463627456718</v>
      </c>
    </row>
    <row r="25" spans="1:17">
      <c r="A25" s="459" t="s">
        <v>112</v>
      </c>
      <c r="B25" s="460">
        <f t="shared" ca="1" si="2"/>
        <v>11293.162862854555</v>
      </c>
      <c r="C25" s="460">
        <f t="shared" ca="1" si="3"/>
        <v>56371.749579831936</v>
      </c>
      <c r="D25" s="460">
        <f t="shared" si="4"/>
        <v>0</v>
      </c>
      <c r="E25" s="460">
        <f t="shared" si="5"/>
        <v>23.008476839380531</v>
      </c>
      <c r="F25" s="460">
        <f t="shared" si="6"/>
        <v>11062.557097507755</v>
      </c>
      <c r="G25" s="460">
        <f t="shared" si="7"/>
        <v>0</v>
      </c>
      <c r="H25" s="460">
        <f t="shared" si="8"/>
        <v>0</v>
      </c>
      <c r="I25" s="460">
        <f t="shared" si="9"/>
        <v>0</v>
      </c>
      <c r="J25" s="460">
        <f t="shared" si="10"/>
        <v>306.00019961345089</v>
      </c>
      <c r="K25" s="460">
        <f t="shared" si="11"/>
        <v>0</v>
      </c>
      <c r="L25" s="460">
        <f t="shared" si="12"/>
        <v>0</v>
      </c>
      <c r="M25" s="460">
        <f t="shared" si="13"/>
        <v>0</v>
      </c>
      <c r="N25" s="460">
        <f t="shared" si="14"/>
        <v>0</v>
      </c>
      <c r="O25" s="460">
        <f t="shared" si="15"/>
        <v>0</v>
      </c>
      <c r="P25" s="461">
        <f t="shared" si="16"/>
        <v>0</v>
      </c>
      <c r="Q25" s="459">
        <f t="shared" ca="1" si="17"/>
        <v>79056.478216647083</v>
      </c>
    </row>
    <row r="26" spans="1:17">
      <c r="A26" s="459" t="s">
        <v>655</v>
      </c>
      <c r="B26" s="460">
        <f t="shared" ca="1" si="2"/>
        <v>1831.9188327643451</v>
      </c>
      <c r="C26" s="460">
        <f t="shared" ca="1" si="3"/>
        <v>0</v>
      </c>
      <c r="D26" s="460">
        <f t="shared" si="4"/>
        <v>250.58439456489674</v>
      </c>
      <c r="E26" s="460">
        <f t="shared" si="5"/>
        <v>4.1528624067783406</v>
      </c>
      <c r="F26" s="460">
        <f t="shared" si="6"/>
        <v>173.17542520759667</v>
      </c>
      <c r="G26" s="460">
        <f t="shared" si="7"/>
        <v>0</v>
      </c>
      <c r="H26" s="460">
        <f t="shared" si="8"/>
        <v>0</v>
      </c>
      <c r="I26" s="460">
        <f t="shared" si="9"/>
        <v>0</v>
      </c>
      <c r="J26" s="460">
        <f t="shared" si="10"/>
        <v>4.7401106119000085</v>
      </c>
      <c r="K26" s="460">
        <f t="shared" si="11"/>
        <v>0</v>
      </c>
      <c r="L26" s="460">
        <f t="shared" si="12"/>
        <v>0</v>
      </c>
      <c r="M26" s="460">
        <f t="shared" si="13"/>
        <v>0</v>
      </c>
      <c r="N26" s="460">
        <f t="shared" si="14"/>
        <v>0</v>
      </c>
      <c r="O26" s="460">
        <f t="shared" si="15"/>
        <v>0</v>
      </c>
      <c r="P26" s="461">
        <f t="shared" si="16"/>
        <v>0</v>
      </c>
      <c r="Q26" s="459">
        <f t="shared" ca="1" si="17"/>
        <v>2264.5716255555167</v>
      </c>
    </row>
    <row r="27" spans="1:17" s="465" customFormat="1">
      <c r="A27" s="463" t="s">
        <v>573</v>
      </c>
      <c r="B27" s="771">
        <f t="shared" ca="1" si="2"/>
        <v>0.49216789895953628</v>
      </c>
      <c r="C27" s="464">
        <f t="shared" ca="1" si="3"/>
        <v>0</v>
      </c>
      <c r="D27" s="464">
        <f t="shared" si="4"/>
        <v>0.41214683443961275</v>
      </c>
      <c r="E27" s="464">
        <f t="shared" si="5"/>
        <v>47.158962168918322</v>
      </c>
      <c r="F27" s="464">
        <f t="shared" si="6"/>
        <v>0</v>
      </c>
      <c r="G27" s="464">
        <f t="shared" si="7"/>
        <v>9096.710748211377</v>
      </c>
      <c r="H27" s="464">
        <f t="shared" si="8"/>
        <v>1693.4119655222319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10838.185990635926</v>
      </c>
    </row>
    <row r="28" spans="1:17">
      <c r="A28" s="459" t="s">
        <v>563</v>
      </c>
      <c r="B28" s="460">
        <f t="shared" ca="1" si="2"/>
        <v>0</v>
      </c>
      <c r="C28" s="460">
        <f t="shared" ca="1" si="3"/>
        <v>0</v>
      </c>
      <c r="D28" s="460">
        <f t="shared" si="4"/>
        <v>0</v>
      </c>
      <c r="E28" s="460">
        <f t="shared" si="5"/>
        <v>0</v>
      </c>
      <c r="F28" s="460">
        <f t="shared" si="6"/>
        <v>0</v>
      </c>
      <c r="G28" s="460">
        <f t="shared" si="7"/>
        <v>252.83213813107665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252.83213813107665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0</v>
      </c>
      <c r="C32" s="460">
        <f t="shared" ca="1" si="3"/>
        <v>0</v>
      </c>
      <c r="D32" s="460">
        <f t="shared" si="4"/>
        <v>88.123155298083034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88.123155298083034</v>
      </c>
    </row>
    <row r="33" spans="1:17" s="472" customFormat="1">
      <c r="A33" s="469" t="s">
        <v>567</v>
      </c>
      <c r="B33" s="470">
        <f ca="1">SUM(B22:B32)</f>
        <v>47788.590096471271</v>
      </c>
      <c r="C33" s="470">
        <f t="shared" ref="C33:Q33" ca="1" si="19">SUM(C22:C32)</f>
        <v>56371.749579831936</v>
      </c>
      <c r="D33" s="470">
        <f t="shared" ca="1" si="19"/>
        <v>12184.699861276489</v>
      </c>
      <c r="E33" s="470">
        <f t="shared" si="19"/>
        <v>1057.6978153092023</v>
      </c>
      <c r="F33" s="470">
        <f t="shared" ca="1" si="19"/>
        <v>13269.831578655219</v>
      </c>
      <c r="G33" s="470">
        <f t="shared" si="19"/>
        <v>9349.5428863424531</v>
      </c>
      <c r="H33" s="470">
        <f t="shared" si="19"/>
        <v>1693.4119655222319</v>
      </c>
      <c r="I33" s="470">
        <f t="shared" si="19"/>
        <v>0</v>
      </c>
      <c r="J33" s="470">
        <f t="shared" si="19"/>
        <v>310.74031022535092</v>
      </c>
      <c r="K33" s="470">
        <f t="shared" si="19"/>
        <v>0</v>
      </c>
      <c r="L33" s="470">
        <f t="shared" ca="1" si="19"/>
        <v>0</v>
      </c>
      <c r="M33" s="470">
        <f t="shared" si="19"/>
        <v>0</v>
      </c>
      <c r="N33" s="470">
        <f t="shared" ca="1" si="19"/>
        <v>0</v>
      </c>
      <c r="O33" s="470">
        <f t="shared" si="19"/>
        <v>0</v>
      </c>
      <c r="P33" s="470">
        <f t="shared" si="19"/>
        <v>0</v>
      </c>
      <c r="Q33" s="470">
        <f t="shared" ca="1" si="19"/>
        <v>142026.26409363418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1625.4554631083292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166045.5</v>
      </c>
      <c r="D8" s="1028">
        <f>'SEAP template'!D76</f>
        <v>195347.64705882352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39460.224705882356</v>
      </c>
    </row>
    <row r="9" spans="1:16">
      <c r="A9" s="1031" t="s">
        <v>939</v>
      </c>
      <c r="B9" s="1028">
        <f>'SEAP template'!B77</f>
        <v>1647</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4705.7142857142862</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3272.4554631083292</v>
      </c>
      <c r="C10" s="1032">
        <f>SUM(C4:C9)</f>
        <v>166045.5</v>
      </c>
      <c r="D10" s="1032">
        <f t="shared" ref="D10:H10" si="0">SUM(D8:D9)</f>
        <v>195347.64705882352</v>
      </c>
      <c r="E10" s="1032">
        <f t="shared" si="0"/>
        <v>0</v>
      </c>
      <c r="F10" s="1032">
        <f t="shared" si="0"/>
        <v>0</v>
      </c>
      <c r="G10" s="1032">
        <f t="shared" si="0"/>
        <v>0</v>
      </c>
      <c r="H10" s="1032">
        <f t="shared" si="0"/>
        <v>0</v>
      </c>
      <c r="I10" s="1032">
        <f>SUM(I8:I9)</f>
        <v>0</v>
      </c>
      <c r="J10" s="1032">
        <f>SUM(J8:J9)</f>
        <v>4705.7142857142862</v>
      </c>
      <c r="K10" s="1032">
        <f t="shared" ref="K10:L10" si="1">SUM(K8:K9)</f>
        <v>0</v>
      </c>
      <c r="L10" s="1032">
        <f t="shared" si="1"/>
        <v>0</v>
      </c>
      <c r="M10" s="1032">
        <f>SUM(M8:M9)</f>
        <v>0</v>
      </c>
      <c r="N10" s="1032">
        <f>SUM(N8:N9)</f>
        <v>0</v>
      </c>
      <c r="O10" s="1032">
        <f>SUM(O8:O9)</f>
        <v>0</v>
      </c>
      <c r="P10" s="1032">
        <f>SUM(P8:P9)</f>
        <v>39460.224705882356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1.1667886367867721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237207.85714285716</v>
      </c>
      <c r="D17" s="1029">
        <f>'SEAP template'!D87</f>
        <v>279068.06722689077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56371.749579831936</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237207.85714285716</v>
      </c>
      <c r="D20" s="1032">
        <f t="shared" ref="D20:H20" si="2">SUM(D17:D19)</f>
        <v>279068.06722689077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56371.749579831936</v>
      </c>
    </row>
    <row r="22" spans="1:16">
      <c r="A22" s="473" t="s">
        <v>947</v>
      </c>
      <c r="B22" s="777" t="s">
        <v>941</v>
      </c>
      <c r="C22" s="77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1.1667886367867721</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2019-06-29T16:03:59Z</dcterms:modified>
</cp:coreProperties>
</file>