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G12"/>
  <c r="F12"/>
  <c r="E12"/>
  <c r="D12"/>
  <c r="C12"/>
  <c r="L10"/>
  <c r="K10"/>
  <c r="G10"/>
  <c r="B6"/>
  <c r="B5"/>
  <c r="B4"/>
  <c r="O19" l="1"/>
  <c r="B17"/>
  <c r="B20" s="1"/>
  <c r="F20"/>
  <c r="O18"/>
  <c r="O9"/>
  <c r="C98"/>
  <c r="B101" s="1"/>
  <c r="C8" s="1"/>
  <c r="D76" i="14" s="1"/>
  <c r="L20" i="18"/>
  <c r="B10"/>
  <c r="I101"/>
  <c r="H8" s="1"/>
  <c r="H10" s="1"/>
  <c r="E101"/>
  <c r="E8" s="1"/>
  <c r="E10" s="1"/>
  <c r="H101"/>
  <c r="C101"/>
  <c r="I102"/>
  <c r="H17" s="1"/>
  <c r="H20" s="1"/>
  <c r="E102"/>
  <c r="E17" s="1"/>
  <c r="E20" s="1"/>
  <c r="H102"/>
  <c r="D102"/>
  <c r="G102"/>
  <c r="C102"/>
  <c r="F102"/>
  <c r="B102"/>
  <c r="C17" s="1"/>
  <c r="D14" i="48"/>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P52" s="1"/>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D8" i="55" l="1"/>
  <c r="L78" i="14"/>
  <c r="L8" i="55"/>
  <c r="L10" s="1"/>
  <c r="G78" i="14"/>
  <c r="G9" i="55"/>
  <c r="O78" i="14"/>
  <c r="O9" i="55"/>
  <c r="C77" i="14"/>
  <c r="C9" i="55" s="1"/>
  <c r="F9"/>
  <c r="N78" i="14"/>
  <c r="N9" i="55"/>
  <c r="N10" s="1"/>
  <c r="R25" i="14"/>
  <c r="P22"/>
  <c r="G20" i="55"/>
  <c r="O20"/>
  <c r="H90" i="14"/>
  <c r="Q52"/>
  <c r="O32" i="48"/>
  <c r="D101" i="18"/>
  <c r="J8" s="1"/>
  <c r="Q22" i="14"/>
  <c r="M87"/>
  <c r="P32" i="48"/>
  <c r="G101" i="18"/>
  <c r="E90" i="14"/>
  <c r="E18" i="55"/>
  <c r="E20" s="1"/>
  <c r="F90" i="14"/>
  <c r="F18" i="55"/>
  <c r="N90" i="14"/>
  <c r="N18" i="55"/>
  <c r="N20" s="1"/>
  <c r="M76" i="14"/>
  <c r="M8" i="55" s="1"/>
  <c r="M10" s="1"/>
  <c r="F20"/>
  <c r="L90" i="14"/>
  <c r="K22"/>
  <c r="D22"/>
  <c r="L22"/>
  <c r="G10" i="55"/>
  <c r="L20"/>
  <c r="F76" i="14"/>
  <c r="D10" i="55"/>
  <c r="K20"/>
  <c r="F101" i="18"/>
  <c r="R9" i="14"/>
  <c r="E10" i="55"/>
  <c r="O10"/>
  <c r="H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M78"/>
  <c r="Q76"/>
  <c r="P8" i="55" s="1"/>
  <c r="M90" i="14"/>
  <c r="M17" i="55"/>
  <c r="M20" s="1"/>
  <c r="Q78" i="14"/>
  <c r="B9" i="6" s="1"/>
  <c r="P9" i="55"/>
  <c r="P10"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G5" i="48" l="1"/>
  <c r="H10" i="14"/>
  <c r="H16" s="1"/>
  <c r="B78"/>
  <c r="B4" i="6" s="1"/>
  <c r="B8" i="55"/>
  <c r="B10" s="1"/>
  <c r="C78" i="14"/>
  <c r="C8" i="55"/>
  <c r="C10" s="1"/>
  <c r="B90" i="14"/>
  <c r="B17" i="55"/>
  <c r="B20" s="1"/>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8"/>
  <c r="E29"/>
  <c r="E31"/>
  <c r="M26"/>
  <c r="M32"/>
  <c r="M30"/>
  <c r="M24"/>
  <c r="M25"/>
  <c r="M22"/>
  <c r="M29"/>
  <c r="L10" i="14"/>
  <c r="L16" s="1"/>
  <c r="L27" s="1"/>
  <c r="K5" i="48"/>
  <c r="D29"/>
  <c r="D30"/>
  <c r="D24"/>
  <c r="D32"/>
  <c r="D28"/>
  <c r="D31"/>
  <c r="Q10" i="14"/>
  <c r="P5" i="48"/>
  <c r="P23" s="1"/>
  <c r="B10"/>
  <c r="C19" i="14"/>
  <c r="I5" i="48"/>
  <c r="J10" i="14"/>
  <c r="J16" s="1"/>
  <c r="J27" s="1"/>
  <c r="J32" i="48"/>
  <c r="J31"/>
  <c r="J24"/>
  <c r="J30"/>
  <c r="J28"/>
  <c r="J29"/>
  <c r="J27"/>
  <c r="Q11" i="14"/>
  <c r="P4" i="48"/>
  <c r="B8" i="9"/>
  <c r="B6" i="48" s="1"/>
  <c r="Q6" s="1"/>
  <c r="N10" i="14"/>
  <c r="N16" s="1"/>
  <c r="M5" i="48"/>
  <c r="F32"/>
  <c r="F27"/>
  <c r="F29"/>
  <c r="F24"/>
  <c r="F28"/>
  <c r="F31"/>
  <c r="F30"/>
  <c r="B7"/>
  <c r="C24" i="14"/>
  <c r="C26" s="1"/>
  <c r="K30" i="48"/>
  <c r="K32"/>
  <c r="K31"/>
  <c r="K28"/>
  <c r="K27"/>
  <c r="K26"/>
  <c r="K24"/>
  <c r="K25"/>
  <c r="K22"/>
  <c r="K29"/>
  <c r="I31"/>
  <c r="I32"/>
  <c r="I30"/>
  <c r="I28"/>
  <c r="I24"/>
  <c r="I26"/>
  <c r="I25"/>
  <c r="I27"/>
  <c r="I29"/>
  <c r="I22"/>
  <c r="H12" i="22"/>
  <c r="H14" s="1"/>
  <c r="H13" i="48"/>
  <c r="H31" s="1"/>
  <c r="I18" i="14"/>
  <c r="D4" i="48"/>
  <c r="D22" s="1"/>
  <c r="E11" i="14"/>
  <c r="H30" i="48"/>
  <c r="H32"/>
  <c r="H22"/>
  <c r="H25"/>
  <c r="H24"/>
  <c r="H29"/>
  <c r="H28"/>
  <c r="H26"/>
  <c r="H23"/>
  <c r="C18" i="16"/>
  <c r="B4" i="48"/>
  <c r="C11" i="14"/>
  <c r="N32" i="48"/>
  <c r="N29"/>
  <c r="N24"/>
  <c r="N31"/>
  <c r="N30"/>
  <c r="N27"/>
  <c r="N28"/>
  <c r="L29"/>
  <c r="L22"/>
  <c r="L30"/>
  <c r="L32"/>
  <c r="L28"/>
  <c r="L24"/>
  <c r="L31"/>
  <c r="L27"/>
  <c r="P11" i="14"/>
  <c r="O4" i="48"/>
  <c r="C4"/>
  <c r="D11" i="14"/>
  <c r="G30" i="48"/>
  <c r="G32"/>
  <c r="G29"/>
  <c r="G25"/>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0"/>
  <c r="O5" i="48"/>
  <c r="O23" s="1"/>
  <c r="N18" i="14"/>
  <c r="M13" i="48"/>
  <c r="M31" s="1"/>
  <c r="I23"/>
  <c r="I33" s="1"/>
  <c r="I15"/>
  <c r="G11" i="14"/>
  <c r="F4" i="48"/>
  <c r="F22" s="1"/>
  <c r="P22"/>
  <c r="P33" s="1"/>
  <c r="N46" i="14"/>
  <c r="J63"/>
  <c r="D16" i="15"/>
  <c r="D5" i="48" s="1"/>
  <c r="L46" i="14"/>
  <c r="L61" s="1"/>
  <c r="L63" s="1"/>
  <c r="G12" i="22"/>
  <c r="G13" i="48"/>
  <c r="H18" i="14"/>
  <c r="P22" i="16"/>
  <c r="Q43" i="14" s="1"/>
  <c r="Q13"/>
  <c r="P8" i="48"/>
  <c r="P26" s="1"/>
  <c r="K15"/>
  <c r="K23"/>
  <c r="K33" s="1"/>
  <c r="G31" i="20"/>
  <c r="H48" i="14" s="1"/>
  <c r="Q16"/>
  <c r="Q27" s="1"/>
  <c r="O22" i="48"/>
  <c r="M23"/>
  <c r="I22" i="14"/>
  <c r="I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O26" s="1"/>
  <c r="O33" s="1"/>
  <c r="P13" i="14"/>
  <c r="N4" i="48"/>
  <c r="N22" s="1"/>
  <c r="O11" i="14"/>
  <c r="J4" i="48"/>
  <c r="J22" s="1"/>
  <c r="K11" i="14"/>
  <c r="H27" i="48"/>
  <c r="H33" s="1"/>
  <c r="H15"/>
  <c r="G9"/>
  <c r="H20" i="14"/>
  <c r="C20"/>
  <c r="B9" i="48"/>
  <c r="Q13"/>
  <c r="G31"/>
  <c r="F20" i="14"/>
  <c r="F22" s="1"/>
  <c r="E9" i="48"/>
  <c r="E27" s="1"/>
  <c r="D20" i="15"/>
  <c r="E40" i="14" s="1"/>
  <c r="O15" i="48"/>
  <c r="P46" i="14"/>
  <c r="P61" s="1"/>
  <c r="P63" s="1"/>
  <c r="C15" i="48"/>
  <c r="R18" i="14"/>
  <c r="P15" i="48"/>
  <c r="P16" i="14"/>
  <c r="P27" s="1"/>
  <c r="N19"/>
  <c r="M10" i="48"/>
  <c r="M28" s="1"/>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R11" l="1"/>
  <c r="E22" i="48"/>
  <c r="Q4"/>
  <c r="G27"/>
  <c r="G15"/>
  <c r="G28"/>
  <c r="Q10"/>
  <c r="H22" i="14"/>
  <c r="H27" s="1"/>
  <c r="H63" s="1"/>
  <c r="R20"/>
  <c r="R22" s="1"/>
  <c r="C22"/>
  <c r="M18" i="22"/>
  <c r="N50" i="14" s="1"/>
  <c r="N52" s="1"/>
  <c r="N61" s="1"/>
  <c r="M9" i="48"/>
  <c r="N20" i="14"/>
  <c r="N22" s="1"/>
  <c r="N27" s="1"/>
  <c r="N63" s="1"/>
  <c r="B15" i="48"/>
  <c r="D15"/>
  <c r="Q9"/>
  <c r="J5"/>
  <c r="K10" i="14"/>
  <c r="E20" i="15"/>
  <c r="F40" i="14" s="1"/>
  <c r="E5" i="48"/>
  <c r="F10" i="14"/>
  <c r="L15" i="48"/>
  <c r="Q7"/>
  <c r="R24" i="14"/>
  <c r="R26" s="1"/>
  <c r="J18" i="16"/>
  <c r="N18"/>
  <c r="E18"/>
  <c r="F18"/>
  <c r="F22"/>
  <c r="G43" i="14" s="1"/>
  <c r="M27" i="48" l="1"/>
  <c r="M33" s="1"/>
  <c r="M15"/>
  <c r="G33"/>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<sst xmlns="http://schemas.openxmlformats.org/spreadsheetml/2006/main" count="2583" uniqueCount="999">
  <si>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</si>
  <si>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</si>
  <si>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</si>
  <si>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</si>
  <si>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</si>
  <si>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</si>
  <si>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</si>
  <si>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</si>
  <si>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</si>
  <si>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</si>
  <si>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</si>
  <si>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</si>
  <si>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</si>
  <si>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</si>
  <si>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</si>
  <si>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</si>
  <si>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</si>
  <si>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</si>
  <si>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</si>
  <si>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</si>
  <si>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</si>
  <si>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</si>
  <si>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</si>
  <si>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</si>
  <si>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</si>
  <si>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</si>
  <si>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</si>
  <si>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</si>
  <si>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</si>
  <si>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</si>
  <si>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</si>
  <si>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</si>
  <si>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</si>
  <si>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</si>
  <si>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</si>
  <si>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</si>
  <si>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</si>
  <si>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</si>
  <si>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</si>
  <si>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</si>
  <si>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</si>
  <si>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</si>
  <si>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</si>
  <si>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</si>
  <si>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</si>
  <si>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</si>
  <si>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</si>
  <si>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</si>
  <si>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</si>
  <si>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</si>
  <si>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</si>
  <si>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</si>
  <si>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</si>
  <si>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</si>
  <si>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</si>
  <si>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</si>
  <si>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</si>
  <si>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</si>
  <si>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</si>
  <si>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</si>
  <si>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</si>
  <si>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</si>
  <si>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</si>
  <si>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</si>
  <si>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</si>
  <si>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</si>
  <si>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</si>
  <si>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</si>
  <si>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</si>
  <si>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</si>
  <si>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</si>
  <si>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</si>
  <si>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</si>
  <si>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</si>
  <si>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</si>
  <si>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</si>
  <si>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</si>
  <si>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</si>
  <si>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</si>
  <si>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</si>
  <si>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</si>
  <si>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</si>
  <si>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</si>
  <si>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</si>
  <si>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</si>
  <si>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</si>
  <si>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</si>
  <si>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</si>
  <si>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</si>
  <si>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</si>
  <si>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</si>
  <si>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</si>
  <si>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</si>
  <si>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</si>
  <si>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</si>
  <si>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</si>
  <si>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</si>
  <si>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</si>
  <si>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</si>
  <si>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</si>
  <si>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</si>
  <si>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</si>
  <si>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</si>
  <si>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</si>
  <si>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</si>
  <si>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</si>
  <si>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</si>
  <si>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</si>
  <si>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</si>
  <si>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</si>
  <si>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</si>
  <si>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</si>
  <si>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</si>
  <si>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</si>
  <si>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</si>
  <si>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</si>
  <si>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</si>
  <si>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</si>
  <si>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</si>
  <si>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</si>
  <si>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</si>
  <si>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</si>
  <si>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</si>
  <si>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</si>
  <si>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</si>
  <si>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</si>
  <si>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</si>
  <si>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</si>
  <si>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</si>
  <si>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</si>
  <si>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</si>
  <si>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</si>
  <si>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</si>
  <si>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</si>
  <si>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</si>
  <si>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</si>
  <si>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</si>
  <si>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</si>
  <si>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</si>
  <si>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</si>
  <si>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</si>
  <si>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</si>
  <si>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</si>
  <si>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</si>
  <si>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</si>
  <si>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</si>
  <si>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</si>
  <si>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</si>
  <si>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</si>
  <si>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</si>
  <si>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</si>
  <si>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</si>
  <si>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</si>
  <si>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</si>
  <si>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</si>
  <si>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</si>
  <si>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</si>
  <si>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</si>
  <si>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</si>
  <si>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</si>
  <si>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</si>
  <si>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</si>
  <si>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</si>
  <si>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</si>
  <si>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</si>
  <si>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</si>
  <si>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</si>
  <si>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</si>
  <si>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</si>
  <si>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</si>
  <si>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</si>
  <si>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</si>
  <si>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</si>
  <si>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</si>
  <si>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</si>
  <si>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</si>
  <si>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</si>
  <si>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</si>
  <si>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</si>
  <si>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</si>
  <si>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</si>
  <si>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</si>
  <si>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</si>
  <si>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</si>
  <si>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</si>
  <si>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</si>
  <si>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</si>
  <si>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</si>
  <si>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</si>
  <si>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</si>
  <si>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</si>
  <si>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</si>
  <si>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</si>
  <si>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</si>
  <si>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</si>
  <si>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</si>
  <si>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</si>
  <si>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</si>
  <si>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</si>
  <si>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</si>
  <si>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</si>
  <si>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</si>
  <si>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</si>
  <si>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</si>
  <si>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</si>
  <si>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</si>
  <si>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</si>
  <si>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</si>
  <si>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</si>
  <si>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</si>
  <si>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</si>
  <si>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</si>
  <si>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</si>
  <si>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</si>
  <si>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</si>
  <si>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</si>
  <si>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</si>
  <si>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</si>
  <si>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</si>
  <si>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</si>
  <si>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</si>
  <si>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</si>
  <si>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</si>
  <si>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</si>
  <si>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</si>
  <si>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</si>
  <si>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</si>
  <si>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</si>
  <si>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</si>
  <si>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</si>
  <si>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</si>
  <si>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</si>
  <si>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</si>
  <si>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</si>
  <si>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</si>
  <si>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</si>
  <si>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</si>
  <si>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</si>
  <si>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</si>
  <si>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</si>
  <si>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</si>
  <si>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</si>
  <si>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</si>
  <si>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</si>
  <si>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</si>
  <si>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</si>
  <si>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</si>
  <si>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</si>
  <si>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</si>
  <si>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</si>
  <si>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</si>
  <si>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</si>
  <si>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</si>
  <si>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</si>
  <si>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</si>
  <si>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</si>
  <si>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</si>
  <si>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</si>
  <si>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</si>
  <si>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</si>
  <si>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</si>
  <si>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</si>
  <si>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</si>
  <si>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</si>
  <si>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</si>
  <si>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</si>
  <si>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</si>
  <si>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</si>
  <si>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</si>
  <si>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</si>
  <si>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</si>
  <si>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</si>
  <si>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</si>
  <si>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</si>
  <si>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</si>
  <si>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</si>
  <si>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</si>
  <si>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</si>
  <si>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</si>
  <si>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</si>
  <si>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</si>
  <si>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</si>
  <si>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</si>
  <si>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</si>
  <si>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</si>
  <si>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</si>
  <si>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</si>
  <si>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</si>
  <si>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</si>
  <si>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</si>
  <si>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</si>
  <si>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</si>
  <si>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</si>
  <si>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</si>
  <si>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</si>
  <si>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</si>
  <si>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</si>
  <si>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</si>
  <si>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</si>
  <si>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</si>
  <si>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</si>
  <si>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</si>
  <si>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</si>
  <si>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</si>
  <si>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</si>
  <si>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</si>
  <si>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</si>
  <si>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</si>
  <si>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</si>
  <si>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</si>
  <si>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</si>
  <si>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</si>
  <si>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</si>
  <si>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</si>
  <si>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</si>
  <si>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</si>
  <si>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</si>
  <si>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</si>
  <si>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</si>
  <si>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</si>
  <si>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</si>
  <si>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</si>
  <si>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</si>
  <si>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</si>
  <si>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</si>
  <si>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</si>
  <si>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</si>
  <si>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</si>
  <si>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</si>
  <si>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</si>
  <si>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</si>
  <si>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</si>
  <si>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</si>
  <si>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</si>
  <si>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</si>
  <si>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</si>
  <si>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</si>
  <si>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</si>
  <si>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</si>
  <si>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</si>
  <si>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</si>
  <si>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</si>
  <si>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</si>
  <si>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</si>
  <si>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</si>
  <si>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</si>
  <si>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</si>
  <si>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</si>
  <si>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</si>
  <si>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</si>
  <si>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</si>
  <si>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</si>
  <si>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</si>
  <si>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</si>
  <si>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</si>
  <si>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</si>
  <si>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</si>
  <si>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</si>
  <si>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</si>
  <si>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</si>
  <si>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</si>
  <si>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</si>
  <si>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</si>
  <si>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</si>
  <si>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</si>
  <si>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</si>
  <si>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</si>
  <si>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</si>
  <si>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</si>
  <si>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</si>
  <si>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</si>
  <si>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</si>
  <si>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</si>
  <si>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</si>
  <si>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</si>
  <si>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</si>
  <si>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</si>
  <si>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</si>
  <si>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</si>
  <si>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</si>
  <si>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</si>
  <si>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</si>
  <si>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</si>
  <si>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</si>
  <si>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</si>
  <si>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</si>
  <si>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</si>
  <si>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</si>
  <si>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</si>
  <si>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</si>
  <si>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</si>
  <si>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</si>
  <si>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</si>
  <si>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</si>
  <si>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</si>
  <si>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</si>
  <si>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</si>
  <si>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</si>
  <si>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</si>
  <si>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</si>
  <si>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</si>
  <si>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</si>
  <si>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</si>
  <si>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</si>
  <si>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</si>
  <si>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</si>
  <si>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</si>
  <si>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</si>
  <si>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</si>
  <si>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</si>
  <si>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</si>
  <si>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</si>
  <si>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</si>
  <si>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</si>
  <si>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</si>
  <si>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</si>
  <si>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</si>
  <si>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</si>
  <si>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</si>
  <si>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</si>
  <si>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</si>
  <si>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</si>
  <si>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</si>
  <si>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</si>
  <si>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</si>
  <si>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</si>
  <si>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</si>
  <si>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</si>
  <si>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</si>
  <si>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</si>
  <si>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</si>
  <si>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</si>
  <si>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</si>
  <si>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</si>
  <si>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</si>
  <si>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</si>
  <si>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</si>
  <si>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</si>
  <si>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</si>
  <si>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</si>
  <si>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</si>
  <si>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</si>
  <si>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</si>
  <si>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</si>
  <si>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</si>
  <si>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</si>
  <si>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</si>
  <si>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</si>
  <si>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</si>
  <si>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</si>
  <si>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</si>
  <si>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</si>
  <si>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</si>
  <si>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</si>
  <si>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</si>
  <si>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</si>
  <si>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</si>
  <si>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</si>
  <si>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</si>
  <si>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</si>
  <si>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</si>
  <si>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</si>
  <si>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</si>
  <si>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</si>
  <si>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</si>
  <si>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</si>
  <si>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</si>
  <si>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</si>
  <si>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</si>
  <si>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</si>
  <si>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</si>
  <si>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</si>
  <si>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</si>
  <si>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</si>
  <si>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</si>
  <si>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</si>
  <si>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</si>
  <si>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</si>
  <si>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</si>
  <si>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</si>
  <si>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</si>
  <si>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</si>
  <si>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</si>
  <si>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</si>
  <si>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</si>
  <si>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</si>
  <si>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</si>
  <si>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</si>
  <si>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</si>
  <si>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</si>
  <si>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</si>
  <si>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</si>
  <si>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</si>
  <si>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</si>
  <si>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</si>
  <si>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</si>
  <si>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</si>
  <si>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</si>
  <si>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</si>
  <si>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</si>
  <si>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</si>
  <si>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</si>
  <si>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</si>
  <si>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</si>
  <si>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</si>
  <si>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</si>
  <si>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</si>
  <si>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</si>
  <si>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</si>
  <si>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</si>
  <si>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</si>
  <si>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</si>
  <si>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</si>
  <si>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</si>
  <si>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</si>
  <si>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</si>
  <si>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</si>
  <si>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</si>
  <si>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</si>
  <si>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</si>
  <si>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</si>
  <si>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</si>
  <si>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</si>
  <si>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</si>
  <si>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</si>
  <si>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</si>
  <si>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</si>
  <si>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</si>
  <si>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</si>
  <si>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</si>
  <si>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</si>
  <si>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</si>
  <si>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</si>
  <si>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</si>
  <si>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</si>
  <si>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</si>
  <si>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</si>
  <si>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</si>
  <si>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</si>
  <si>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</si>
  <si>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</si>
  <si>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</si>
  <si>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</si>
  <si>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</si>
  <si>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</si>
  <si>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</si>
  <si>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</si>
  <si>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</si>
  <si>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</si>
  <si>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</si>
  <si>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</si>
  <si>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</si>
  <si>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</si>
  <si>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</si>
  <si>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</si>
  <si>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</si>
  <si>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</si>
  <si>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</si>
  <si>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</si>
  <si>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</si>
  <si>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</si>
  <si>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</si>
  <si>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</si>
  <si>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</si>
  <si>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</si>
  <si>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</si>
  <si>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</si>
  <si>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</si>
  <si>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</si>
  <si>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</si>
  <si>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</si>
  <si>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</si>
  <si>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</si>
  <si>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</si>
  <si>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</si>
  <si>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</si>
  <si>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</si>
  <si>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</si>
  <si>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</si>
  <si>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</si>
  <si>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</si>
  <si>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</si>
  <si>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</si>
  <si>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</si>
  <si>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</si>
  <si>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</si>
  <si>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</si>
  <si>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</si>
  <si>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</si>
  <si>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</si>
  <si>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</si>
  <si>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</si>
  <si>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</si>
  <si>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</si>
  <si>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</si>
  <si>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</si>
  <si>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</si>
  <si>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</si>
  <si>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</si>
  <si>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</si>
  <si>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</si>
  <si>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</si>
  <si>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</si>
  <si>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</si>
  <si>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</si>
  <si>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</si>
  <si>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</si>
  <si>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</si>
  <si>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</si>
  <si>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</si>
  <si>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</si>
  <si>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</si>
  <si>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</si>
  <si>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</si>
  <si>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</si>
  <si>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</si>
  <si>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</si>
  <si>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</si>
  <si>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</si>
  <si>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</si>
  <si>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</si>
  <si>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</si>
  <si>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</si>
  <si>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</si>
  <si>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</si>
  <si>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</si>
  <si>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</si>
  <si>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</si>
  <si>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</si>
  <si>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</si>
  <si>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</si>
  <si>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</si>
  <si>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</si>
  <si>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</si>
  <si>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</si>
  <si>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</si>
  <si>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</si>
  <si>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</si>
  <si>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</si>
  <si>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</si>
  <si>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</si>
  <si>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</si>
  <si>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</si>
  <si>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</si>
  <si>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</si>
  <si>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</si>
  <si>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</si>
  <si>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</si>
  <si>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</si>
  <si>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</si>
  <si>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</si>
  <si>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</si>
  <si>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</si>
  <si>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</si>
  <si>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</si>
  <si>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</si>
  <si>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</si>
  <si>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</si>
  <si>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</si>
  <si>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</si>
  <si>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</si>
  <si>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</si>
  <si>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</si>
  <si>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</si>
  <si>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</si>
  <si>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</si>
  <si>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</si>
  <si>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</si>
  <si>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</si>
  <si>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</si>
  <si>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</si>
  <si>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</si>
  <si>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</si>
  <si>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</si>
  <si>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</si>
  <si>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</si>
  <si>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</si>
  <si>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</si>
  <si>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</si>
  <si>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</si>
  <si>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</si>
  <si>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</si>
  <si>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</si>
  <si>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</si>
  <si>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</si>
  <si>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</si>
  <si>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</si>
  <si>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</si>
  <si>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</si>
  <si>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</si>
  <si>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</si>
  <si>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</si>
  <si>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</si>
  <si>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</si>
  <si>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</si>
  <si>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</si>
  <si>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</si>
  <si>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</si>
  <si>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</si>
  <si>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</si>
  <si>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</si>
  <si>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</si>
  <si>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</si>
  <si>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</si>
  <si>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</si>
  <si>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</si>
  <si>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</si>
  <si>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</si>
  <si>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</si>
  <si>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</si>
  <si>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</si>
  <si>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</si>
  <si>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</si>
  <si>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</si>
  <si>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</si>
  <si>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</si>
  <si>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</si>
  <si>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</si>
  <si>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</si>
  <si>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</si>
  <si>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</si>
  <si>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</si>
  <si>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</si>
  <si>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</si>
  <si>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</si>
  <si>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</si>
  <si>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</si>
  <si>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</si>
  <si>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</si>
  <si>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</si>
  <si>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</si>
  <si>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</si>
  <si>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</si>
  <si>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</si>
  <si>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</si>
  <si>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</si>
  <si>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</si>
  <si>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</si>
  <si>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</si>
  <si>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</si>
  <si>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</si>
  <si>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</si>
  <si>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</si>
  <si>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</si>
  <si>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</si>
  <si>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</si>
  <si>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</si>
  <si>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</si>
  <si>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</si>
  <si>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</si>
  <si>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</si>
  <si>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</si>
  <si>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</si>
  <si>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</si>
  <si>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</si>
  <si>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</si>
  <si>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</si>
  <si>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</si>
  <si>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</si>
  <si>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</si>
  <si>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</si>
  <si>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</si>
  <si>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</si>
  <si>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</si>
  <si>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</si>
  <si>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</si>
  <si>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</si>
  <si>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</si>
  <si>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</si>
  <si>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</si>
  <si>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</si>
  <si>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</si>
  <si>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</si>
  <si>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</si>
  <si>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</si>
  <si>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</si>
  <si>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</si>
  <si>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</si>
  <si>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</si>
  <si>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</si>
  <si>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</si>
  <si>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</si>
  <si>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</si>
  <si>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</si>
  <si>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</si>
  <si>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</si>
  <si>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</si>
  <si>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</si>
  <si>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</si>
  <si>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</si>
  <si>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</si>
  <si>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</si>
  <si>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</si>
  <si>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</si>
  <si>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</si>
  <si>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</si>
  <si>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</si>
  <si>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</si>
  <si>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</si>
  <si>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</si>
  <si>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</si>
  <si>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</si>
  <si>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</si>
  <si>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</si>
  <si>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</si>
  <si>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</si>
  <si>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</si>
  <si>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</si>
  <si>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</si>
  <si>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</si>
  <si>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</si>
  <si>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</si>
  <si>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</si>
  <si>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</si>
  <si>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</si>
  <si>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</si>
  <si>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</si>
  <si>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</si>
  <si>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</si>
  <si>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</si>
  <si>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</si>
  <si>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</si>
  <si>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</si>
  <si>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</si>
  <si>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</si>
  <si>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</si>
  <si>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</si>
  <si>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</si>
  <si>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</si>
  <si>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</si>
  <si>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</si>
  <si>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</si>
  <si>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</si>
  <si>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</si>
  <si>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</si>
  <si>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</si>
  <si>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</si>
  <si>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</si>
  <si>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</si>
  <si>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</si>
  <si>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</si>
  <si>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</si>
  <si>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</si>
  <si>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</si>
  <si>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</si>
  <si>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</si>
  <si>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</si>
  <si>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</si>
  <si>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</si>
  <si>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</si>
  <si>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</si>
  <si>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</si>
  <si>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</si>
  <si>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</si>
  <si>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</si>
  <si>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</si>
  <si>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</si>
  <si>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</si>
  <si>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</si>
  <si>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</si>
  <si>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</si>
  <si>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</si>
  <si>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</si>
  <si>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</si>
  <si>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</si>
  <si>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</si>
  <si>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</si>
  <si>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</si>
  <si>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</si>
  <si>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</si>
  <si>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</si>
  <si>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</si>
  <si>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</si>
  <si>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</si>
  <si>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</si>
  <si>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</si>
  <si>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</si>
  <si>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</si>
  <si>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</si>
  <si>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</si>
  <si>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</si>
  <si>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</si>
  <si>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</si>
  <si>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</si>
  <si>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</si>
  <si>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</si>
  <si>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</si>
  <si>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</si>
  <si>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</si>
  <si>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</si>
  <si>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</si>
  <si>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</si>
  <si>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</si>
  <si>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</si>
  <si>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</si>
  <si>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</si>
  <si>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</si>
  <si>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</si>
  <si>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</si>
  <si>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</si>
  <si>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</si>
  <si>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</si>
  <si>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</si>
  <si>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</si>
  <si>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</si>
  <si>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</si>
  <si>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</si>
  <si>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</si>
  <si>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</si>
  <si>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</si>
  <si>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</si>
  <si>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</si>
  <si>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</si>
  <si>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</si>
  <si>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</si>
  <si>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</si>
  <si>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</si>
  <si>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</si>
  <si>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</si>
  <si>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</si>
  <si>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</si>
  <si>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</si>
  <si>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</si>
  <si>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</si>
  <si>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</si>
  <si>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</si>
  <si>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</si>
  <si>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</si>
  <si>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</si>
  <si>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</si>
  <si>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</si>
  <si>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</si>
  <si>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</si>
  <si>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</si>
  <si>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</si>
  <si>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</si>
  <si>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</si>
  <si>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</si>
  <si>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</si>
  <si>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</si>
  <si>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</si>
  <si>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</si>
  <si>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</si>
  <si>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</si>
  <si>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</si>
  <si>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</si>
  <si>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</si>
  <si>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</si>
  <si>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</si>
  <si>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</si>
  <si>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</si>
  <si>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</si>
  <si>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</si>
  <si>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</si>
  <si>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12009</t>
  </si>
  <si>
    <t>DUFFEL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</si>
  <si>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</si>
  <si>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</si>
  <si>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</si>
  <si>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</si>
  <si>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</si>
  <si>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</si>
  <si>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</si>
  <si>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Bertels bvba</t>
  </si>
  <si>
    <t>Waarloossteenweg 16 , 2570 Duffel</t>
  </si>
  <si>
    <t>WKK-0283 Bertels</t>
  </si>
  <si>
    <t>interne verbrandingsmotor</t>
  </si>
  <si>
    <t>WKK interne verbrandinsgmotor (gas)</t>
  </si>
  <si>
    <t>IMEA</t>
  </si>
  <si>
    <t>De Wit Dirk</t>
  </si>
  <si>
    <t>Straatjesbossen 13b, 2570 Duffel</t>
  </si>
  <si>
    <t>WKK-0074 De Wit Dirk</t>
  </si>
  <si>
    <t>Didier Algoet</t>
  </si>
  <si>
    <t>Lintseheide 39B, 2570 Duffel</t>
  </si>
  <si>
    <t>WKK-0073 Didier Algoet</t>
  </si>
  <si>
    <t>Rovana bvba</t>
  </si>
  <si>
    <t>Hoogstraat 363 B, 2570 Duffel</t>
  </si>
  <si>
    <t>WKK-0368 Rovana</t>
  </si>
  <si>
    <t>Tovabo bvba</t>
  </si>
  <si>
    <t>Zijpstraat 39c, 2570 Duffel</t>
  </si>
  <si>
    <t>WKK-0115 Tovabo bvba</t>
  </si>
  <si>
    <t>T.B.O. Pittori bvba</t>
  </si>
  <si>
    <t>Zijpstraat 130, 2570 Duffel</t>
  </si>
  <si>
    <t>WKK-0056 Pittori Zijpstraat</t>
  </si>
  <si>
    <t>Sibon bvba</t>
  </si>
  <si>
    <t>Herderstraat 13b, 2840 Rumst</t>
  </si>
  <si>
    <t>WKK-0162 Sibon bvba</t>
  </si>
  <si>
    <t>Mechelsebaan 191b, 2570 Duffel</t>
  </si>
  <si>
    <t>Alnica NV</t>
  </si>
  <si>
    <t>Mijlstraat 265, 2570 Duffel</t>
  </si>
  <si>
    <t>WKK-0121 Alnica</t>
  </si>
  <si>
    <t>Tuinbouwbedrijf Van Hissenhoven bvba</t>
  </si>
  <si>
    <t>Roetestraat 18, 2570 Duffel</t>
  </si>
  <si>
    <t>WKK-0092 Hans De Weerdt</t>
  </si>
  <si>
    <t>WKK interne verbrandinsgmotor (vloeibaar)</t>
  </si>
  <si>
    <t>Zwarthout Energie BVBA</t>
  </si>
  <si>
    <t>Zwarthoutstraat 21 , 2570 Duffel</t>
  </si>
  <si>
    <t>WKK-0137 Zwarthout Energie</t>
  </si>
  <si>
    <t>Zwarthoutstraat 21, 2570 Duffel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</si>
</sst>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12009</v>
      </c>
      <c r="B6" s="396"/>
      <c r="C6" s="397"/>
    </row>
    <row r="7" spans="1:7" s="394" customFormat="1" ht="15.75" customHeight="1">
      <c r="A7" s="398" t="str">
        <f>txtMunicipality</f>
        <v>DUFFEL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0.32491475139127535</v>
      </c>
      <c r="C17" s="509">
        <f ca="1">'EF ele_warmte'!B22</f>
        <v>0.21642390749403212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0.32491475139127535</v>
      </c>
      <c r="C29" s="510">
        <f ca="1">'EF ele_warmte'!B22</f>
        <v>0.21642390749403212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6859</v>
      </c>
      <c r="C9" s="336">
        <v>7196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668</v>
      </c>
    </row>
    <row r="15" spans="1:6">
      <c r="A15" s="1277" t="s">
        <v>184</v>
      </c>
      <c r="B15" s="333">
        <v>4</v>
      </c>
    </row>
    <row r="16" spans="1:6">
      <c r="A16" s="1277" t="s">
        <v>6</v>
      </c>
      <c r="B16" s="333">
        <v>114</v>
      </c>
    </row>
    <row r="17" spans="1:6">
      <c r="A17" s="1277" t="s">
        <v>7</v>
      </c>
      <c r="B17" s="333">
        <v>113</v>
      </c>
    </row>
    <row r="18" spans="1:6">
      <c r="A18" s="1277" t="s">
        <v>8</v>
      </c>
      <c r="B18" s="333">
        <v>145</v>
      </c>
    </row>
    <row r="19" spans="1:6">
      <c r="A19" s="1277" t="s">
        <v>9</v>
      </c>
      <c r="B19" s="333">
        <v>118</v>
      </c>
    </row>
    <row r="20" spans="1:6">
      <c r="A20" s="1277" t="s">
        <v>10</v>
      </c>
      <c r="B20" s="333">
        <v>162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20</v>
      </c>
    </row>
    <row r="27" spans="1:6">
      <c r="A27" s="1277" t="s">
        <v>17</v>
      </c>
      <c r="B27" s="333">
        <v>0</v>
      </c>
    </row>
    <row r="28" spans="1:6">
      <c r="A28" s="1277" t="s">
        <v>18</v>
      </c>
      <c r="B28" s="333">
        <v>0</v>
      </c>
    </row>
    <row r="29" spans="1:6">
      <c r="A29" s="1277" t="s">
        <v>957</v>
      </c>
      <c r="B29" s="333">
        <v>90</v>
      </c>
    </row>
    <row r="30" spans="1:6">
      <c r="A30" s="1273" t="s">
        <v>958</v>
      </c>
      <c r="B30" s="1273">
        <v>20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11798</v>
      </c>
    </row>
    <row r="37" spans="1:6">
      <c r="A37" s="1277" t="s">
        <v>25</v>
      </c>
      <c r="B37" s="1277" t="s">
        <v>28</v>
      </c>
      <c r="C37" s="333">
        <v>0</v>
      </c>
      <c r="D37" s="333">
        <v>0</v>
      </c>
      <c r="E37" s="333">
        <v>0</v>
      </c>
      <c r="F37" s="333">
        <v>0</v>
      </c>
    </row>
    <row r="38" spans="1:6">
      <c r="A38" s="1277" t="s">
        <v>25</v>
      </c>
      <c r="B38" s="1277" t="s">
        <v>29</v>
      </c>
      <c r="C38" s="333">
        <v>2</v>
      </c>
      <c r="D38" s="333">
        <v>44665400.870910101</v>
      </c>
      <c r="E38" s="333">
        <v>3</v>
      </c>
      <c r="F38" s="333">
        <v>1735441.7542808999</v>
      </c>
    </row>
    <row r="39" spans="1:6">
      <c r="A39" s="1277" t="s">
        <v>30</v>
      </c>
      <c r="B39" s="1277" t="s">
        <v>31</v>
      </c>
      <c r="C39" s="333">
        <v>5102</v>
      </c>
      <c r="D39" s="333">
        <v>83477771.499862105</v>
      </c>
      <c r="E39" s="333">
        <v>6705</v>
      </c>
      <c r="F39" s="333">
        <v>28497834.5943751</v>
      </c>
    </row>
    <row r="40" spans="1:6">
      <c r="A40" s="1277" t="s">
        <v>30</v>
      </c>
      <c r="B40" s="1277" t="s">
        <v>29</v>
      </c>
      <c r="C40" s="333">
        <v>0</v>
      </c>
      <c r="D40" s="333">
        <v>0</v>
      </c>
      <c r="E40" s="333">
        <v>0</v>
      </c>
      <c r="F40" s="333">
        <v>0</v>
      </c>
    </row>
    <row r="41" spans="1:6">
      <c r="A41" s="1277" t="s">
        <v>32</v>
      </c>
      <c r="B41" s="1277" t="s">
        <v>33</v>
      </c>
      <c r="C41" s="333">
        <v>26</v>
      </c>
      <c r="D41" s="333">
        <v>778889.11430110305</v>
      </c>
      <c r="E41" s="333">
        <v>60</v>
      </c>
      <c r="F41" s="333">
        <v>757862.10378035204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6</v>
      </c>
      <c r="D44" s="333">
        <v>382195.00811303902</v>
      </c>
      <c r="E44" s="333">
        <v>11</v>
      </c>
      <c r="F44" s="333">
        <v>556691.975043118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56839540.648555301</v>
      </c>
    </row>
    <row r="48" spans="1:6">
      <c r="A48" s="1277" t="s">
        <v>32</v>
      </c>
      <c r="B48" s="1277" t="s">
        <v>29</v>
      </c>
      <c r="C48" s="333">
        <v>30</v>
      </c>
      <c r="D48" s="333">
        <v>353662224.88186502</v>
      </c>
      <c r="E48" s="333">
        <v>40</v>
      </c>
      <c r="F48" s="333">
        <v>17074293.361495499</v>
      </c>
    </row>
    <row r="49" spans="1:6">
      <c r="A49" s="1277" t="s">
        <v>32</v>
      </c>
      <c r="B49" s="1277" t="s">
        <v>40</v>
      </c>
      <c r="C49" s="333">
        <v>0</v>
      </c>
      <c r="D49" s="333">
        <v>0</v>
      </c>
      <c r="E49" s="333">
        <v>0</v>
      </c>
      <c r="F49" s="333">
        <v>0</v>
      </c>
    </row>
    <row r="50" spans="1:6">
      <c r="A50" s="1277" t="s">
        <v>32</v>
      </c>
      <c r="B50" s="1277" t="s">
        <v>41</v>
      </c>
      <c r="C50" s="333">
        <v>7</v>
      </c>
      <c r="D50" s="333">
        <v>169173.207430504</v>
      </c>
      <c r="E50" s="333">
        <v>8</v>
      </c>
      <c r="F50" s="333">
        <v>450543.51711360598</v>
      </c>
    </row>
    <row r="51" spans="1:6">
      <c r="A51" s="1277" t="s">
        <v>42</v>
      </c>
      <c r="B51" s="1277" t="s">
        <v>43</v>
      </c>
      <c r="C51" s="333">
        <v>28</v>
      </c>
      <c r="D51" s="333">
        <v>260149670.13935101</v>
      </c>
      <c r="E51" s="333">
        <v>81</v>
      </c>
      <c r="F51" s="333">
        <v>7281873.9779968997</v>
      </c>
    </row>
    <row r="52" spans="1:6">
      <c r="A52" s="1277" t="s">
        <v>42</v>
      </c>
      <c r="B52" s="1277" t="s">
        <v>29</v>
      </c>
      <c r="C52" s="333">
        <v>5</v>
      </c>
      <c r="D52" s="333">
        <v>12639761.0362511</v>
      </c>
      <c r="E52" s="333">
        <v>11</v>
      </c>
      <c r="F52" s="333">
        <v>165573.2979376</v>
      </c>
    </row>
    <row r="53" spans="1:6">
      <c r="A53" s="1277" t="s">
        <v>44</v>
      </c>
      <c r="B53" s="1277" t="s">
        <v>45</v>
      </c>
      <c r="C53" s="333">
        <v>138</v>
      </c>
      <c r="D53" s="333">
        <v>2403892.2226902698</v>
      </c>
      <c r="E53" s="333">
        <v>223</v>
      </c>
      <c r="F53" s="333">
        <v>1099157.0112218801</v>
      </c>
    </row>
    <row r="54" spans="1:6">
      <c r="A54" s="1277" t="s">
        <v>46</v>
      </c>
      <c r="B54" s="1277" t="s">
        <v>47</v>
      </c>
      <c r="C54" s="333">
        <v>0</v>
      </c>
      <c r="D54" s="333">
        <v>0</v>
      </c>
      <c r="E54" s="333">
        <v>1</v>
      </c>
      <c r="F54" s="333">
        <v>1277542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56</v>
      </c>
      <c r="D57" s="333">
        <v>23587998.879163601</v>
      </c>
      <c r="E57" s="333">
        <v>111</v>
      </c>
      <c r="F57" s="333">
        <v>14995056.7037232</v>
      </c>
    </row>
    <row r="58" spans="1:6">
      <c r="A58" s="1277" t="s">
        <v>49</v>
      </c>
      <c r="B58" s="1277" t="s">
        <v>51</v>
      </c>
      <c r="C58" s="333">
        <v>29</v>
      </c>
      <c r="D58" s="333">
        <v>976861.81821560103</v>
      </c>
      <c r="E58" s="333">
        <v>42</v>
      </c>
      <c r="F58" s="333">
        <v>7500936.3903130703</v>
      </c>
    </row>
    <row r="59" spans="1:6">
      <c r="A59" s="1277" t="s">
        <v>49</v>
      </c>
      <c r="B59" s="1277" t="s">
        <v>52</v>
      </c>
      <c r="C59" s="333">
        <v>77</v>
      </c>
      <c r="D59" s="333">
        <v>2183062.6383348601</v>
      </c>
      <c r="E59" s="333">
        <v>134</v>
      </c>
      <c r="F59" s="333">
        <v>3444657.38314417</v>
      </c>
    </row>
    <row r="60" spans="1:6">
      <c r="A60" s="1277" t="s">
        <v>49</v>
      </c>
      <c r="B60" s="1277" t="s">
        <v>53</v>
      </c>
      <c r="C60" s="333">
        <v>30</v>
      </c>
      <c r="D60" s="333">
        <v>1759218.2663511201</v>
      </c>
      <c r="E60" s="333">
        <v>43</v>
      </c>
      <c r="F60" s="333">
        <v>1102158.3348473399</v>
      </c>
    </row>
    <row r="61" spans="1:6">
      <c r="A61" s="1277" t="s">
        <v>49</v>
      </c>
      <c r="B61" s="1277" t="s">
        <v>54</v>
      </c>
      <c r="C61" s="333">
        <v>136</v>
      </c>
      <c r="D61" s="333">
        <v>4351173.2165807299</v>
      </c>
      <c r="E61" s="333">
        <v>249</v>
      </c>
      <c r="F61" s="333">
        <v>2977644.0037950301</v>
      </c>
    </row>
    <row r="62" spans="1:6">
      <c r="A62" s="1277" t="s">
        <v>49</v>
      </c>
      <c r="B62" s="1277" t="s">
        <v>55</v>
      </c>
      <c r="C62" s="333">
        <v>9</v>
      </c>
      <c r="D62" s="333">
        <v>1228713.3981286499</v>
      </c>
      <c r="E62" s="333">
        <v>6</v>
      </c>
      <c r="F62" s="333">
        <v>106071.3709985</v>
      </c>
    </row>
    <row r="63" spans="1:6">
      <c r="A63" s="1277" t="s">
        <v>49</v>
      </c>
      <c r="B63" s="1277" t="s">
        <v>29</v>
      </c>
      <c r="C63" s="333">
        <v>72</v>
      </c>
      <c r="D63" s="333">
        <v>6973292.7758130999</v>
      </c>
      <c r="E63" s="333">
        <v>85</v>
      </c>
      <c r="F63" s="333">
        <v>4011217.0574202202</v>
      </c>
    </row>
    <row r="64" spans="1:6">
      <c r="A64" s="1277" t="s">
        <v>56</v>
      </c>
      <c r="B64" s="1277" t="s">
        <v>57</v>
      </c>
      <c r="C64" s="333">
        <v>0</v>
      </c>
      <c r="D64" s="333">
        <v>0</v>
      </c>
      <c r="E64" s="333">
        <v>0</v>
      </c>
      <c r="F64" s="333">
        <v>0</v>
      </c>
    </row>
    <row r="65" spans="1:6">
      <c r="A65" s="1277" t="s">
        <v>56</v>
      </c>
      <c r="B65" s="1277" t="s">
        <v>29</v>
      </c>
      <c r="C65" s="333">
        <v>1</v>
      </c>
      <c r="D65" s="333">
        <v>23638.746223369501</v>
      </c>
      <c r="E65" s="333">
        <v>3</v>
      </c>
      <c r="F65" s="333">
        <v>56388.628581048797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30025920</v>
      </c>
      <c r="E73" s="333">
        <v>56792318.159564711</v>
      </c>
      <c r="F73" s="333">
        <v>51280797</v>
      </c>
    </row>
    <row r="74" spans="1:6">
      <c r="A74" s="1277" t="s">
        <v>64</v>
      </c>
      <c r="B74" s="1277" t="s">
        <v>774</v>
      </c>
      <c r="C74" s="1288" t="s">
        <v>775</v>
      </c>
      <c r="D74" s="333">
        <v>2799198.2617837065</v>
      </c>
      <c r="E74" s="333">
        <v>4733678.2467030287</v>
      </c>
      <c r="F74" s="333">
        <v>4501584.2297242619</v>
      </c>
    </row>
    <row r="75" spans="1:6">
      <c r="A75" s="1277" t="s">
        <v>65</v>
      </c>
      <c r="B75" s="1277" t="s">
        <v>772</v>
      </c>
      <c r="C75" s="1288" t="s">
        <v>776</v>
      </c>
      <c r="D75" s="333">
        <v>3287466</v>
      </c>
      <c r="E75" s="333">
        <v>6241685.5163047677</v>
      </c>
      <c r="F75" s="333">
        <v>5629813</v>
      </c>
    </row>
    <row r="76" spans="1:6">
      <c r="A76" s="1277" t="s">
        <v>65</v>
      </c>
      <c r="B76" s="1277" t="s">
        <v>774</v>
      </c>
      <c r="C76" s="1288" t="s">
        <v>777</v>
      </c>
      <c r="D76" s="333">
        <v>38078.261783706344</v>
      </c>
      <c r="E76" s="333">
        <v>211211.18409152536</v>
      </c>
      <c r="F76" s="333">
        <v>188576.22972426223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397937.47643258731</v>
      </c>
      <c r="C83" s="333">
        <v>366831.67689716961</v>
      </c>
      <c r="D83" s="333">
        <v>371035.54055147554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1192.7783084607665</v>
      </c>
    </row>
    <row r="92" spans="1:6">
      <c r="A92" s="1273" t="s">
        <v>69</v>
      </c>
      <c r="B92" s="336">
        <v>2691.1536718416728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3973</v>
      </c>
    </row>
    <row r="98" spans="1:6">
      <c r="A98" s="1277" t="s">
        <v>72</v>
      </c>
      <c r="B98" s="333">
        <v>11</v>
      </c>
    </row>
    <row r="99" spans="1:6">
      <c r="A99" s="1277" t="s">
        <v>73</v>
      </c>
      <c r="B99" s="333">
        <v>28</v>
      </c>
    </row>
    <row r="100" spans="1:6">
      <c r="A100" s="1277" t="s">
        <v>74</v>
      </c>
      <c r="B100" s="333">
        <v>541</v>
      </c>
    </row>
    <row r="101" spans="1:6">
      <c r="A101" s="1277" t="s">
        <v>75</v>
      </c>
      <c r="B101" s="333">
        <v>56</v>
      </c>
    </row>
    <row r="102" spans="1:6">
      <c r="A102" s="1277" t="s">
        <v>76</v>
      </c>
      <c r="B102" s="333">
        <v>72</v>
      </c>
    </row>
    <row r="103" spans="1:6">
      <c r="A103" s="1277" t="s">
        <v>77</v>
      </c>
      <c r="B103" s="333">
        <v>142</v>
      </c>
    </row>
    <row r="104" spans="1:6">
      <c r="A104" s="1277" t="s">
        <v>78</v>
      </c>
      <c r="B104" s="333">
        <v>1380</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39</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151671.6980152388</v>
      </c>
      <c r="C3" s="43" t="s">
        <v>170</v>
      </c>
      <c r="D3" s="43"/>
      <c r="E3" s="156"/>
      <c r="F3" s="43"/>
      <c r="G3" s="43"/>
      <c r="H3" s="43"/>
      <c r="I3" s="43"/>
      <c r="J3" s="43"/>
      <c r="K3" s="96"/>
    </row>
    <row r="4" spans="1:11">
      <c r="A4" s="364" t="s">
        <v>171</v>
      </c>
      <c r="B4" s="49">
        <f>IF(ISERROR('SEAP template'!B78),0,'SEAP template'!B78)</f>
        <v>12439.641375094838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18510.087536242088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0.32491475139127535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25602.447776257915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118297.68749999999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0.21642390749403212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1277.5419999999999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1277.5419999999999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0.32491475139127535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415.09224132191264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28497.834594375101</v>
      </c>
      <c r="C5" s="17">
        <f>IF(ISERROR('Eigen informatie GS &amp; warmtenet'!B57),0,'Eigen informatie GS &amp; warmtenet'!B57)</f>
        <v>0</v>
      </c>
      <c r="D5" s="30">
        <f>(SUM(HH_hh_gas_kWh,HH_rest_gas_kWh)/1000)*0.902</f>
        <v>75296.949892875622</v>
      </c>
      <c r="E5" s="17">
        <f>B46*B57</f>
        <v>1248.6619452068549</v>
      </c>
      <c r="F5" s="17">
        <f>B51*B62</f>
        <v>8297.6863226853857</v>
      </c>
      <c r="G5" s="18"/>
      <c r="H5" s="17"/>
      <c r="I5" s="17"/>
      <c r="J5" s="17">
        <f>B50*B61+C50*C61</f>
        <v>834.7640072043497</v>
      </c>
      <c r="K5" s="17"/>
      <c r="L5" s="17"/>
      <c r="M5" s="17"/>
      <c r="N5" s="17">
        <f>B48*B59+C48*C59</f>
        <v>7225.6142556371396</v>
      </c>
      <c r="O5" s="17">
        <f>B69*B70*B71</f>
        <v>75.040000000000006</v>
      </c>
      <c r="P5" s="17">
        <f>B77*B78*B79/1000-B77*B78*B79/1000/B80</f>
        <v>171.6</v>
      </c>
    </row>
    <row r="6" spans="1:16">
      <c r="A6" s="16" t="s">
        <v>632</v>
      </c>
      <c r="B6" s="779">
        <f>kWh_PV_kleiner_dan_10kW</f>
        <v>1192.7783084607665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29690.612902835866</v>
      </c>
      <c r="C8" s="21">
        <f>C5</f>
        <v>0</v>
      </c>
      <c r="D8" s="21">
        <f>D5</f>
        <v>75296.949892875622</v>
      </c>
      <c r="E8" s="21">
        <f>E5</f>
        <v>1248.6619452068549</v>
      </c>
      <c r="F8" s="21">
        <f>F5</f>
        <v>8297.6863226853857</v>
      </c>
      <c r="G8" s="21"/>
      <c r="H8" s="21"/>
      <c r="I8" s="21"/>
      <c r="J8" s="21">
        <f>J5</f>
        <v>834.7640072043497</v>
      </c>
      <c r="K8" s="21"/>
      <c r="L8" s="21">
        <f>L5</f>
        <v>0</v>
      </c>
      <c r="M8" s="21">
        <f>M5</f>
        <v>0</v>
      </c>
      <c r="N8" s="21">
        <f>N5</f>
        <v>7225.6142556371396</v>
      </c>
      <c r="O8" s="21">
        <f>O5</f>
        <v>75.040000000000006</v>
      </c>
      <c r="P8" s="21">
        <f>P5</f>
        <v>171.6</v>
      </c>
    </row>
    <row r="9" spans="1:16">
      <c r="B9" s="19"/>
      <c r="C9" s="19"/>
      <c r="D9" s="260"/>
      <c r="E9" s="19"/>
      <c r="F9" s="19"/>
      <c r="G9" s="19"/>
      <c r="H9" s="19"/>
      <c r="I9" s="19"/>
      <c r="J9" s="19"/>
      <c r="K9" s="19"/>
      <c r="L9" s="19"/>
      <c r="M9" s="19"/>
      <c r="N9" s="19"/>
      <c r="O9" s="19"/>
      <c r="P9" s="19"/>
    </row>
    <row r="10" spans="1:16">
      <c r="A10" s="24" t="s">
        <v>214</v>
      </c>
      <c r="B10" s="25">
        <f ca="1">'EF ele_warmte'!B12</f>
        <v>0.32491475139127535</v>
      </c>
      <c r="C10" s="25">
        <f ca="1">'EF ele_warmte'!B22</f>
        <v>0.21642390749403212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9646.9181099795078</v>
      </c>
      <c r="C12" s="23">
        <f ca="1">C10*C8</f>
        <v>0</v>
      </c>
      <c r="D12" s="23">
        <f>D8*D10</f>
        <v>15209.983878360877</v>
      </c>
      <c r="E12" s="23">
        <f>E10*E8</f>
        <v>283.44626156195608</v>
      </c>
      <c r="F12" s="23">
        <f>F10*F8</f>
        <v>2215.4822481569981</v>
      </c>
      <c r="G12" s="23"/>
      <c r="H12" s="23"/>
      <c r="I12" s="23"/>
      <c r="J12" s="23">
        <f>J10*J8</f>
        <v>295.5064585503398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3973</v>
      </c>
      <c r="C18" s="167" t="s">
        <v>111</v>
      </c>
      <c r="D18" s="229"/>
      <c r="E18" s="15"/>
    </row>
    <row r="19" spans="1:7">
      <c r="A19" s="172" t="s">
        <v>72</v>
      </c>
      <c r="B19" s="37">
        <f>aantalw2001_ander</f>
        <v>11</v>
      </c>
      <c r="C19" s="167" t="s">
        <v>111</v>
      </c>
      <c r="D19" s="230"/>
      <c r="E19" s="15"/>
    </row>
    <row r="20" spans="1:7">
      <c r="A20" s="172" t="s">
        <v>73</v>
      </c>
      <c r="B20" s="37">
        <f>aantalw2001_propaan</f>
        <v>28</v>
      </c>
      <c r="C20" s="168">
        <f>IF(ISERROR(B20/SUM($B$20,$B$21,$B$22)*100),0,B20/SUM($B$20,$B$21,$B$22)*100)</f>
        <v>4.4799999999999995</v>
      </c>
      <c r="D20" s="230"/>
      <c r="E20" s="15"/>
    </row>
    <row r="21" spans="1:7">
      <c r="A21" s="172" t="s">
        <v>74</v>
      </c>
      <c r="B21" s="37">
        <f>aantalw2001_elektriciteit</f>
        <v>541</v>
      </c>
      <c r="C21" s="168">
        <f>IF(ISERROR(B21/SUM($B$20,$B$21,$B$22)*100),0,B21/SUM($B$20,$B$21,$B$22)*100)</f>
        <v>86.56</v>
      </c>
      <c r="D21" s="230"/>
      <c r="E21" s="15"/>
    </row>
    <row r="22" spans="1:7">
      <c r="A22" s="172" t="s">
        <v>75</v>
      </c>
      <c r="B22" s="37">
        <f>aantalw2001_hout</f>
        <v>56</v>
      </c>
      <c r="C22" s="168">
        <f>IF(ISERROR(B22/SUM($B$20,$B$21,$B$22)*100),0,B22/SUM($B$20,$B$21,$B$22)*100)</f>
        <v>8.9599999999999991</v>
      </c>
      <c r="D22" s="230"/>
      <c r="E22" s="15"/>
    </row>
    <row r="23" spans="1:7">
      <c r="A23" s="172" t="s">
        <v>76</v>
      </c>
      <c r="B23" s="37">
        <f>aantalw2001_niet_gespec</f>
        <v>72</v>
      </c>
      <c r="C23" s="167" t="s">
        <v>111</v>
      </c>
      <c r="D23" s="229"/>
      <c r="E23" s="15"/>
    </row>
    <row r="24" spans="1:7">
      <c r="A24" s="172" t="s">
        <v>77</v>
      </c>
      <c r="B24" s="37">
        <f>aantalw2001_steenkool</f>
        <v>142</v>
      </c>
      <c r="C24" s="167" t="s">
        <v>111</v>
      </c>
      <c r="D24" s="230"/>
      <c r="E24" s="15"/>
    </row>
    <row r="25" spans="1:7">
      <c r="A25" s="172" t="s">
        <v>78</v>
      </c>
      <c r="B25" s="37">
        <f>aantalw2001_stookolie</f>
        <v>1380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6859</v>
      </c>
      <c r="C28" s="36"/>
      <c r="D28" s="229"/>
    </row>
    <row r="29" spans="1:7" s="15" customFormat="1">
      <c r="A29" s="231" t="s">
        <v>713</v>
      </c>
      <c r="B29" s="37">
        <f>SUM(HH_hh_gas_aantal,HH_rest_gas_aantal)</f>
        <v>5102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5102</v>
      </c>
      <c r="C32" s="168">
        <f>IF(ISERROR(B32/SUM($B$32,$B$34,$B$35,$B$36,$B$38,$B$39)*100),0,B32/SUM($B$32,$B$34,$B$35,$B$36,$B$38,$B$39)*100)</f>
        <v>74.481751824817522</v>
      </c>
      <c r="D32" s="234"/>
      <c r="G32" s="15"/>
    </row>
    <row r="33" spans="1:7">
      <c r="A33" s="172" t="s">
        <v>72</v>
      </c>
      <c r="B33" s="34" t="s">
        <v>111</v>
      </c>
      <c r="C33" s="168"/>
      <c r="D33" s="234"/>
      <c r="G33" s="15"/>
    </row>
    <row r="34" spans="1:7">
      <c r="A34" s="172" t="s">
        <v>73</v>
      </c>
      <c r="B34" s="33">
        <f>IF((($B$28-$B$32-$B$39-$B$77-$B$38)*C20/100)&lt;0,0,($B$28-$B$32-$B$39-$B$77-$B$38)*C20/100)</f>
        <v>60.703999999999994</v>
      </c>
      <c r="C34" s="168">
        <f>IF(ISERROR(B34/SUM($B$32,$B$34,$B$35,$B$36,$B$38,$B$39)*100),0,B34/SUM($B$32,$B$34,$B$35,$B$36,$B$38,$B$39)*100)</f>
        <v>0.88618978102189772</v>
      </c>
      <c r="D34" s="234"/>
      <c r="G34" s="15"/>
    </row>
    <row r="35" spans="1:7">
      <c r="A35" s="172" t="s">
        <v>74</v>
      </c>
      <c r="B35" s="33">
        <f>IF((($B$28-$B$32-$B$39-$B$77-$B$38)*C21/100)&lt;0,0,($B$28-$B$32-$B$39-$B$77-$B$38)*C21/100)</f>
        <v>1172.8879999999999</v>
      </c>
      <c r="C35" s="168">
        <f>IF(ISERROR(B35/SUM($B$32,$B$34,$B$35,$B$36,$B$38,$B$39)*100),0,B35/SUM($B$32,$B$34,$B$35,$B$36,$B$38,$B$39)*100)</f>
        <v>17.122452554744523</v>
      </c>
      <c r="D35" s="234"/>
      <c r="G35" s="15"/>
    </row>
    <row r="36" spans="1:7">
      <c r="A36" s="172" t="s">
        <v>75</v>
      </c>
      <c r="B36" s="33">
        <f>IF((($B$28-$B$32-$B$39-$B$77-$B$38)*C22/100)&lt;0,0,($B$28-$B$32-$B$39-$B$77-$B$38)*C22/100)</f>
        <v>121.40799999999999</v>
      </c>
      <c r="C36" s="168">
        <f>IF(ISERROR(B36/SUM($B$32,$B$34,$B$35,$B$36,$B$38,$B$39)*100),0,B36/SUM($B$32,$B$34,$B$35,$B$36,$B$38,$B$39)*100)</f>
        <v>1.7723795620437954</v>
      </c>
      <c r="D36" s="234"/>
      <c r="G36" s="15"/>
    </row>
    <row r="37" spans="1:7">
      <c r="A37" s="172" t="s">
        <v>76</v>
      </c>
      <c r="B37" s="34" t="s">
        <v>111</v>
      </c>
      <c r="C37" s="168"/>
      <c r="D37" s="174"/>
      <c r="G37" s="15"/>
    </row>
    <row r="38" spans="1:7">
      <c r="A38" s="172" t="s">
        <v>77</v>
      </c>
      <c r="B38" s="33">
        <f>IF((B24-(B29-B18)*0.1)&lt;0,0,B24-(B29-B18)*0.1)</f>
        <v>29.099999999999994</v>
      </c>
      <c r="C38" s="168">
        <f>IF(ISERROR(B38/SUM($B$32,$B$34,$B$35,$B$36,$B$38,$B$39)*100),0,B38/SUM($B$32,$B$34,$B$35,$B$36,$B$38,$B$39)*100)</f>
        <v>0.4248175182481751</v>
      </c>
      <c r="D38" s="235"/>
      <c r="G38" s="15"/>
    </row>
    <row r="39" spans="1:7">
      <c r="A39" s="172" t="s">
        <v>78</v>
      </c>
      <c r="B39" s="33">
        <f>IF((B25-(B29-B18))&lt;0,0,B25-(B29-B18)*0.9)</f>
        <v>363.9</v>
      </c>
      <c r="C39" s="168">
        <f>IF(ISERROR(B39/SUM($B$32,$B$34,$B$35,$B$36,$B$38,$B$39)*100),0,B39/SUM($B$32,$B$34,$B$35,$B$36,$B$38,$B$39)*100)</f>
        <v>5.3124087591240867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5102</v>
      </c>
      <c r="C44" s="34" t="s">
        <v>111</v>
      </c>
      <c r="D44" s="175"/>
    </row>
    <row r="45" spans="1:7">
      <c r="A45" s="172" t="s">
        <v>72</v>
      </c>
      <c r="B45" s="33" t="str">
        <f t="shared" si="0"/>
        <v>-</v>
      </c>
      <c r="C45" s="34" t="s">
        <v>111</v>
      </c>
      <c r="D45" s="175"/>
    </row>
    <row r="46" spans="1:7">
      <c r="A46" s="172" t="s">
        <v>73</v>
      </c>
      <c r="B46" s="33">
        <f t="shared" si="0"/>
        <v>60.703999999999994</v>
      </c>
      <c r="C46" s="34" t="s">
        <v>111</v>
      </c>
      <c r="D46" s="175"/>
    </row>
    <row r="47" spans="1:7">
      <c r="A47" s="172" t="s">
        <v>74</v>
      </c>
      <c r="B47" s="33">
        <f t="shared" si="0"/>
        <v>1172.8879999999999</v>
      </c>
      <c r="C47" s="34" t="s">
        <v>111</v>
      </c>
      <c r="D47" s="175"/>
    </row>
    <row r="48" spans="1:7">
      <c r="A48" s="172" t="s">
        <v>75</v>
      </c>
      <c r="B48" s="33">
        <f t="shared" si="0"/>
        <v>121.40799999999999</v>
      </c>
      <c r="C48" s="33">
        <f>B48*10</f>
        <v>1214.08</v>
      </c>
      <c r="D48" s="235"/>
    </row>
    <row r="49" spans="1:6">
      <c r="A49" s="172" t="s">
        <v>76</v>
      </c>
      <c r="B49" s="33" t="str">
        <f t="shared" si="0"/>
        <v>-</v>
      </c>
      <c r="C49" s="34" t="s">
        <v>111</v>
      </c>
      <c r="D49" s="235"/>
    </row>
    <row r="50" spans="1:6">
      <c r="A50" s="172" t="s">
        <v>77</v>
      </c>
      <c r="B50" s="33">
        <f t="shared" si="0"/>
        <v>29.099999999999994</v>
      </c>
      <c r="C50" s="33">
        <f>B50*2</f>
        <v>58.199999999999989</v>
      </c>
      <c r="D50" s="235"/>
    </row>
    <row r="51" spans="1:6">
      <c r="A51" s="172" t="s">
        <v>78</v>
      </c>
      <c r="B51" s="33">
        <f t="shared" si="0"/>
        <v>363.9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34137.74124424153</v>
      </c>
      <c r="C5" s="17">
        <f>IF(ISERROR('Eigen informatie GS &amp; warmtenet'!B58),0,'Eigen informatie GS &amp; warmtenet'!B58)</f>
        <v>0</v>
      </c>
      <c r="D5" s="30">
        <f>SUM(D6:D12)</f>
        <v>37036.409535314066</v>
      </c>
      <c r="E5" s="17">
        <f>SUM(E6:E12)</f>
        <v>364.71909949299959</v>
      </c>
      <c r="F5" s="17">
        <f>SUM(F6:F12)</f>
        <v>7865.6011799854614</v>
      </c>
      <c r="G5" s="18"/>
      <c r="H5" s="17"/>
      <c r="I5" s="17"/>
      <c r="J5" s="17">
        <f>SUM(J6:J12)</f>
        <v>0</v>
      </c>
      <c r="K5" s="17"/>
      <c r="L5" s="17"/>
      <c r="M5" s="17"/>
      <c r="N5" s="17">
        <f>SUM(N6:N12)</f>
        <v>3659.5722335770351</v>
      </c>
      <c r="O5" s="17">
        <f>B38*B39*B40</f>
        <v>0</v>
      </c>
      <c r="P5" s="17">
        <f>B46*B47*B48/1000-B46*B47*B48/1000/B49</f>
        <v>0</v>
      </c>
      <c r="R5" s="32"/>
    </row>
    <row r="6" spans="1:18">
      <c r="A6" s="32" t="s">
        <v>54</v>
      </c>
      <c r="B6" s="37">
        <f>B26</f>
        <v>2977.6440037950301</v>
      </c>
      <c r="C6" s="33"/>
      <c r="D6" s="37">
        <f>IF(ISERROR(TER_kantoor_gas_kWh/1000),0,TER_kantoor_gas_kWh/1000)*0.902</f>
        <v>3924.7582413558184</v>
      </c>
      <c r="E6" s="33">
        <f>$C$26*'E Balans VL '!I12/100/3.6*1000000</f>
        <v>104.22925342990695</v>
      </c>
      <c r="F6" s="33">
        <f>$C$26*('E Balans VL '!L12+'E Balans VL '!N12)/100/3.6*1000000</f>
        <v>451.47476036563745</v>
      </c>
      <c r="G6" s="34"/>
      <c r="H6" s="33"/>
      <c r="I6" s="33"/>
      <c r="J6" s="33">
        <f>$C$26*('E Balans VL '!D12+'E Balans VL '!E12)/100/3.6*1000000</f>
        <v>0</v>
      </c>
      <c r="K6" s="33"/>
      <c r="L6" s="33"/>
      <c r="M6" s="33"/>
      <c r="N6" s="33">
        <f>$C$26*'E Balans VL '!Y12/100/3.6*1000000</f>
        <v>23.016256172411556</v>
      </c>
      <c r="O6" s="33"/>
      <c r="P6" s="33"/>
      <c r="R6" s="32"/>
    </row>
    <row r="7" spans="1:18">
      <c r="A7" s="32" t="s">
        <v>53</v>
      </c>
      <c r="B7" s="37">
        <f t="shared" ref="B7:B12" si="0">B27</f>
        <v>1102.1583348473398</v>
      </c>
      <c r="C7" s="33"/>
      <c r="D7" s="37">
        <f>IF(ISERROR(TER_horeca_gas_kWh/1000),0,TER_horeca_gas_kWh/1000)*0.902</f>
        <v>1586.8148762487103</v>
      </c>
      <c r="E7" s="33">
        <f>$C$27*'E Balans VL '!I9/100/3.6*1000000</f>
        <v>62.176385222112899</v>
      </c>
      <c r="F7" s="33">
        <f>$C$27*('E Balans VL '!L9+'E Balans VL '!N9)/100/3.6*1000000</f>
        <v>192.00208135294454</v>
      </c>
      <c r="G7" s="34"/>
      <c r="H7" s="33"/>
      <c r="I7" s="33"/>
      <c r="J7" s="33">
        <f>$C$27*('E Balans VL '!D9+'E Balans VL '!E9)/100/3.6*1000000</f>
        <v>0</v>
      </c>
      <c r="K7" s="33"/>
      <c r="L7" s="33"/>
      <c r="M7" s="33"/>
      <c r="N7" s="33">
        <f>$C$27*'E Balans VL '!Y9/100/3.6*1000000</f>
        <v>0</v>
      </c>
      <c r="O7" s="33"/>
      <c r="P7" s="33"/>
      <c r="R7" s="32"/>
    </row>
    <row r="8" spans="1:18">
      <c r="A8" s="6" t="s">
        <v>52</v>
      </c>
      <c r="B8" s="37">
        <f t="shared" si="0"/>
        <v>3444.6573831441701</v>
      </c>
      <c r="C8" s="33"/>
      <c r="D8" s="37">
        <f>IF(ISERROR(TER_handel_gas_kWh/1000),0,TER_handel_gas_kWh/1000)*0.902</f>
        <v>1969.1224997780437</v>
      </c>
      <c r="E8" s="33">
        <f>$C$28*'E Balans VL '!I13/100/3.6*1000000</f>
        <v>17.684521032947817</v>
      </c>
      <c r="F8" s="33">
        <f>$C$28*('E Balans VL '!L13+'E Balans VL '!N13)/100/3.6*1000000</f>
        <v>531.11294306043351</v>
      </c>
      <c r="G8" s="34"/>
      <c r="H8" s="33"/>
      <c r="I8" s="33"/>
      <c r="J8" s="33">
        <f>$C$28*('E Balans VL '!D13+'E Balans VL '!E13)/100/3.6*1000000</f>
        <v>0</v>
      </c>
      <c r="K8" s="33"/>
      <c r="L8" s="33"/>
      <c r="M8" s="33"/>
      <c r="N8" s="33">
        <f>$C$28*'E Balans VL '!Y13/100/3.6*1000000</f>
        <v>1.6111083057996682</v>
      </c>
      <c r="O8" s="33"/>
      <c r="P8" s="33"/>
      <c r="R8" s="32"/>
    </row>
    <row r="9" spans="1:18">
      <c r="A9" s="32" t="s">
        <v>51</v>
      </c>
      <c r="B9" s="37">
        <f t="shared" si="0"/>
        <v>7500.9363903130707</v>
      </c>
      <c r="C9" s="33"/>
      <c r="D9" s="37">
        <f>IF(ISERROR(TER_gezond_gas_kWh/1000),0,TER_gezond_gas_kWh/1000)*0.902</f>
        <v>881.12936003047218</v>
      </c>
      <c r="E9" s="33">
        <f>$C$29*'E Balans VL '!I10/100/3.6*1000000</f>
        <v>3.1090847140303484</v>
      </c>
      <c r="F9" s="33">
        <f>$C$29*('E Balans VL '!L10+'E Balans VL '!N10)/100/3.6*1000000</f>
        <v>1847.3730551562005</v>
      </c>
      <c r="G9" s="34"/>
      <c r="H9" s="33"/>
      <c r="I9" s="33"/>
      <c r="J9" s="33">
        <f>$C$29*('E Balans VL '!D10+'E Balans VL '!E10)/100/3.6*1000000</f>
        <v>0</v>
      </c>
      <c r="K9" s="33"/>
      <c r="L9" s="33"/>
      <c r="M9" s="33"/>
      <c r="N9" s="33">
        <f>$C$29*'E Balans VL '!Y10/100/3.6*1000000</f>
        <v>64.826656168371954</v>
      </c>
      <c r="O9" s="33"/>
      <c r="P9" s="33"/>
      <c r="R9" s="32"/>
    </row>
    <row r="10" spans="1:18">
      <c r="A10" s="32" t="s">
        <v>50</v>
      </c>
      <c r="B10" s="37">
        <f t="shared" si="0"/>
        <v>14995.056703723199</v>
      </c>
      <c r="C10" s="33"/>
      <c r="D10" s="37">
        <f>IF(ISERROR(TER_ander_gas_kWh/1000),0,TER_ander_gas_kWh/1000)*0.902</f>
        <v>21276.374989005566</v>
      </c>
      <c r="E10" s="33">
        <f>$C$30*'E Balans VL '!I14/100/3.6*1000000</f>
        <v>91.410235634393942</v>
      </c>
      <c r="F10" s="33">
        <f>$C$30*('E Balans VL '!L14+'E Balans VL '!N14)/100/3.6*1000000</f>
        <v>3975.3949411333087</v>
      </c>
      <c r="G10" s="34"/>
      <c r="H10" s="33"/>
      <c r="I10" s="33"/>
      <c r="J10" s="33">
        <f>$C$30*('E Balans VL '!D14+'E Balans VL '!E14)/100/3.6*1000000</f>
        <v>0</v>
      </c>
      <c r="K10" s="33"/>
      <c r="L10" s="33"/>
      <c r="M10" s="33"/>
      <c r="N10" s="33">
        <f>$C$30*'E Balans VL '!Y14/100/3.6*1000000</f>
        <v>3456.0365508820187</v>
      </c>
      <c r="O10" s="33"/>
      <c r="P10" s="33"/>
      <c r="R10" s="32"/>
    </row>
    <row r="11" spans="1:18">
      <c r="A11" s="32" t="s">
        <v>55</v>
      </c>
      <c r="B11" s="37">
        <f t="shared" si="0"/>
        <v>106.0713709985</v>
      </c>
      <c r="C11" s="33"/>
      <c r="D11" s="37">
        <f>IF(ISERROR(TER_onderwijs_gas_kWh/1000),0,TER_onderwijs_gas_kWh/1000)*0.902</f>
        <v>1108.2994851120422</v>
      </c>
      <c r="E11" s="33">
        <f>$C$31*'E Balans VL '!I11/100/3.6*1000000</f>
        <v>8.0831907895493785E-2</v>
      </c>
      <c r="F11" s="33">
        <f>$C$31*('E Balans VL '!L11+'E Balans VL '!N11)/100/3.6*1000000</f>
        <v>76.759057007509668</v>
      </c>
      <c r="G11" s="34"/>
      <c r="H11" s="33"/>
      <c r="I11" s="33"/>
      <c r="J11" s="33">
        <f>$C$31*('E Balans VL '!D11+'E Balans VL '!E11)/100/3.6*1000000</f>
        <v>0</v>
      </c>
      <c r="K11" s="33"/>
      <c r="L11" s="33"/>
      <c r="M11" s="33"/>
      <c r="N11" s="33">
        <f>$C$31*'E Balans VL '!Y11/100/3.6*1000000</f>
        <v>0.31261768092831049</v>
      </c>
      <c r="O11" s="33"/>
      <c r="P11" s="33"/>
      <c r="R11" s="32"/>
    </row>
    <row r="12" spans="1:18">
      <c r="A12" s="32" t="s">
        <v>260</v>
      </c>
      <c r="B12" s="37">
        <f t="shared" si="0"/>
        <v>4011.21705742022</v>
      </c>
      <c r="C12" s="33"/>
      <c r="D12" s="37">
        <f>IF(ISERROR(TER_rest_gas_kWh/1000),0,TER_rest_gas_kWh/1000)*0.902</f>
        <v>6289.9100837834167</v>
      </c>
      <c r="E12" s="33">
        <f>$C$32*'E Balans VL '!I8/100/3.6*1000000</f>
        <v>86.028787551712099</v>
      </c>
      <c r="F12" s="33">
        <f>$C$32*('E Balans VL '!L8+'E Balans VL '!N8)/100/3.6*1000000</f>
        <v>791.48434190942714</v>
      </c>
      <c r="G12" s="34"/>
      <c r="H12" s="33"/>
      <c r="I12" s="33"/>
      <c r="J12" s="33">
        <f>$C$32*('E Balans VL '!D8+'E Balans VL '!E8)/100/3.6*1000000</f>
        <v>0</v>
      </c>
      <c r="K12" s="33"/>
      <c r="L12" s="33"/>
      <c r="M12" s="33"/>
      <c r="N12" s="33">
        <f>$C$32*'E Balans VL '!Y8/100/3.6*1000000</f>
        <v>113.769044367505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34137.74124424153</v>
      </c>
      <c r="C16" s="21">
        <f ca="1">C5+C13+C14</f>
        <v>0</v>
      </c>
      <c r="D16" s="21">
        <f t="shared" ref="D16:N16" ca="1" si="1">MAX((D5+D13+D14),0)</f>
        <v>37036.409535314066</v>
      </c>
      <c r="E16" s="21">
        <f t="shared" si="1"/>
        <v>364.71909949299959</v>
      </c>
      <c r="F16" s="21">
        <f t="shared" ca="1" si="1"/>
        <v>7865.6011799854614</v>
      </c>
      <c r="G16" s="21">
        <f t="shared" si="1"/>
        <v>0</v>
      </c>
      <c r="H16" s="21">
        <f t="shared" si="1"/>
        <v>0</v>
      </c>
      <c r="I16" s="21">
        <f t="shared" si="1"/>
        <v>0</v>
      </c>
      <c r="J16" s="21">
        <f t="shared" si="1"/>
        <v>0</v>
      </c>
      <c r="K16" s="21">
        <f t="shared" si="1"/>
        <v>0</v>
      </c>
      <c r="L16" s="21">
        <f t="shared" ca="1" si="1"/>
        <v>0</v>
      </c>
      <c r="M16" s="21">
        <f t="shared" si="1"/>
        <v>0</v>
      </c>
      <c r="N16" s="21">
        <f t="shared" ca="1" si="1"/>
        <v>3659.5722335770351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0.32491475139127535</v>
      </c>
      <c r="C18" s="25">
        <f ca="1">'EF ele_warmte'!B22</f>
        <v>0.21642390749403212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11091.855709432424</v>
      </c>
      <c r="C20" s="23">
        <f t="shared" ref="C20:P20" ca="1" si="2">C16*C18</f>
        <v>0</v>
      </c>
      <c r="D20" s="23">
        <f t="shared" ca="1" si="2"/>
        <v>7481.3547261334415</v>
      </c>
      <c r="E20" s="23">
        <f t="shared" si="2"/>
        <v>82.791235584910908</v>
      </c>
      <c r="F20" s="23">
        <f t="shared" ca="1" si="2"/>
        <v>2100.1155150561185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2977.6440037950301</v>
      </c>
      <c r="C26" s="39">
        <f>IF(ISERROR(B26*3.6/1000000/'E Balans VL '!Z12*100),0,B26*3.6/1000000/'E Balans VL '!Z12*100)</f>
        <v>6.2659580008985138E-2</v>
      </c>
      <c r="D26" s="238" t="s">
        <v>719</v>
      </c>
      <c r="F26" s="6"/>
    </row>
    <row r="27" spans="1:18">
      <c r="A27" s="232" t="s">
        <v>53</v>
      </c>
      <c r="B27" s="33">
        <f>IF(ISERROR(TER_horeca_ele_kWh/1000),0,TER_horeca_ele_kWh/1000)</f>
        <v>1102.1583348473398</v>
      </c>
      <c r="C27" s="39">
        <f>IF(ISERROR(B27*3.6/1000000/'E Balans VL '!Z9*100),0,B27*3.6/1000000/'E Balans VL '!Z9*100)</f>
        <v>9.3316649175283845E-2</v>
      </c>
      <c r="D27" s="238" t="s">
        <v>719</v>
      </c>
      <c r="F27" s="6"/>
    </row>
    <row r="28" spans="1:18">
      <c r="A28" s="172" t="s">
        <v>52</v>
      </c>
      <c r="B28" s="33">
        <f>IF(ISERROR(TER_handel_ele_kWh/1000),0,TER_handel_ele_kWh/1000)</f>
        <v>3444.6573831441701</v>
      </c>
      <c r="C28" s="39">
        <f>IF(ISERROR(B28*3.6/1000000/'E Balans VL '!Z13*100),0,B28*3.6/1000000/'E Balans VL '!Z13*100)</f>
        <v>9.5364863328410626E-2</v>
      </c>
      <c r="D28" s="238" t="s">
        <v>719</v>
      </c>
      <c r="F28" s="6"/>
    </row>
    <row r="29" spans="1:18">
      <c r="A29" s="232" t="s">
        <v>51</v>
      </c>
      <c r="B29" s="33">
        <f>IF(ISERROR(TER_gezond_ele_kWh/1000),0,TER_gezond_ele_kWh/1000)</f>
        <v>7500.9363903130707</v>
      </c>
      <c r="C29" s="39">
        <f>IF(ISERROR(B29*3.6/1000000/'E Balans VL '!Z10*100),0,B29*3.6/1000000/'E Balans VL '!Z10*100)</f>
        <v>0.97503857316549414</v>
      </c>
      <c r="D29" s="238" t="s">
        <v>719</v>
      </c>
      <c r="F29" s="6"/>
    </row>
    <row r="30" spans="1:18">
      <c r="A30" s="232" t="s">
        <v>50</v>
      </c>
      <c r="B30" s="33">
        <f>IF(ISERROR(TER_ander_ele_kWh/1000),0,TER_ander_ele_kWh/1000)</f>
        <v>14995.056703723199</v>
      </c>
      <c r="C30" s="39">
        <f>IF(ISERROR(B30*3.6/1000000/'E Balans VL '!Z14*100),0,B30*3.6/1000000/'E Balans VL '!Z14*100)</f>
        <v>1.1622544097134453</v>
      </c>
      <c r="D30" s="238" t="s">
        <v>719</v>
      </c>
      <c r="F30" s="6"/>
    </row>
    <row r="31" spans="1:18">
      <c r="A31" s="232" t="s">
        <v>55</v>
      </c>
      <c r="B31" s="33">
        <f>IF(ISERROR(TER_onderwijs_ele_kWh/1000),0,TER_onderwijs_ele_kWh/1000)</f>
        <v>106.0713709985</v>
      </c>
      <c r="C31" s="39">
        <f>IF(ISERROR(B31*3.6/1000000/'E Balans VL '!Z11*100),0,B31*3.6/1000000/'E Balans VL '!Z11*100)</f>
        <v>2.029326068992603E-2</v>
      </c>
      <c r="D31" s="238" t="s">
        <v>719</v>
      </c>
    </row>
    <row r="32" spans="1:18">
      <c r="A32" s="232" t="s">
        <v>260</v>
      </c>
      <c r="B32" s="33">
        <f>IF(ISERROR(TER_rest_ele_kWh/1000),0,TER_rest_ele_kWh/1000)</f>
        <v>4011.21705742022</v>
      </c>
      <c r="C32" s="39">
        <f>IF(ISERROR(B32*3.6/1000000/'E Balans VL '!Z8*100),0,B32*3.6/1000000/'E Balans VL '!Z8*100)</f>
        <v>3.3075564914435661E-2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75678.931605987877</v>
      </c>
      <c r="C5" s="17">
        <f>IF(ISERROR('Eigen informatie GS &amp; warmtenet'!B59),0,'Eigen informatie GS &amp; warmtenet'!B59)</f>
        <v>0</v>
      </c>
      <c r="D5" s="30">
        <f>SUM(D6:D15)</f>
        <v>320203.21895496215</v>
      </c>
      <c r="E5" s="17">
        <f>SUM(E6:E15)</f>
        <v>1923.6473332709793</v>
      </c>
      <c r="F5" s="17">
        <f>SUM(F6:F15)</f>
        <v>16208.570962765507</v>
      </c>
      <c r="G5" s="18"/>
      <c r="H5" s="17"/>
      <c r="I5" s="17"/>
      <c r="J5" s="17">
        <f>SUM(J6:J15)</f>
        <v>128.37697256037265</v>
      </c>
      <c r="K5" s="17"/>
      <c r="L5" s="17"/>
      <c r="M5" s="17"/>
      <c r="N5" s="17">
        <f>SUM(N6:N15)</f>
        <v>372.11389917252882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556.69197504311796</v>
      </c>
      <c r="C8" s="33"/>
      <c r="D8" s="37">
        <f>IF( ISERROR(IND_metaal_Gas_kWH/1000),0,IND_metaal_Gas_kWH/1000)*0.902</f>
        <v>344.73989731796121</v>
      </c>
      <c r="E8" s="33">
        <f>C30*'E Balans VL '!I18/100/3.6*1000000</f>
        <v>3.9117516801152301</v>
      </c>
      <c r="F8" s="33">
        <f>C30*'E Balans VL '!L18/100/3.6*1000000+C30*'E Balans VL '!N18/100/3.6*1000000</f>
        <v>61.121521891101693</v>
      </c>
      <c r="G8" s="34"/>
      <c r="H8" s="33"/>
      <c r="I8" s="33"/>
      <c r="J8" s="40">
        <f>C30*'E Balans VL '!D18/100/3.6*1000000+C30*'E Balans VL '!E18/100/3.6*1000000</f>
        <v>11.485755334442297</v>
      </c>
      <c r="K8" s="33"/>
      <c r="L8" s="33"/>
      <c r="M8" s="33"/>
      <c r="N8" s="33">
        <f>C30*'E Balans VL '!Y18/100/3.6*1000000</f>
        <v>2.0865216153746444</v>
      </c>
      <c r="O8" s="33"/>
      <c r="P8" s="33"/>
      <c r="R8" s="32"/>
    </row>
    <row r="9" spans="1:18">
      <c r="A9" s="6" t="s">
        <v>33</v>
      </c>
      <c r="B9" s="37">
        <f t="shared" si="0"/>
        <v>757.86210378035207</v>
      </c>
      <c r="C9" s="33"/>
      <c r="D9" s="37">
        <f>IF( ISERROR(IND_andere_gas_kWh/1000),0,IND_andere_gas_kWh/1000)*0.902</f>
        <v>702.55798109959494</v>
      </c>
      <c r="E9" s="33">
        <f>C31*'E Balans VL '!I19/100/3.6*1000000</f>
        <v>12.729222443710647</v>
      </c>
      <c r="F9" s="33">
        <f>C31*'E Balans VL '!L19/100/3.6*1000000+C31*'E Balans VL '!N19/100/3.6*1000000</f>
        <v>592.45342813304399</v>
      </c>
      <c r="G9" s="34"/>
      <c r="H9" s="33"/>
      <c r="I9" s="33"/>
      <c r="J9" s="40">
        <f>C31*'E Balans VL '!D19/100/3.6*1000000+C31*'E Balans VL '!E19/100/3.6*1000000</f>
        <v>6.8352471820486163E-2</v>
      </c>
      <c r="K9" s="33"/>
      <c r="L9" s="33"/>
      <c r="M9" s="33"/>
      <c r="N9" s="33">
        <f>C31*'E Balans VL '!Y19/100/3.6*1000000</f>
        <v>56.169740717149324</v>
      </c>
      <c r="O9" s="33"/>
      <c r="P9" s="33"/>
      <c r="R9" s="32"/>
    </row>
    <row r="10" spans="1:18">
      <c r="A10" s="6" t="s">
        <v>41</v>
      </c>
      <c r="B10" s="37">
        <f t="shared" si="0"/>
        <v>450.54351711360596</v>
      </c>
      <c r="C10" s="33"/>
      <c r="D10" s="37">
        <f>IF( ISERROR(IND_voed_gas_kWh/1000),0,IND_voed_gas_kWh/1000)*0.902</f>
        <v>152.5942331023146</v>
      </c>
      <c r="E10" s="33">
        <f>C32*'E Balans VL '!I20/100/3.6*1000000</f>
        <v>4.110571826795006</v>
      </c>
      <c r="F10" s="33">
        <f>C32*'E Balans VL '!L20/100/3.6*1000000+C32*'E Balans VL '!N20/100/3.6*1000000</f>
        <v>72.686761486937087</v>
      </c>
      <c r="G10" s="34"/>
      <c r="H10" s="33"/>
      <c r="I10" s="33"/>
      <c r="J10" s="40">
        <f>C32*'E Balans VL '!D20/100/3.6*1000000+C32*'E Balans VL '!E20/100/3.6*1000000</f>
        <v>1.8556335941020563</v>
      </c>
      <c r="K10" s="33"/>
      <c r="L10" s="33"/>
      <c r="M10" s="33"/>
      <c r="N10" s="33">
        <f>C32*'E Balans VL '!Y20/100/3.6*1000000</f>
        <v>6.5910963918379606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56839.540648555303</v>
      </c>
      <c r="C13" s="33"/>
      <c r="D13" s="37">
        <f>IF( ISERROR(IND_papier_gas_kWh/1000),0,IND_papier_gas_kWh/1000)*0.902</f>
        <v>0</v>
      </c>
      <c r="E13" s="33">
        <f>C35*'E Balans VL '!I23/100/3.6*1000000</f>
        <v>1748.8043277663069</v>
      </c>
      <c r="F13" s="33">
        <f>C35*'E Balans VL '!L23/100/3.6*1000000+C35*'E Balans VL '!N23/100/3.6*1000000</f>
        <v>12069.020904271252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17074.2933614955</v>
      </c>
      <c r="C15" s="33"/>
      <c r="D15" s="37">
        <f>IF( ISERROR(IND_rest_gas_kWh/1000),0,IND_rest_gas_kWh/1000)*0.902</f>
        <v>319003.32684344228</v>
      </c>
      <c r="E15" s="33">
        <f>C37*'E Balans VL '!I15/100/3.6*1000000</f>
        <v>154.09145955405145</v>
      </c>
      <c r="F15" s="33">
        <f>C37*'E Balans VL '!L15/100/3.6*1000000+C37*'E Balans VL '!N15/100/3.6*1000000</f>
        <v>3413.2883469831722</v>
      </c>
      <c r="G15" s="34"/>
      <c r="H15" s="33"/>
      <c r="I15" s="33"/>
      <c r="J15" s="40">
        <f>C37*'E Balans VL '!D15/100/3.6*1000000+C37*'E Balans VL '!E15/100/3.6*1000000</f>
        <v>114.9672311600078</v>
      </c>
      <c r="K15" s="33"/>
      <c r="L15" s="33"/>
      <c r="M15" s="33"/>
      <c r="N15" s="33">
        <f>C37*'E Balans VL '!Y15/100/3.6*1000000</f>
        <v>307.26654044816689</v>
      </c>
      <c r="O15" s="33"/>
      <c r="P15" s="33"/>
      <c r="R15" s="32"/>
    </row>
    <row r="16" spans="1:18">
      <c r="A16" s="16" t="s">
        <v>496</v>
      </c>
      <c r="B16" s="248">
        <f>'lokale energieproductie'!N90+'lokale energieproductie'!N59</f>
        <v>2340</v>
      </c>
      <c r="C16" s="248">
        <f>'lokale energieproductie'!O90+'lokale energieproductie'!O59</f>
        <v>3342.8571428571431</v>
      </c>
      <c r="D16" s="311">
        <f>('lokale energieproductie'!P59+'lokale energieproductie'!P90)*(-1)</f>
        <v>-6685.7142857142862</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78018.931605987877</v>
      </c>
      <c r="C18" s="21">
        <f>C5+C16</f>
        <v>3342.8571428571431</v>
      </c>
      <c r="D18" s="21">
        <f>MAX((D5+D16),0)</f>
        <v>313517.50466924789</v>
      </c>
      <c r="E18" s="21">
        <f>MAX((E5+E16),0)</f>
        <v>1923.6473332709793</v>
      </c>
      <c r="F18" s="21">
        <f>MAX((F5+F16),0)</f>
        <v>16208.570962765507</v>
      </c>
      <c r="G18" s="21"/>
      <c r="H18" s="21"/>
      <c r="I18" s="21"/>
      <c r="J18" s="21">
        <f>MAX((J5+J16),0)</f>
        <v>128.37697256037265</v>
      </c>
      <c r="K18" s="21"/>
      <c r="L18" s="21">
        <f>MAX((L5+L16),0)</f>
        <v>0</v>
      </c>
      <c r="M18" s="21"/>
      <c r="N18" s="21">
        <f>MAX((N5+N16),0)</f>
        <v>372.11389917252882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0.32491475139127535</v>
      </c>
      <c r="C20" s="25">
        <f ca="1">'EF ele_warmte'!B22</f>
        <v>0.21642390749403212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25349.501766572466</v>
      </c>
      <c r="C22" s="23">
        <f ca="1">C18*C20</f>
        <v>723.47420505147886</v>
      </c>
      <c r="D22" s="23">
        <f>D18*D20</f>
        <v>63330.535943188079</v>
      </c>
      <c r="E22" s="23">
        <f>E18*E20</f>
        <v>436.66794465251229</v>
      </c>
      <c r="F22" s="23">
        <f>F18*F20</f>
        <v>4327.6884470583909</v>
      </c>
      <c r="G22" s="23"/>
      <c r="H22" s="23"/>
      <c r="I22" s="23"/>
      <c r="J22" s="23">
        <f>J18*J20</f>
        <v>45.445448286371914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556.69197504311796</v>
      </c>
      <c r="C30" s="39">
        <f>IF(ISERROR(B30*3.6/1000000/'E Balans VL '!Z18*100),0,B30*3.6/1000000/'E Balans VL '!Z18*100)</f>
        <v>3.705932472322708E-2</v>
      </c>
      <c r="D30" s="238" t="s">
        <v>719</v>
      </c>
    </row>
    <row r="31" spans="1:18">
      <c r="A31" s="6" t="s">
        <v>33</v>
      </c>
      <c r="B31" s="37">
        <f>IF( ISERROR(IND_ander_ele_kWh/1000),0,IND_ander_ele_kWh/1000)</f>
        <v>757.86210378035207</v>
      </c>
      <c r="C31" s="39">
        <f>IF(ISERROR(B31*3.6/1000000/'E Balans VL '!Z19*100),0,B31*3.6/1000000/'E Balans VL '!Z19*100)</f>
        <v>3.3593023693344735E-2</v>
      </c>
      <c r="D31" s="238" t="s">
        <v>719</v>
      </c>
    </row>
    <row r="32" spans="1:18">
      <c r="A32" s="172" t="s">
        <v>41</v>
      </c>
      <c r="B32" s="37">
        <f>IF( ISERROR(IND_voed_ele_kWh/1000),0,IND_voed_ele_kWh/1000)</f>
        <v>450.54351711360596</v>
      </c>
      <c r="C32" s="39">
        <f>IF(ISERROR(B32*3.6/1000000/'E Balans VL '!Z20*100),0,B32*3.6/1000000/'E Balans VL '!Z20*100)</f>
        <v>1.5049445913670344E-2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56839.540648555303</v>
      </c>
      <c r="C35" s="39">
        <f>IF(ISERROR(B35*3.6/1000000/'E Balans VL '!Z22*100),0,B35*3.6/1000000/'E Balans VL '!Z22*100)</f>
        <v>11.054666309280005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17074.2933614955</v>
      </c>
      <c r="C37" s="39">
        <f>IF(ISERROR(B37*3.6/1000000/'E Balans VL '!Z15*100),0,B37*3.6/1000000/'E Balans VL '!Z15*100)</f>
        <v>0.12700492620624654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7447.4472759344999</v>
      </c>
      <c r="C5" s="17">
        <f>'Eigen informatie GS &amp; warmtenet'!B60</f>
        <v>0</v>
      </c>
      <c r="D5" s="30">
        <f>IF(ISERROR(SUM(LB_lb_gas_kWh,LB_rest_gas_kWh)/1000),0,SUM(LB_lb_gas_kWh,LB_rest_gas_kWh)/1000)*0.902</f>
        <v>246056.06692039312</v>
      </c>
      <c r="E5" s="17">
        <f>B17*'E Balans VL '!I25/3.6*1000000/100</f>
        <v>77.991280180171842</v>
      </c>
      <c r="F5" s="17">
        <f>B17*('E Balans VL '!L25/3.6*1000000+'E Balans VL '!N25/3.6*1000000)/100</f>
        <v>31880.733199105027</v>
      </c>
      <c r="G5" s="18"/>
      <c r="H5" s="17"/>
      <c r="I5" s="17"/>
      <c r="J5" s="17">
        <f>('E Balans VL '!D25+'E Balans VL '!E25)/3.6*1000000*landbouw!B17/100</f>
        <v>665.12379434966192</v>
      </c>
      <c r="K5" s="17"/>
      <c r="L5" s="17">
        <f>L6*(-1)</f>
        <v>23987.8125</v>
      </c>
      <c r="M5" s="17"/>
      <c r="N5" s="17">
        <f>N6*(-1)</f>
        <v>0</v>
      </c>
      <c r="O5" s="17"/>
      <c r="P5" s="17"/>
      <c r="R5" s="32"/>
    </row>
    <row r="6" spans="1:18">
      <c r="A6" s="16" t="s">
        <v>496</v>
      </c>
      <c r="B6" s="17" t="s">
        <v>211</v>
      </c>
      <c r="C6" s="17">
        <f>'lokale energieproductie'!O92+'lokale energieproductie'!O61</f>
        <v>114954.83035714284</v>
      </c>
      <c r="D6" s="311">
        <f>('lokale energieproductie'!P61+'lokale energieproductie'!P92)*(-1)</f>
        <v>-201124.28571428574</v>
      </c>
      <c r="E6" s="249"/>
      <c r="F6" s="311">
        <f>('lokale energieproductie'!S61+'lokale energieproductie'!S92)*(-1)</f>
        <v>-7995.9375</v>
      </c>
      <c r="G6" s="250"/>
      <c r="H6" s="249"/>
      <c r="I6" s="249"/>
      <c r="J6" s="249"/>
      <c r="K6" s="249"/>
      <c r="L6" s="311">
        <f>('lokale energieproductie'!T61+'lokale energieproductie'!U61+'lokale energieproductie'!T92+'lokale energieproductie'!U92)*(-1)</f>
        <v>-23987.8125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7447.4472759344999</v>
      </c>
      <c r="C8" s="21">
        <f>C5+C6</f>
        <v>114954.83035714284</v>
      </c>
      <c r="D8" s="21">
        <f>MAX((D5+D6),0)</f>
        <v>44931.781206107378</v>
      </c>
      <c r="E8" s="21">
        <f>MAX((E5+E6),0)</f>
        <v>77.991280180171842</v>
      </c>
      <c r="F8" s="21">
        <f>MAX((F5+F6),0)</f>
        <v>23884.795699105027</v>
      </c>
      <c r="G8" s="21"/>
      <c r="H8" s="21"/>
      <c r="I8" s="21"/>
      <c r="J8" s="21">
        <f>MAX((J5+J6),0)</f>
        <v>665.12379434966192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0.32491475139127535</v>
      </c>
      <c r="C10" s="31">
        <f ca="1">'EF ele_warmte'!B22</f>
        <v>0.21642390749403212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2419.7854801598887</v>
      </c>
      <c r="C12" s="23">
        <f ca="1">C8*C10</f>
        <v>24878.973571206436</v>
      </c>
      <c r="D12" s="23">
        <f>D8*D10</f>
        <v>9076.2198036336904</v>
      </c>
      <c r="E12" s="23">
        <f>E8*E10</f>
        <v>17.704020600899007</v>
      </c>
      <c r="F12" s="23">
        <f>F8*F10</f>
        <v>6377.2404516610422</v>
      </c>
      <c r="G12" s="23"/>
      <c r="H12" s="23"/>
      <c r="I12" s="23"/>
      <c r="J12" s="23">
        <f>J8*J10</f>
        <v>235.45382319978032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1.1463058980657934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44.983252725362341</v>
      </c>
      <c r="C26" s="248">
        <f>B26*'GWP N2O_CH4'!B5</f>
        <v>944.64830723260911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6.4378695409361519</v>
      </c>
      <c r="C27" s="248">
        <f>B27*'GWP N2O_CH4'!B5</f>
        <v>135.19526035965919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0.59762527250291686</v>
      </c>
      <c r="C28" s="248">
        <f>B28*'GWP N2O_CH4'!B4</f>
        <v>185.26383447590422</v>
      </c>
      <c r="D28" s="50"/>
    </row>
    <row r="29" spans="1:4">
      <c r="A29" s="41" t="s">
        <v>277</v>
      </c>
      <c r="B29" s="248">
        <f>B34*'ha_N2O bodem landbouw'!B4</f>
        <v>6.0100376603603012</v>
      </c>
      <c r="C29" s="248">
        <f>B29*'GWP N2O_CH4'!B4</f>
        <v>1863.1116747116935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9.9323765738653595E-4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9.5751006176796699E-7</v>
      </c>
      <c r="C5" s="446" t="s">
        <v>211</v>
      </c>
      <c r="D5" s="431">
        <f>SUM(D6:D11)</f>
        <v>4.451148802424119E-6</v>
      </c>
      <c r="E5" s="431">
        <f>SUM(E6:E11)</f>
        <v>4.5650556817320343E-4</v>
      </c>
      <c r="F5" s="444" t="s">
        <v>211</v>
      </c>
      <c r="G5" s="431">
        <f>SUM(G6:G11)</f>
        <v>8.2383584976694749E-2</v>
      </c>
      <c r="H5" s="431">
        <f>SUM(H6:H11)</f>
        <v>1.4894801070566939E-2</v>
      </c>
      <c r="I5" s="446" t="s">
        <v>211</v>
      </c>
      <c r="J5" s="446" t="s">
        <v>211</v>
      </c>
      <c r="K5" s="446" t="s">
        <v>211</v>
      </c>
      <c r="L5" s="446" t="s">
        <v>211</v>
      </c>
      <c r="M5" s="431">
        <f>SUM(M6:M11)</f>
        <v>4.246621869300699E-3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8.6302006388182924E-7</v>
      </c>
      <c r="C6" s="432"/>
      <c r="D6" s="432">
        <f>vkm_2011_GW_PW*SUMIFS(TableVerdeelsleutelVkm[CNG],TableVerdeelsleutelVkm[Voertuigtype],"Lichte voertuigen")*SUMIFS(TableECFTransport[EnergieConsumptieFactor (PJ per km)],TableECFTransport[Index],CONCATENATE($A6,"_CNG_CNG"))</f>
        <v>3.7203791780531014E-6</v>
      </c>
      <c r="E6" s="434">
        <f>vkm_2011_GW_PW*SUMIFS(TableVerdeelsleutelVkm[LPG],TableVerdeelsleutelVkm[Voertuigtype],"Lichte voertuigen")*SUMIFS(TableECFTransport[EnergieConsumptieFactor (PJ per km)],TableECFTransport[Index],CONCATENATE($A6,"_LPG_LPG"))</f>
        <v>3.8708262570890056E-4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4.7612225611954467E-2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1.2535312334520581E-2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2.6359534711619687E-3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2.617730229288644E-2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8.9758342004093364E-6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1.1308104112936028E-3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9.4489997886137769E-8</v>
      </c>
      <c r="C8" s="432"/>
      <c r="D8" s="434">
        <f>vkm_2011_NGW_PW*SUMIFS(TableVerdeelsleutelVkm[CNG],TableVerdeelsleutelVkm[Voertuigtype],"Lichte voertuigen")*SUMIFS(TableECFTransport[EnergieConsumptieFactor (PJ per km)],TableECFTransport[Index],CONCATENATE($A8,"_CNG_CNG"))</f>
        <v>7.3076962437101789E-7</v>
      </c>
      <c r="E8" s="434">
        <f>vkm_2011_NGW_PW*SUMIFS(TableVerdeelsleutelVkm[LPG],TableVerdeelsleutelVkm[Voertuigtype],"Lichte voertuigen")*SUMIFS(TableECFTransport[EnergieConsumptieFactor (PJ per km)],TableECFTransport[Index],CONCATENATE($A8,"_LPG_LPG"))</f>
        <v>6.9422942464302862E-5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8.0992486300269888E-3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2.3503655114102784E-3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4.5848421971312069E-4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4.9480844182685246E-4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1.4739043566859631E-7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2.1373767132007318E-5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0.26597501715776861</v>
      </c>
      <c r="C14" s="21"/>
      <c r="D14" s="21">
        <f t="shared" ref="D14:M14" si="0">((D5)*10^9/3600)+D12</f>
        <v>1.2364302228955886</v>
      </c>
      <c r="E14" s="21">
        <f t="shared" si="0"/>
        <v>126.80710227033428</v>
      </c>
      <c r="F14" s="21"/>
      <c r="G14" s="21">
        <f t="shared" si="0"/>
        <v>22884.329160192985</v>
      </c>
      <c r="H14" s="21">
        <f t="shared" si="0"/>
        <v>4137.4447418241498</v>
      </c>
      <c r="I14" s="21"/>
      <c r="J14" s="21"/>
      <c r="K14" s="21"/>
      <c r="L14" s="21"/>
      <c r="M14" s="21">
        <f t="shared" si="0"/>
        <v>1179.6171859168608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0.32491475139127535</v>
      </c>
      <c r="C16" s="56">
        <f ca="1">'EF ele_warmte'!B22</f>
        <v>0.21642390749403212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8.6419206576106578E-2</v>
      </c>
      <c r="C18" s="23"/>
      <c r="D18" s="23">
        <f t="shared" ref="D18:M18" si="1">D14*D16</f>
        <v>0.24975890502490891</v>
      </c>
      <c r="E18" s="23">
        <f t="shared" si="1"/>
        <v>28.785212215365885</v>
      </c>
      <c r="F18" s="23"/>
      <c r="G18" s="23">
        <f t="shared" si="1"/>
        <v>6110.1158857715272</v>
      </c>
      <c r="H18" s="23">
        <f t="shared" si="1"/>
        <v>1030.2237407142134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5.2250722161753249E-3</v>
      </c>
      <c r="H50" s="322">
        <f t="shared" si="2"/>
        <v>0</v>
      </c>
      <c r="I50" s="322">
        <f t="shared" si="2"/>
        <v>0</v>
      </c>
      <c r="J50" s="322">
        <f t="shared" si="2"/>
        <v>0</v>
      </c>
      <c r="K50" s="322">
        <f t="shared" si="2"/>
        <v>0</v>
      </c>
      <c r="L50" s="322">
        <f t="shared" si="2"/>
        <v>0</v>
      </c>
      <c r="M50" s="322">
        <f t="shared" si="2"/>
        <v>2.227221283717511E-4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5.2250722161753249E-3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2.227221283717511E-4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1451.4089489375904</v>
      </c>
      <c r="H54" s="21">
        <f t="shared" si="3"/>
        <v>0</v>
      </c>
      <c r="I54" s="21">
        <f t="shared" si="3"/>
        <v>0</v>
      </c>
      <c r="J54" s="21">
        <f t="shared" si="3"/>
        <v>0</v>
      </c>
      <c r="K54" s="21">
        <f t="shared" si="3"/>
        <v>0</v>
      </c>
      <c r="L54" s="21">
        <f t="shared" si="3"/>
        <v>0</v>
      </c>
      <c r="M54" s="21">
        <f t="shared" si="3"/>
        <v>61.867257881041965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0.32491475139127535</v>
      </c>
      <c r="C56" s="56">
        <f ca="1">'EF ele_warmte'!B22</f>
        <v>0.21642390749403212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387.52618936633667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35415.283244241531</v>
      </c>
      <c r="D10" s="687">
        <f ca="1">tertiair!C16</f>
        <v>0</v>
      </c>
      <c r="E10" s="687">
        <f ca="1">tertiair!D16</f>
        <v>37036.409535314066</v>
      </c>
      <c r="F10" s="687">
        <f>tertiair!E16</f>
        <v>364.71909949299959</v>
      </c>
      <c r="G10" s="687">
        <f ca="1">tertiair!F16</f>
        <v>7865.6011799854614</v>
      </c>
      <c r="H10" s="687">
        <f>tertiair!G16</f>
        <v>0</v>
      </c>
      <c r="I10" s="687">
        <f>tertiair!H16</f>
        <v>0</v>
      </c>
      <c r="J10" s="687">
        <f>tertiair!I16</f>
        <v>0</v>
      </c>
      <c r="K10" s="687">
        <f>tertiair!J16</f>
        <v>0</v>
      </c>
      <c r="L10" s="687">
        <f>tertiair!K16</f>
        <v>0</v>
      </c>
      <c r="M10" s="687">
        <f ca="1">tertiair!L16</f>
        <v>0</v>
      </c>
      <c r="N10" s="687">
        <f>tertiair!M16</f>
        <v>0</v>
      </c>
      <c r="O10" s="687">
        <f ca="1">tertiair!N16</f>
        <v>3659.5722335770351</v>
      </c>
      <c r="P10" s="687">
        <f>tertiair!O16</f>
        <v>0</v>
      </c>
      <c r="Q10" s="688">
        <f>tertiair!P16</f>
        <v>0</v>
      </c>
      <c r="R10" s="690">
        <f ca="1">SUM(C10:Q10)</f>
        <v>84341.585292611097</v>
      </c>
      <c r="S10" s="67"/>
    </row>
    <row r="11" spans="1:19" s="456" customFormat="1">
      <c r="A11" s="802" t="s">
        <v>225</v>
      </c>
      <c r="B11" s="807"/>
      <c r="C11" s="687">
        <f>huishoudens!B8</f>
        <v>29690.612902835866</v>
      </c>
      <c r="D11" s="687">
        <f>huishoudens!C8</f>
        <v>0</v>
      </c>
      <c r="E11" s="687">
        <f>huishoudens!D8</f>
        <v>75296.949892875622</v>
      </c>
      <c r="F11" s="687">
        <f>huishoudens!E8</f>
        <v>1248.6619452068549</v>
      </c>
      <c r="G11" s="687">
        <f>huishoudens!F8</f>
        <v>8297.6863226853857</v>
      </c>
      <c r="H11" s="687">
        <f>huishoudens!G8</f>
        <v>0</v>
      </c>
      <c r="I11" s="687">
        <f>huishoudens!H8</f>
        <v>0</v>
      </c>
      <c r="J11" s="687">
        <f>huishoudens!I8</f>
        <v>0</v>
      </c>
      <c r="K11" s="687">
        <f>huishoudens!J8</f>
        <v>834.7640072043497</v>
      </c>
      <c r="L11" s="687">
        <f>huishoudens!K8</f>
        <v>0</v>
      </c>
      <c r="M11" s="687">
        <f>huishoudens!L8</f>
        <v>0</v>
      </c>
      <c r="N11" s="687">
        <f>huishoudens!M8</f>
        <v>0</v>
      </c>
      <c r="O11" s="687">
        <f>huishoudens!N8</f>
        <v>7225.6142556371396</v>
      </c>
      <c r="P11" s="687">
        <f>huishoudens!O8</f>
        <v>75.040000000000006</v>
      </c>
      <c r="Q11" s="688">
        <f>huishoudens!P8</f>
        <v>171.6</v>
      </c>
      <c r="R11" s="690">
        <f>SUM(C11:Q11)</f>
        <v>122840.92932644521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78018.931605987877</v>
      </c>
      <c r="D13" s="687">
        <f>industrie!C18</f>
        <v>3342.8571428571431</v>
      </c>
      <c r="E13" s="687">
        <f>industrie!D18</f>
        <v>313517.50466924789</v>
      </c>
      <c r="F13" s="687">
        <f>industrie!E18</f>
        <v>1923.6473332709793</v>
      </c>
      <c r="G13" s="687">
        <f>industrie!F18</f>
        <v>16208.570962765507</v>
      </c>
      <c r="H13" s="687">
        <f>industrie!G18</f>
        <v>0</v>
      </c>
      <c r="I13" s="687">
        <f>industrie!H18</f>
        <v>0</v>
      </c>
      <c r="J13" s="687">
        <f>industrie!I18</f>
        <v>0</v>
      </c>
      <c r="K13" s="687">
        <f>industrie!J18</f>
        <v>128.37697256037265</v>
      </c>
      <c r="L13" s="687">
        <f>industrie!K18</f>
        <v>0</v>
      </c>
      <c r="M13" s="687">
        <f>industrie!L18</f>
        <v>0</v>
      </c>
      <c r="N13" s="687">
        <f>industrie!M18</f>
        <v>0</v>
      </c>
      <c r="O13" s="687">
        <f>industrie!N18</f>
        <v>372.11389917252882</v>
      </c>
      <c r="P13" s="687">
        <f>industrie!O18</f>
        <v>0</v>
      </c>
      <c r="Q13" s="688">
        <f>industrie!P18</f>
        <v>0</v>
      </c>
      <c r="R13" s="690">
        <f>SUM(C13:Q13)</f>
        <v>413512.00258586224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143124.82775306527</v>
      </c>
      <c r="D16" s="720">
        <f t="shared" ref="D16:R16" ca="1" si="0">SUM(D9:D15)</f>
        <v>3342.8571428571431</v>
      </c>
      <c r="E16" s="720">
        <f t="shared" ca="1" si="0"/>
        <v>425850.86409743759</v>
      </c>
      <c r="F16" s="720">
        <f t="shared" si="0"/>
        <v>3537.0283779708338</v>
      </c>
      <c r="G16" s="720">
        <f t="shared" ca="1" si="0"/>
        <v>32371.858465436351</v>
      </c>
      <c r="H16" s="720">
        <f t="shared" si="0"/>
        <v>0</v>
      </c>
      <c r="I16" s="720">
        <f t="shared" si="0"/>
        <v>0</v>
      </c>
      <c r="J16" s="720">
        <f t="shared" si="0"/>
        <v>0</v>
      </c>
      <c r="K16" s="720">
        <f t="shared" si="0"/>
        <v>963.14097976472237</v>
      </c>
      <c r="L16" s="720">
        <f t="shared" si="0"/>
        <v>0</v>
      </c>
      <c r="M16" s="720">
        <f t="shared" ca="1" si="0"/>
        <v>0</v>
      </c>
      <c r="N16" s="720">
        <f t="shared" si="0"/>
        <v>0</v>
      </c>
      <c r="O16" s="720">
        <f t="shared" ca="1" si="0"/>
        <v>11257.300388386704</v>
      </c>
      <c r="P16" s="720">
        <f t="shared" si="0"/>
        <v>75.040000000000006</v>
      </c>
      <c r="Q16" s="720">
        <f t="shared" si="0"/>
        <v>171.6</v>
      </c>
      <c r="R16" s="720">
        <f t="shared" ca="1" si="0"/>
        <v>620694.51720491855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1451.4089489375904</v>
      </c>
      <c r="I19" s="687">
        <f>transport!H54</f>
        <v>0</v>
      </c>
      <c r="J19" s="687">
        <f>transport!I54</f>
        <v>0</v>
      </c>
      <c r="K19" s="687">
        <f>transport!J54</f>
        <v>0</v>
      </c>
      <c r="L19" s="687">
        <f>transport!K54</f>
        <v>0</v>
      </c>
      <c r="M19" s="687">
        <f>transport!L54</f>
        <v>0</v>
      </c>
      <c r="N19" s="687">
        <f>transport!M54</f>
        <v>61.867257881041965</v>
      </c>
      <c r="O19" s="687">
        <f>transport!N54</f>
        <v>0</v>
      </c>
      <c r="P19" s="687">
        <f>transport!O54</f>
        <v>0</v>
      </c>
      <c r="Q19" s="688">
        <f>transport!P54</f>
        <v>0</v>
      </c>
      <c r="R19" s="690">
        <f>SUM(C19:Q19)</f>
        <v>1513.2762068186323</v>
      </c>
      <c r="S19" s="67"/>
    </row>
    <row r="20" spans="1:19" s="456" customFormat="1">
      <c r="A20" s="802" t="s">
        <v>307</v>
      </c>
      <c r="B20" s="807"/>
      <c r="C20" s="687">
        <f>transport!B14</f>
        <v>0.26597501715776861</v>
      </c>
      <c r="D20" s="687">
        <f>transport!C14</f>
        <v>0</v>
      </c>
      <c r="E20" s="687">
        <f>transport!D14</f>
        <v>1.2364302228955886</v>
      </c>
      <c r="F20" s="687">
        <f>transport!E14</f>
        <v>126.80710227033428</v>
      </c>
      <c r="G20" s="687">
        <f>transport!F14</f>
        <v>0</v>
      </c>
      <c r="H20" s="687">
        <f>transport!G14</f>
        <v>22884.329160192985</v>
      </c>
      <c r="I20" s="687">
        <f>transport!H14</f>
        <v>4137.4447418241498</v>
      </c>
      <c r="J20" s="687">
        <f>transport!I14</f>
        <v>0</v>
      </c>
      <c r="K20" s="687">
        <f>transport!J14</f>
        <v>0</v>
      </c>
      <c r="L20" s="687">
        <f>transport!K14</f>
        <v>0</v>
      </c>
      <c r="M20" s="687">
        <f>transport!L14</f>
        <v>0</v>
      </c>
      <c r="N20" s="687">
        <f>transport!M14</f>
        <v>1179.6171859168608</v>
      </c>
      <c r="O20" s="687">
        <f>transport!N14</f>
        <v>0</v>
      </c>
      <c r="P20" s="687">
        <f>transport!O14</f>
        <v>0</v>
      </c>
      <c r="Q20" s="688">
        <f>transport!P14</f>
        <v>0</v>
      </c>
      <c r="R20" s="690">
        <f>SUM(C20:Q20)</f>
        <v>28329.700595444385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0.26597501715776861</v>
      </c>
      <c r="D22" s="805">
        <f t="shared" ref="D22:R22" si="1">SUM(D18:D21)</f>
        <v>0</v>
      </c>
      <c r="E22" s="805">
        <f t="shared" si="1"/>
        <v>1.2364302228955886</v>
      </c>
      <c r="F22" s="805">
        <f t="shared" si="1"/>
        <v>126.80710227033428</v>
      </c>
      <c r="G22" s="805">
        <f t="shared" si="1"/>
        <v>0</v>
      </c>
      <c r="H22" s="805">
        <f t="shared" si="1"/>
        <v>24335.738109130576</v>
      </c>
      <c r="I22" s="805">
        <f t="shared" si="1"/>
        <v>4137.4447418241498</v>
      </c>
      <c r="J22" s="805">
        <f t="shared" si="1"/>
        <v>0</v>
      </c>
      <c r="K22" s="805">
        <f t="shared" si="1"/>
        <v>0</v>
      </c>
      <c r="L22" s="805">
        <f t="shared" si="1"/>
        <v>0</v>
      </c>
      <c r="M22" s="805">
        <f t="shared" si="1"/>
        <v>0</v>
      </c>
      <c r="N22" s="805">
        <f t="shared" si="1"/>
        <v>1241.4844437979027</v>
      </c>
      <c r="O22" s="805">
        <f t="shared" si="1"/>
        <v>0</v>
      </c>
      <c r="P22" s="805">
        <f t="shared" si="1"/>
        <v>0</v>
      </c>
      <c r="Q22" s="805">
        <f t="shared" si="1"/>
        <v>0</v>
      </c>
      <c r="R22" s="805">
        <f t="shared" si="1"/>
        <v>29842.976802263016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7447.4472759344999</v>
      </c>
      <c r="D24" s="687">
        <f>+landbouw!C8</f>
        <v>114954.83035714284</v>
      </c>
      <c r="E24" s="687">
        <f>+landbouw!D8</f>
        <v>44931.781206107378</v>
      </c>
      <c r="F24" s="687">
        <f>+landbouw!E8</f>
        <v>77.991280180171842</v>
      </c>
      <c r="G24" s="687">
        <f>+landbouw!F8</f>
        <v>23884.795699105027</v>
      </c>
      <c r="H24" s="687">
        <f>+landbouw!G8</f>
        <v>0</v>
      </c>
      <c r="I24" s="687">
        <f>+landbouw!H8</f>
        <v>0</v>
      </c>
      <c r="J24" s="687">
        <f>+landbouw!I8</f>
        <v>0</v>
      </c>
      <c r="K24" s="687">
        <f>+landbouw!J8</f>
        <v>665.12379434966192</v>
      </c>
      <c r="L24" s="687">
        <f>+landbouw!K8</f>
        <v>0</v>
      </c>
      <c r="M24" s="687">
        <f>+landbouw!L8</f>
        <v>0</v>
      </c>
      <c r="N24" s="687">
        <f>+landbouw!M8</f>
        <v>0</v>
      </c>
      <c r="O24" s="687">
        <f>+landbouw!N8</f>
        <v>0</v>
      </c>
      <c r="P24" s="687">
        <f>+landbouw!O8</f>
        <v>0</v>
      </c>
      <c r="Q24" s="688">
        <f>+landbouw!P8</f>
        <v>0</v>
      </c>
      <c r="R24" s="690">
        <f>SUM(C24:Q24)</f>
        <v>191961.96961281955</v>
      </c>
      <c r="S24" s="67"/>
    </row>
    <row r="25" spans="1:19" s="456" customFormat="1" ht="15" thickBot="1">
      <c r="A25" s="824" t="s">
        <v>925</v>
      </c>
      <c r="B25" s="988"/>
      <c r="C25" s="989">
        <f>IF(Onbekend_ele_kWh="---",0,Onbekend_ele_kWh)/1000+IF(REST_rest_ele_kWh="---",0,REST_rest_ele_kWh)/1000</f>
        <v>1099.1570112218801</v>
      </c>
      <c r="D25" s="989"/>
      <c r="E25" s="989">
        <f>IF(onbekend_gas_kWh="---",0,onbekend_gas_kWh)/1000+IF(REST_rest_gas_kWh="---",0,REST_rest_gas_kWh)/1000</f>
        <v>2403.8922226902696</v>
      </c>
      <c r="F25" s="989"/>
      <c r="G25" s="989"/>
      <c r="H25" s="989"/>
      <c r="I25" s="989"/>
      <c r="J25" s="989"/>
      <c r="K25" s="989"/>
      <c r="L25" s="989"/>
      <c r="M25" s="989"/>
      <c r="N25" s="989"/>
      <c r="O25" s="989"/>
      <c r="P25" s="989"/>
      <c r="Q25" s="990"/>
      <c r="R25" s="690">
        <f>SUM(C25:Q25)</f>
        <v>3503.0492339121497</v>
      </c>
      <c r="S25" s="67"/>
    </row>
    <row r="26" spans="1:19" s="456" customFormat="1" ht="15.75" thickBot="1">
      <c r="A26" s="693" t="s">
        <v>926</v>
      </c>
      <c r="B26" s="810"/>
      <c r="C26" s="805">
        <f>SUM(C24:C25)</f>
        <v>8546.6042871563805</v>
      </c>
      <c r="D26" s="805">
        <f t="shared" ref="D26:R26" si="2">SUM(D24:D25)</f>
        <v>114954.83035714284</v>
      </c>
      <c r="E26" s="805">
        <f t="shared" si="2"/>
        <v>47335.673428797651</v>
      </c>
      <c r="F26" s="805">
        <f t="shared" si="2"/>
        <v>77.991280180171842</v>
      </c>
      <c r="G26" s="805">
        <f t="shared" si="2"/>
        <v>23884.795699105027</v>
      </c>
      <c r="H26" s="805">
        <f t="shared" si="2"/>
        <v>0</v>
      </c>
      <c r="I26" s="805">
        <f t="shared" si="2"/>
        <v>0</v>
      </c>
      <c r="J26" s="805">
        <f t="shared" si="2"/>
        <v>0</v>
      </c>
      <c r="K26" s="805">
        <f t="shared" si="2"/>
        <v>665.12379434966192</v>
      </c>
      <c r="L26" s="805">
        <f t="shared" si="2"/>
        <v>0</v>
      </c>
      <c r="M26" s="805">
        <f t="shared" si="2"/>
        <v>0</v>
      </c>
      <c r="N26" s="805">
        <f t="shared" si="2"/>
        <v>0</v>
      </c>
      <c r="O26" s="805">
        <f t="shared" si="2"/>
        <v>0</v>
      </c>
      <c r="P26" s="805">
        <f t="shared" si="2"/>
        <v>0</v>
      </c>
      <c r="Q26" s="805">
        <f t="shared" si="2"/>
        <v>0</v>
      </c>
      <c r="R26" s="805">
        <f t="shared" si="2"/>
        <v>195465.01884673169</v>
      </c>
      <c r="S26" s="67"/>
    </row>
    <row r="27" spans="1:19" s="456" customFormat="1" ht="17.25" thickTop="1" thickBot="1">
      <c r="A27" s="694" t="s">
        <v>116</v>
      </c>
      <c r="B27" s="797"/>
      <c r="C27" s="695">
        <f ca="1">C22+C16+C26</f>
        <v>151671.6980152388</v>
      </c>
      <c r="D27" s="695">
        <f t="shared" ref="D27:R27" ca="1" si="3">D22+D16+D26</f>
        <v>118297.68749999999</v>
      </c>
      <c r="E27" s="695">
        <f t="shared" ca="1" si="3"/>
        <v>473187.77395645808</v>
      </c>
      <c r="F27" s="695">
        <f t="shared" si="3"/>
        <v>3741.8267604213402</v>
      </c>
      <c r="G27" s="695">
        <f t="shared" ca="1" si="3"/>
        <v>56256.654164541382</v>
      </c>
      <c r="H27" s="695">
        <f t="shared" si="3"/>
        <v>24335.738109130576</v>
      </c>
      <c r="I27" s="695">
        <f t="shared" si="3"/>
        <v>4137.4447418241498</v>
      </c>
      <c r="J27" s="695">
        <f t="shared" si="3"/>
        <v>0</v>
      </c>
      <c r="K27" s="695">
        <f t="shared" si="3"/>
        <v>1628.2647741143842</v>
      </c>
      <c r="L27" s="695">
        <f t="shared" si="3"/>
        <v>0</v>
      </c>
      <c r="M27" s="695">
        <f t="shared" ca="1" si="3"/>
        <v>0</v>
      </c>
      <c r="N27" s="695">
        <f t="shared" si="3"/>
        <v>1241.4844437979027</v>
      </c>
      <c r="O27" s="695">
        <f t="shared" ca="1" si="3"/>
        <v>11257.300388386704</v>
      </c>
      <c r="P27" s="695">
        <f t="shared" si="3"/>
        <v>75.040000000000006</v>
      </c>
      <c r="Q27" s="695">
        <f t="shared" si="3"/>
        <v>171.6</v>
      </c>
      <c r="R27" s="695">
        <f t="shared" ca="1" si="3"/>
        <v>846002.51285391324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11506.947950754336</v>
      </c>
      <c r="D40" s="687">
        <f ca="1">tertiair!C20</f>
        <v>0</v>
      </c>
      <c r="E40" s="687">
        <f ca="1">tertiair!D20</f>
        <v>7481.3547261334415</v>
      </c>
      <c r="F40" s="687">
        <f>tertiair!E20</f>
        <v>82.791235584910908</v>
      </c>
      <c r="G40" s="687">
        <f ca="1">tertiair!F20</f>
        <v>2100.1155150561185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21171.209427528807</v>
      </c>
    </row>
    <row r="41" spans="1:18">
      <c r="A41" s="815" t="s">
        <v>225</v>
      </c>
      <c r="B41" s="822"/>
      <c r="C41" s="687">
        <f ca="1">huishoudens!B12</f>
        <v>9646.9181099795078</v>
      </c>
      <c r="D41" s="687">
        <f ca="1">huishoudens!C12</f>
        <v>0</v>
      </c>
      <c r="E41" s="687">
        <f>huishoudens!D12</f>
        <v>15209.983878360877</v>
      </c>
      <c r="F41" s="687">
        <f>huishoudens!E12</f>
        <v>283.44626156195608</v>
      </c>
      <c r="G41" s="687">
        <f>huishoudens!F12</f>
        <v>2215.4822481569981</v>
      </c>
      <c r="H41" s="687">
        <f>huishoudens!G12</f>
        <v>0</v>
      </c>
      <c r="I41" s="687">
        <f>huishoudens!H12</f>
        <v>0</v>
      </c>
      <c r="J41" s="687">
        <f>huishoudens!I12</f>
        <v>0</v>
      </c>
      <c r="K41" s="687">
        <f>huishoudens!J12</f>
        <v>295.5064585503398</v>
      </c>
      <c r="L41" s="687">
        <f>huishoudens!K12</f>
        <v>0</v>
      </c>
      <c r="M41" s="687">
        <f>huishoudens!L12</f>
        <v>0</v>
      </c>
      <c r="N41" s="687">
        <f>huishoudens!M12</f>
        <v>0</v>
      </c>
      <c r="O41" s="687">
        <f>huishoudens!N12</f>
        <v>0</v>
      </c>
      <c r="P41" s="687">
        <f>huishoudens!O12</f>
        <v>0</v>
      </c>
      <c r="Q41" s="762">
        <f>huishoudens!P12</f>
        <v>0</v>
      </c>
      <c r="R41" s="843">
        <f t="shared" ca="1" si="4"/>
        <v>27651.336956609677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25349.501766572466</v>
      </c>
      <c r="D43" s="687">
        <f ca="1">industrie!C22</f>
        <v>723.47420505147886</v>
      </c>
      <c r="E43" s="687">
        <f>industrie!D22</f>
        <v>63330.535943188079</v>
      </c>
      <c r="F43" s="687">
        <f>industrie!E22</f>
        <v>436.66794465251229</v>
      </c>
      <c r="G43" s="687">
        <f>industrie!F22</f>
        <v>4327.6884470583909</v>
      </c>
      <c r="H43" s="687">
        <f>industrie!G22</f>
        <v>0</v>
      </c>
      <c r="I43" s="687">
        <f>industrie!H22</f>
        <v>0</v>
      </c>
      <c r="J43" s="687">
        <f>industrie!I22</f>
        <v>0</v>
      </c>
      <c r="K43" s="687">
        <f>industrie!J22</f>
        <v>45.445448286371914</v>
      </c>
      <c r="L43" s="687">
        <f>industrie!K22</f>
        <v>0</v>
      </c>
      <c r="M43" s="687">
        <f>industrie!L22</f>
        <v>0</v>
      </c>
      <c r="N43" s="687">
        <f>industrie!M22</f>
        <v>0</v>
      </c>
      <c r="O43" s="687">
        <f>industrie!N22</f>
        <v>0</v>
      </c>
      <c r="P43" s="687">
        <f>industrie!O22</f>
        <v>0</v>
      </c>
      <c r="Q43" s="762">
        <f>industrie!P22</f>
        <v>0</v>
      </c>
      <c r="R43" s="842">
        <f t="shared" ca="1" si="4"/>
        <v>94213.313754809293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46503.367827306312</v>
      </c>
      <c r="D46" s="720">
        <f t="shared" ref="D46:Q46" ca="1" si="5">SUM(D39:D45)</f>
        <v>723.47420505147886</v>
      </c>
      <c r="E46" s="720">
        <f t="shared" ca="1" si="5"/>
        <v>86021.874547682397</v>
      </c>
      <c r="F46" s="720">
        <f t="shared" si="5"/>
        <v>802.90544179937933</v>
      </c>
      <c r="G46" s="720">
        <f t="shared" ca="1" si="5"/>
        <v>8643.286210271508</v>
      </c>
      <c r="H46" s="720">
        <f t="shared" si="5"/>
        <v>0</v>
      </c>
      <c r="I46" s="720">
        <f t="shared" si="5"/>
        <v>0</v>
      </c>
      <c r="J46" s="720">
        <f t="shared" si="5"/>
        <v>0</v>
      </c>
      <c r="K46" s="720">
        <f t="shared" si="5"/>
        <v>340.95190683671171</v>
      </c>
      <c r="L46" s="720">
        <f t="shared" si="5"/>
        <v>0</v>
      </c>
      <c r="M46" s="720">
        <f t="shared" ca="1" si="5"/>
        <v>0</v>
      </c>
      <c r="N46" s="720">
        <f t="shared" si="5"/>
        <v>0</v>
      </c>
      <c r="O46" s="720">
        <f t="shared" ca="1" si="5"/>
        <v>0</v>
      </c>
      <c r="P46" s="720">
        <f t="shared" si="5"/>
        <v>0</v>
      </c>
      <c r="Q46" s="720">
        <f t="shared" si="5"/>
        <v>0</v>
      </c>
      <c r="R46" s="720">
        <f ca="1">SUM(R39:R45)</f>
        <v>143035.86013894778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387.52618936633667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387.52618936633667</v>
      </c>
    </row>
    <row r="50" spans="1:18">
      <c r="A50" s="818" t="s">
        <v>307</v>
      </c>
      <c r="B50" s="828"/>
      <c r="C50" s="995">
        <f ca="1">transport!B18</f>
        <v>8.6419206576106578E-2</v>
      </c>
      <c r="D50" s="995">
        <f>transport!C18</f>
        <v>0</v>
      </c>
      <c r="E50" s="995">
        <f>transport!D18</f>
        <v>0.24975890502490891</v>
      </c>
      <c r="F50" s="995">
        <f>transport!E18</f>
        <v>28.785212215365885</v>
      </c>
      <c r="G50" s="995">
        <f>transport!F18</f>
        <v>0</v>
      </c>
      <c r="H50" s="995">
        <f>transport!G18</f>
        <v>6110.1158857715272</v>
      </c>
      <c r="I50" s="995">
        <f>transport!H18</f>
        <v>1030.2237407142134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7169.4610168127074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8.6419206576106578E-2</v>
      </c>
      <c r="D52" s="720">
        <f t="shared" ref="D52:Q52" ca="1" si="6">SUM(D48:D51)</f>
        <v>0</v>
      </c>
      <c r="E52" s="720">
        <f t="shared" si="6"/>
        <v>0.24975890502490891</v>
      </c>
      <c r="F52" s="720">
        <f t="shared" si="6"/>
        <v>28.785212215365885</v>
      </c>
      <c r="G52" s="720">
        <f t="shared" si="6"/>
        <v>0</v>
      </c>
      <c r="H52" s="720">
        <f t="shared" si="6"/>
        <v>6497.6420751378637</v>
      </c>
      <c r="I52" s="720">
        <f t="shared" si="6"/>
        <v>1030.2237407142134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7556.9872061790438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2419.7854801598887</v>
      </c>
      <c r="D54" s="995">
        <f ca="1">+landbouw!C12</f>
        <v>24878.973571206436</v>
      </c>
      <c r="E54" s="995">
        <f>+landbouw!D12</f>
        <v>9076.2198036336904</v>
      </c>
      <c r="F54" s="995">
        <f>+landbouw!E12</f>
        <v>17.704020600899007</v>
      </c>
      <c r="G54" s="995">
        <f>+landbouw!F12</f>
        <v>6377.2404516610422</v>
      </c>
      <c r="H54" s="995">
        <f>+landbouw!G12</f>
        <v>0</v>
      </c>
      <c r="I54" s="995">
        <f>+landbouw!H12</f>
        <v>0</v>
      </c>
      <c r="J54" s="995">
        <f>+landbouw!I12</f>
        <v>0</v>
      </c>
      <c r="K54" s="995">
        <f>+landbouw!J12</f>
        <v>235.45382319978032</v>
      </c>
      <c r="L54" s="995">
        <f>+landbouw!K12</f>
        <v>0</v>
      </c>
      <c r="M54" s="995">
        <f>+landbouw!L12</f>
        <v>0</v>
      </c>
      <c r="N54" s="995">
        <f>+landbouw!M12</f>
        <v>0</v>
      </c>
      <c r="O54" s="995">
        <f>+landbouw!N12</f>
        <v>0</v>
      </c>
      <c r="P54" s="995">
        <f>+landbouw!O12</f>
        <v>0</v>
      </c>
      <c r="Q54" s="996">
        <f>+landbouw!P12</f>
        <v>0</v>
      </c>
      <c r="R54" s="719">
        <f ca="1">SUM(C54:Q54)</f>
        <v>43005.377150461733</v>
      </c>
    </row>
    <row r="55" spans="1:18" ht="15" thickBot="1">
      <c r="A55" s="818" t="s">
        <v>925</v>
      </c>
      <c r="B55" s="828"/>
      <c r="C55" s="995">
        <f ca="1">C25*'EF ele_warmte'!B12</f>
        <v>357.13232704113443</v>
      </c>
      <c r="D55" s="995"/>
      <c r="E55" s="995">
        <f>E25*EF_CO2_aardgas</f>
        <v>485.58622898343447</v>
      </c>
      <c r="F55" s="995"/>
      <c r="G55" s="995"/>
      <c r="H55" s="995"/>
      <c r="I55" s="995"/>
      <c r="J55" s="995"/>
      <c r="K55" s="995"/>
      <c r="L55" s="995"/>
      <c r="M55" s="995"/>
      <c r="N55" s="995"/>
      <c r="O55" s="995"/>
      <c r="P55" s="995"/>
      <c r="Q55" s="996"/>
      <c r="R55" s="719">
        <f ca="1">SUM(C55:Q55)</f>
        <v>842.7185560245689</v>
      </c>
    </row>
    <row r="56" spans="1:18" ht="15.75" thickBot="1">
      <c r="A56" s="816" t="s">
        <v>926</v>
      </c>
      <c r="B56" s="829"/>
      <c r="C56" s="720">
        <f ca="1">SUM(C54:C55)</f>
        <v>2776.9178072010232</v>
      </c>
      <c r="D56" s="720">
        <f t="shared" ref="D56:Q56" ca="1" si="7">SUM(D54:D55)</f>
        <v>24878.973571206436</v>
      </c>
      <c r="E56" s="720">
        <f t="shared" si="7"/>
        <v>9561.8060326171253</v>
      </c>
      <c r="F56" s="720">
        <f t="shared" si="7"/>
        <v>17.704020600899007</v>
      </c>
      <c r="G56" s="720">
        <f t="shared" si="7"/>
        <v>6377.2404516610422</v>
      </c>
      <c r="H56" s="720">
        <f t="shared" si="7"/>
        <v>0</v>
      </c>
      <c r="I56" s="720">
        <f t="shared" si="7"/>
        <v>0</v>
      </c>
      <c r="J56" s="720">
        <f t="shared" si="7"/>
        <v>0</v>
      </c>
      <c r="K56" s="720">
        <f t="shared" si="7"/>
        <v>235.45382319978032</v>
      </c>
      <c r="L56" s="720">
        <f t="shared" si="7"/>
        <v>0</v>
      </c>
      <c r="M56" s="720">
        <f t="shared" si="7"/>
        <v>0</v>
      </c>
      <c r="N56" s="720">
        <f t="shared" si="7"/>
        <v>0</v>
      </c>
      <c r="O56" s="720">
        <f t="shared" si="7"/>
        <v>0</v>
      </c>
      <c r="P56" s="720">
        <f t="shared" si="7"/>
        <v>0</v>
      </c>
      <c r="Q56" s="721">
        <f t="shared" si="7"/>
        <v>0</v>
      </c>
      <c r="R56" s="722">
        <f ca="1">SUM(R54:R55)</f>
        <v>43848.095706486303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49280.372053713916</v>
      </c>
      <c r="D61" s="728">
        <f t="shared" ref="D61:Q61" ca="1" si="8">D46+D52+D56</f>
        <v>25602.447776257915</v>
      </c>
      <c r="E61" s="728">
        <f t="shared" ca="1" si="8"/>
        <v>95583.93033920454</v>
      </c>
      <c r="F61" s="728">
        <f t="shared" si="8"/>
        <v>849.39467461564413</v>
      </c>
      <c r="G61" s="728">
        <f t="shared" ca="1" si="8"/>
        <v>15020.52666193255</v>
      </c>
      <c r="H61" s="728">
        <f t="shared" si="8"/>
        <v>6497.6420751378637</v>
      </c>
      <c r="I61" s="728">
        <f t="shared" si="8"/>
        <v>1030.2237407142134</v>
      </c>
      <c r="J61" s="728">
        <f t="shared" si="8"/>
        <v>0</v>
      </c>
      <c r="K61" s="728">
        <f t="shared" si="8"/>
        <v>576.40573003649206</v>
      </c>
      <c r="L61" s="728">
        <f t="shared" si="8"/>
        <v>0</v>
      </c>
      <c r="M61" s="728">
        <f t="shared" ca="1" si="8"/>
        <v>0</v>
      </c>
      <c r="N61" s="728">
        <f t="shared" si="8"/>
        <v>0</v>
      </c>
      <c r="O61" s="728">
        <f t="shared" ca="1" si="8"/>
        <v>0</v>
      </c>
      <c r="P61" s="728">
        <f t="shared" si="8"/>
        <v>0</v>
      </c>
      <c r="Q61" s="728">
        <f t="shared" si="8"/>
        <v>0</v>
      </c>
      <c r="R61" s="728">
        <f ca="1">R46+R52+R56</f>
        <v>194440.94305161311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0.3249147513912754</v>
      </c>
      <c r="D63" s="772">
        <f t="shared" ca="1" si="9"/>
        <v>0.21642390749403212</v>
      </c>
      <c r="E63" s="997">
        <f t="shared" ca="1" si="9"/>
        <v>0.20200000000000001</v>
      </c>
      <c r="F63" s="772">
        <f t="shared" si="9"/>
        <v>0.22699999999999998</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3883.9319803024391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8555.7093947923986</v>
      </c>
      <c r="C76" s="738">
        <f>'lokale energieproductie'!B8*IFERROR(SUM(D76:H76)/SUM(D76:O76),0)</f>
        <v>76971.2906052076</v>
      </c>
      <c r="D76" s="1007">
        <f>'lokale energieproductie'!C8</f>
        <v>87199.27938071781</v>
      </c>
      <c r="E76" s="1008">
        <f>'lokale energieproductie'!D8</f>
        <v>0</v>
      </c>
      <c r="F76" s="1008">
        <f>'lokale energieproductie'!E8</f>
        <v>3355.180154820549</v>
      </c>
      <c r="G76" s="1008">
        <f>'lokale energieproductie'!F8</f>
        <v>0</v>
      </c>
      <c r="H76" s="1008">
        <f>'lokale energieproductie'!G8</f>
        <v>0</v>
      </c>
      <c r="I76" s="1008">
        <f>'lokale energieproductie'!I8</f>
        <v>10065.540464461646</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18510.087536242088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12439.641375094838</v>
      </c>
      <c r="C78" s="743">
        <f>SUM(C72:C77)</f>
        <v>76971.2906052076</v>
      </c>
      <c r="D78" s="744">
        <f t="shared" ref="D78:H78" si="10">SUM(D76:D77)</f>
        <v>87199.27938071781</v>
      </c>
      <c r="E78" s="744">
        <f t="shared" si="10"/>
        <v>0</v>
      </c>
      <c r="F78" s="744">
        <f t="shared" si="10"/>
        <v>3355.180154820549</v>
      </c>
      <c r="G78" s="744">
        <f t="shared" si="10"/>
        <v>0</v>
      </c>
      <c r="H78" s="744">
        <f t="shared" si="10"/>
        <v>0</v>
      </c>
      <c r="I78" s="744">
        <f>SUM(I76:I77)</f>
        <v>10065.540464461646</v>
      </c>
      <c r="J78" s="744">
        <f>SUM(J76:J77)</f>
        <v>0</v>
      </c>
      <c r="K78" s="744">
        <f t="shared" ref="K78:L78" si="11">SUM(K76:K77)</f>
        <v>0</v>
      </c>
      <c r="L78" s="744">
        <f t="shared" si="11"/>
        <v>0</v>
      </c>
      <c r="M78" s="744">
        <f>SUM(M76:M77)</f>
        <v>0</v>
      </c>
      <c r="N78" s="744">
        <f>SUM(N76:N77)</f>
        <v>0</v>
      </c>
      <c r="O78" s="853">
        <f>SUM(O76:O77)</f>
        <v>0</v>
      </c>
      <c r="P78" s="745">
        <v>0</v>
      </c>
      <c r="Q78" s="745">
        <f>SUM(Q76:Q77)</f>
        <v>18510.087536242088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11833.9312302076</v>
      </c>
      <c r="C87" s="754">
        <f>'lokale energieproductie'!B17*IFERROR(SUM(D87:H87)/SUM(D87:O87),0)</f>
        <v>106463.75626979239</v>
      </c>
      <c r="D87" s="765">
        <f>'lokale energieproductie'!C17</f>
        <v>120610.72061928218</v>
      </c>
      <c r="E87" s="765">
        <f>'lokale energieproductie'!D17</f>
        <v>0</v>
      </c>
      <c r="F87" s="765">
        <f>'lokale energieproductie'!E17</f>
        <v>4640.7573451794506</v>
      </c>
      <c r="G87" s="765">
        <f>'lokale energieproductie'!F17</f>
        <v>0</v>
      </c>
      <c r="H87" s="765">
        <f>'lokale energieproductie'!G17</f>
        <v>0</v>
      </c>
      <c r="I87" s="765">
        <f>'lokale energieproductie'!I17</f>
        <v>13922.272035538352</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25602.447776257915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11833.9312302076</v>
      </c>
      <c r="C90" s="743">
        <f>SUM(C87:C89)</f>
        <v>106463.75626979239</v>
      </c>
      <c r="D90" s="743">
        <f t="shared" ref="D90:H90" si="12">SUM(D87:D89)</f>
        <v>120610.72061928218</v>
      </c>
      <c r="E90" s="743">
        <f t="shared" si="12"/>
        <v>0</v>
      </c>
      <c r="F90" s="743">
        <f t="shared" si="12"/>
        <v>4640.7573451794506</v>
      </c>
      <c r="G90" s="743">
        <f t="shared" si="12"/>
        <v>0</v>
      </c>
      <c r="H90" s="743">
        <f t="shared" si="12"/>
        <v>0</v>
      </c>
      <c r="I90" s="743">
        <f>SUM(I87:I89)</f>
        <v>13922.272035538352</v>
      </c>
      <c r="J90" s="743">
        <f>SUM(J87:J89)</f>
        <v>0</v>
      </c>
      <c r="K90" s="743">
        <f t="shared" ref="K90:L90" si="13">SUM(K87:K89)</f>
        <v>0</v>
      </c>
      <c r="L90" s="743">
        <f t="shared" si="13"/>
        <v>0</v>
      </c>
      <c r="M90" s="743">
        <f>SUM(M87:M89)</f>
        <v>0</v>
      </c>
      <c r="N90" s="743">
        <f>SUM(N87:N89)</f>
        <v>0</v>
      </c>
      <c r="O90" s="743">
        <f>SUM(O87:O89)</f>
        <v>0</v>
      </c>
      <c r="P90" s="743">
        <v>0</v>
      </c>
      <c r="Q90" s="743">
        <f>SUM(Q87:Q89)</f>
        <v>25602.447776257915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3883.9319803024391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85527</v>
      </c>
      <c r="C8" s="557">
        <f>B101</f>
        <v>87199.27938071781</v>
      </c>
      <c r="D8" s="985"/>
      <c r="E8" s="985">
        <f>E101</f>
        <v>3355.180154820549</v>
      </c>
      <c r="F8" s="986"/>
      <c r="G8" s="558"/>
      <c r="H8" s="985">
        <f>I101</f>
        <v>0</v>
      </c>
      <c r="I8" s="985">
        <f>G101+F101</f>
        <v>10065.540464461646</v>
      </c>
      <c r="J8" s="985">
        <f>H101+D101+C101</f>
        <v>0</v>
      </c>
      <c r="K8" s="985"/>
      <c r="L8" s="985"/>
      <c r="M8" s="985"/>
      <c r="N8" s="559"/>
      <c r="O8" s="560">
        <f>C8*$C$12+D8*$D$12+E8*$E$12+F8*$F$12+G8*$G$12+H8*$H$12+I8*$I$12+J8*$J$12</f>
        <v>18510.087536242088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89410.931980302441</v>
      </c>
      <c r="C10" s="569">
        <f t="shared" ref="C10:L10" si="0">SUM(C8:C9)</f>
        <v>87199.27938071781</v>
      </c>
      <c r="D10" s="569">
        <f t="shared" si="0"/>
        <v>0</v>
      </c>
      <c r="E10" s="569">
        <f t="shared" si="0"/>
        <v>3355.180154820549</v>
      </c>
      <c r="F10" s="569">
        <f t="shared" si="0"/>
        <v>0</v>
      </c>
      <c r="G10" s="569">
        <f t="shared" si="0"/>
        <v>0</v>
      </c>
      <c r="H10" s="569">
        <f t="shared" si="0"/>
        <v>0</v>
      </c>
      <c r="I10" s="569">
        <f t="shared" si="0"/>
        <v>10065.540464461646</v>
      </c>
      <c r="J10" s="569">
        <f t="shared" si="0"/>
        <v>0</v>
      </c>
      <c r="K10" s="569">
        <f t="shared" si="0"/>
        <v>0</v>
      </c>
      <c r="L10" s="569">
        <f t="shared" si="0"/>
        <v>0</v>
      </c>
      <c r="M10" s="980"/>
      <c r="N10" s="980"/>
      <c r="O10" s="570">
        <f>SUM(O4:O9)</f>
        <v>18510.087536242088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118297.68749999999</v>
      </c>
      <c r="C17" s="581">
        <f>B102</f>
        <v>120610.72061928218</v>
      </c>
      <c r="D17" s="582"/>
      <c r="E17" s="582">
        <f>E102</f>
        <v>4640.7573451794506</v>
      </c>
      <c r="F17" s="583"/>
      <c r="G17" s="584"/>
      <c r="H17" s="581">
        <f>I102</f>
        <v>0</v>
      </c>
      <c r="I17" s="582">
        <f>G102+F102</f>
        <v>13922.272035538352</v>
      </c>
      <c r="J17" s="582">
        <f>H102+D102+C102</f>
        <v>0</v>
      </c>
      <c r="K17" s="582"/>
      <c r="L17" s="582"/>
      <c r="M17" s="582"/>
      <c r="N17" s="981"/>
      <c r="O17" s="585">
        <f>C17*$C$22+E17*$E$22+H17*$H$22+I17*$I$22+J17*$J$22+D17*$D$22+F17*$F$22+G17*$G$22+K17*$K$22+L17*$L$22</f>
        <v>25602.447776257915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118297.68749999999</v>
      </c>
      <c r="C20" s="568">
        <f>SUM(C17:C19)</f>
        <v>120610.72061928218</v>
      </c>
      <c r="D20" s="568">
        <f t="shared" ref="D20:L20" si="1">SUM(D17:D19)</f>
        <v>0</v>
      </c>
      <c r="E20" s="568">
        <f t="shared" si="1"/>
        <v>4640.7573451794506</v>
      </c>
      <c r="F20" s="568">
        <f t="shared" si="1"/>
        <v>0</v>
      </c>
      <c r="G20" s="568">
        <f t="shared" si="1"/>
        <v>0</v>
      </c>
      <c r="H20" s="568">
        <f t="shared" si="1"/>
        <v>0</v>
      </c>
      <c r="I20" s="568">
        <f t="shared" si="1"/>
        <v>13922.272035538352</v>
      </c>
      <c r="J20" s="568">
        <f t="shared" si="1"/>
        <v>0</v>
      </c>
      <c r="K20" s="568">
        <f t="shared" si="1"/>
        <v>0</v>
      </c>
      <c r="L20" s="568">
        <f t="shared" si="1"/>
        <v>0</v>
      </c>
      <c r="M20" s="568"/>
      <c r="N20" s="568"/>
      <c r="O20" s="589">
        <f>SUM(O17:O19)</f>
        <v>25602.447776257915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12009</v>
      </c>
      <c r="C28" s="788">
        <v>2570</v>
      </c>
      <c r="D28" s="641" t="s">
        <v>963</v>
      </c>
      <c r="E28" s="640" t="s">
        <v>964</v>
      </c>
      <c r="F28" s="640" t="s">
        <v>965</v>
      </c>
      <c r="G28" s="640" t="s">
        <v>966</v>
      </c>
      <c r="H28" s="640" t="s">
        <v>967</v>
      </c>
      <c r="I28" s="640" t="s">
        <v>964</v>
      </c>
      <c r="J28" s="787">
        <v>40443</v>
      </c>
      <c r="K28" s="787">
        <v>40443</v>
      </c>
      <c r="L28" s="640" t="s">
        <v>968</v>
      </c>
      <c r="M28" s="640">
        <v>1008</v>
      </c>
      <c r="N28" s="640">
        <v>4536</v>
      </c>
      <c r="O28" s="640">
        <v>6480</v>
      </c>
      <c r="P28" s="640">
        <v>12960</v>
      </c>
      <c r="Q28" s="640">
        <v>0</v>
      </c>
      <c r="R28" s="640">
        <v>0</v>
      </c>
      <c r="S28" s="640">
        <v>0</v>
      </c>
      <c r="T28" s="640">
        <v>0</v>
      </c>
      <c r="U28" s="640">
        <v>0</v>
      </c>
      <c r="V28" s="640">
        <v>0</v>
      </c>
      <c r="W28" s="640">
        <v>0</v>
      </c>
      <c r="X28" s="640">
        <v>10</v>
      </c>
      <c r="Y28" s="640" t="s">
        <v>112</v>
      </c>
      <c r="Z28" s="642" t="s">
        <v>112</v>
      </c>
    </row>
    <row r="29" spans="1:26" s="594" customFormat="1" ht="25.5">
      <c r="A29" s="593"/>
      <c r="B29" s="788">
        <v>12009</v>
      </c>
      <c r="C29" s="788">
        <v>2570</v>
      </c>
      <c r="D29" s="641" t="s">
        <v>969</v>
      </c>
      <c r="E29" s="640" t="s">
        <v>970</v>
      </c>
      <c r="F29" s="640" t="s">
        <v>971</v>
      </c>
      <c r="G29" s="640" t="s">
        <v>966</v>
      </c>
      <c r="H29" s="640" t="s">
        <v>967</v>
      </c>
      <c r="I29" s="640" t="s">
        <v>970</v>
      </c>
      <c r="J29" s="787">
        <v>39241</v>
      </c>
      <c r="K29" s="787">
        <v>39261</v>
      </c>
      <c r="L29" s="640" t="s">
        <v>968</v>
      </c>
      <c r="M29" s="640">
        <v>1147</v>
      </c>
      <c r="N29" s="640">
        <v>5161.5</v>
      </c>
      <c r="O29" s="640">
        <v>7373.5714285714284</v>
      </c>
      <c r="P29" s="640">
        <v>14747.142857142859</v>
      </c>
      <c r="Q29" s="640">
        <v>0</v>
      </c>
      <c r="R29" s="640">
        <v>0</v>
      </c>
      <c r="S29" s="640">
        <v>0</v>
      </c>
      <c r="T29" s="640">
        <v>0</v>
      </c>
      <c r="U29" s="640">
        <v>0</v>
      </c>
      <c r="V29" s="640">
        <v>0</v>
      </c>
      <c r="W29" s="640">
        <v>0</v>
      </c>
      <c r="X29" s="640">
        <v>10</v>
      </c>
      <c r="Y29" s="640" t="s">
        <v>112</v>
      </c>
      <c r="Z29" s="642" t="s">
        <v>112</v>
      </c>
    </row>
    <row r="30" spans="1:26" s="594" customFormat="1" ht="25.5">
      <c r="A30" s="593"/>
      <c r="B30" s="788">
        <v>12009</v>
      </c>
      <c r="C30" s="788">
        <v>2570</v>
      </c>
      <c r="D30" s="641" t="s">
        <v>972</v>
      </c>
      <c r="E30" s="640" t="s">
        <v>973</v>
      </c>
      <c r="F30" s="640" t="s">
        <v>974</v>
      </c>
      <c r="G30" s="640" t="s">
        <v>966</v>
      </c>
      <c r="H30" s="640" t="s">
        <v>967</v>
      </c>
      <c r="I30" s="640" t="s">
        <v>973</v>
      </c>
      <c r="J30" s="787">
        <v>39241</v>
      </c>
      <c r="K30" s="787">
        <v>39253</v>
      </c>
      <c r="L30" s="640" t="s">
        <v>968</v>
      </c>
      <c r="M30" s="640">
        <v>1147</v>
      </c>
      <c r="N30" s="640">
        <v>5161.5</v>
      </c>
      <c r="O30" s="640">
        <v>7373.5714285714284</v>
      </c>
      <c r="P30" s="640">
        <v>14747.142857142859</v>
      </c>
      <c r="Q30" s="640">
        <v>0</v>
      </c>
      <c r="R30" s="640">
        <v>0</v>
      </c>
      <c r="S30" s="640">
        <v>0</v>
      </c>
      <c r="T30" s="640">
        <v>0</v>
      </c>
      <c r="U30" s="640">
        <v>0</v>
      </c>
      <c r="V30" s="640">
        <v>0</v>
      </c>
      <c r="W30" s="640">
        <v>0</v>
      </c>
      <c r="X30" s="640">
        <v>10</v>
      </c>
      <c r="Y30" s="640" t="s">
        <v>112</v>
      </c>
      <c r="Z30" s="642" t="s">
        <v>112</v>
      </c>
    </row>
    <row r="31" spans="1:26" s="594" customFormat="1" ht="25.5">
      <c r="A31" s="593"/>
      <c r="B31" s="788">
        <v>12009</v>
      </c>
      <c r="C31" s="788">
        <v>2570</v>
      </c>
      <c r="D31" s="641" t="s">
        <v>975</v>
      </c>
      <c r="E31" s="640" t="s">
        <v>976</v>
      </c>
      <c r="F31" s="640" t="s">
        <v>977</v>
      </c>
      <c r="G31" s="640" t="s">
        <v>966</v>
      </c>
      <c r="H31" s="640" t="s">
        <v>967</v>
      </c>
      <c r="I31" s="640" t="s">
        <v>976</v>
      </c>
      <c r="J31" s="787">
        <v>40763</v>
      </c>
      <c r="K31" s="787">
        <v>40763</v>
      </c>
      <c r="L31" s="640" t="s">
        <v>968</v>
      </c>
      <c r="M31" s="640">
        <v>1560</v>
      </c>
      <c r="N31" s="640">
        <v>2340</v>
      </c>
      <c r="O31" s="640">
        <v>3342.8571428571431</v>
      </c>
      <c r="P31" s="640">
        <v>6685.7142857142862</v>
      </c>
      <c r="Q31" s="640">
        <v>0</v>
      </c>
      <c r="R31" s="640">
        <v>0</v>
      </c>
      <c r="S31" s="640">
        <v>0</v>
      </c>
      <c r="T31" s="640">
        <v>0</v>
      </c>
      <c r="U31" s="640">
        <v>0</v>
      </c>
      <c r="V31" s="640">
        <v>0</v>
      </c>
      <c r="W31" s="640">
        <v>0</v>
      </c>
      <c r="X31" s="640">
        <v>900</v>
      </c>
      <c r="Y31" s="640" t="s">
        <v>33</v>
      </c>
      <c r="Z31" s="642" t="s">
        <v>391</v>
      </c>
    </row>
    <row r="32" spans="1:26" s="594" customFormat="1" ht="25.5">
      <c r="A32" s="593"/>
      <c r="B32" s="788">
        <v>12009</v>
      </c>
      <c r="C32" s="788">
        <v>2570</v>
      </c>
      <c r="D32" s="641" t="s">
        <v>978</v>
      </c>
      <c r="E32" s="640" t="s">
        <v>979</v>
      </c>
      <c r="F32" s="640" t="s">
        <v>980</v>
      </c>
      <c r="G32" s="640" t="s">
        <v>966</v>
      </c>
      <c r="H32" s="640" t="s">
        <v>967</v>
      </c>
      <c r="I32" s="640" t="s">
        <v>979</v>
      </c>
      <c r="J32" s="787">
        <v>39594</v>
      </c>
      <c r="K32" s="787">
        <v>39594</v>
      </c>
      <c r="L32" s="640" t="s">
        <v>968</v>
      </c>
      <c r="M32" s="640">
        <v>2000</v>
      </c>
      <c r="N32" s="640">
        <v>9000</v>
      </c>
      <c r="O32" s="640">
        <v>12857.142857142857</v>
      </c>
      <c r="P32" s="640">
        <v>25714.285714285717</v>
      </c>
      <c r="Q32" s="640">
        <v>0</v>
      </c>
      <c r="R32" s="640">
        <v>0</v>
      </c>
      <c r="S32" s="640">
        <v>0</v>
      </c>
      <c r="T32" s="640">
        <v>0</v>
      </c>
      <c r="U32" s="640">
        <v>0</v>
      </c>
      <c r="V32" s="640">
        <v>0</v>
      </c>
      <c r="W32" s="640">
        <v>0</v>
      </c>
      <c r="X32" s="640">
        <v>10</v>
      </c>
      <c r="Y32" s="640" t="s">
        <v>112</v>
      </c>
      <c r="Z32" s="642" t="s">
        <v>112</v>
      </c>
    </row>
    <row r="33" spans="1:26" s="594" customFormat="1" ht="25.5">
      <c r="A33" s="593"/>
      <c r="B33" s="788">
        <v>12009</v>
      </c>
      <c r="C33" s="788">
        <v>2570</v>
      </c>
      <c r="D33" s="641" t="s">
        <v>981</v>
      </c>
      <c r="E33" s="640" t="s">
        <v>982</v>
      </c>
      <c r="F33" s="640" t="s">
        <v>983</v>
      </c>
      <c r="G33" s="640" t="s">
        <v>966</v>
      </c>
      <c r="H33" s="640" t="s">
        <v>967</v>
      </c>
      <c r="I33" s="640" t="s">
        <v>982</v>
      </c>
      <c r="J33" s="787">
        <v>39142</v>
      </c>
      <c r="K33" s="787">
        <v>39150</v>
      </c>
      <c r="L33" s="640" t="s">
        <v>968</v>
      </c>
      <c r="M33" s="640">
        <v>2000</v>
      </c>
      <c r="N33" s="640">
        <v>9000</v>
      </c>
      <c r="O33" s="640">
        <v>12857.142857142857</v>
      </c>
      <c r="P33" s="640">
        <v>25714.285714285717</v>
      </c>
      <c r="Q33" s="640">
        <v>0</v>
      </c>
      <c r="R33" s="640">
        <v>0</v>
      </c>
      <c r="S33" s="640">
        <v>0</v>
      </c>
      <c r="T33" s="640">
        <v>0</v>
      </c>
      <c r="U33" s="640">
        <v>0</v>
      </c>
      <c r="V33" s="640">
        <v>0</v>
      </c>
      <c r="W33" s="640">
        <v>0</v>
      </c>
      <c r="X33" s="640">
        <v>10</v>
      </c>
      <c r="Y33" s="640" t="s">
        <v>112</v>
      </c>
      <c r="Z33" s="642" t="s">
        <v>112</v>
      </c>
    </row>
    <row r="34" spans="1:26" s="594" customFormat="1" ht="25.5">
      <c r="A34" s="593"/>
      <c r="B34" s="788">
        <v>12009</v>
      </c>
      <c r="C34" s="788">
        <v>2570</v>
      </c>
      <c r="D34" s="641" t="s">
        <v>984</v>
      </c>
      <c r="E34" s="640" t="s">
        <v>985</v>
      </c>
      <c r="F34" s="640" t="s">
        <v>986</v>
      </c>
      <c r="G34" s="640" t="s">
        <v>966</v>
      </c>
      <c r="H34" s="640" t="s">
        <v>967</v>
      </c>
      <c r="I34" s="640" t="s">
        <v>987</v>
      </c>
      <c r="J34" s="787">
        <v>39843</v>
      </c>
      <c r="K34" s="787">
        <v>39848</v>
      </c>
      <c r="L34" s="640" t="s">
        <v>968</v>
      </c>
      <c r="M34" s="640">
        <v>2014</v>
      </c>
      <c r="N34" s="640">
        <v>9062.9999999999982</v>
      </c>
      <c r="O34" s="640">
        <v>12947.142857142855</v>
      </c>
      <c r="P34" s="640">
        <v>25894.28571428571</v>
      </c>
      <c r="Q34" s="640">
        <v>0</v>
      </c>
      <c r="R34" s="640">
        <v>0</v>
      </c>
      <c r="S34" s="640">
        <v>0</v>
      </c>
      <c r="T34" s="640">
        <v>0</v>
      </c>
      <c r="U34" s="640">
        <v>0</v>
      </c>
      <c r="V34" s="640">
        <v>0</v>
      </c>
      <c r="W34" s="640">
        <v>0</v>
      </c>
      <c r="X34" s="640">
        <v>10</v>
      </c>
      <c r="Y34" s="640" t="s">
        <v>112</v>
      </c>
      <c r="Z34" s="642" t="s">
        <v>112</v>
      </c>
    </row>
    <row r="35" spans="1:26" s="594" customFormat="1" ht="25.5">
      <c r="A35" s="593"/>
      <c r="B35" s="788">
        <v>12009</v>
      </c>
      <c r="C35" s="788">
        <v>2570</v>
      </c>
      <c r="D35" s="641" t="s">
        <v>988</v>
      </c>
      <c r="E35" s="640" t="s">
        <v>989</v>
      </c>
      <c r="F35" s="640" t="s">
        <v>990</v>
      </c>
      <c r="G35" s="640" t="s">
        <v>966</v>
      </c>
      <c r="H35" s="640" t="s">
        <v>967</v>
      </c>
      <c r="I35" s="640" t="s">
        <v>989</v>
      </c>
      <c r="J35" s="787">
        <v>39573</v>
      </c>
      <c r="K35" s="787">
        <v>39573</v>
      </c>
      <c r="L35" s="640" t="s">
        <v>968</v>
      </c>
      <c r="M35" s="640">
        <v>2789</v>
      </c>
      <c r="N35" s="640">
        <v>12550.5</v>
      </c>
      <c r="O35" s="640">
        <v>17929.285714285714</v>
      </c>
      <c r="P35" s="640">
        <v>35858.571428571428</v>
      </c>
      <c r="Q35" s="640">
        <v>0</v>
      </c>
      <c r="R35" s="640">
        <v>0</v>
      </c>
      <c r="S35" s="640">
        <v>0</v>
      </c>
      <c r="T35" s="640">
        <v>0</v>
      </c>
      <c r="U35" s="640">
        <v>0</v>
      </c>
      <c r="V35" s="640">
        <v>0</v>
      </c>
      <c r="W35" s="640">
        <v>0</v>
      </c>
      <c r="X35" s="640">
        <v>10</v>
      </c>
      <c r="Y35" s="640" t="s">
        <v>112</v>
      </c>
      <c r="Z35" s="642" t="s">
        <v>112</v>
      </c>
    </row>
    <row r="36" spans="1:26" s="594" customFormat="1" ht="38.25">
      <c r="A36" s="593"/>
      <c r="B36" s="788">
        <v>12009</v>
      </c>
      <c r="C36" s="788">
        <v>2570</v>
      </c>
      <c r="D36" s="641" t="s">
        <v>991</v>
      </c>
      <c r="E36" s="640" t="s">
        <v>992</v>
      </c>
      <c r="F36" s="640" t="s">
        <v>993</v>
      </c>
      <c r="G36" s="640" t="s">
        <v>966</v>
      </c>
      <c r="H36" s="640" t="s">
        <v>994</v>
      </c>
      <c r="I36" s="640" t="s">
        <v>992</v>
      </c>
      <c r="J36" s="787">
        <v>39867</v>
      </c>
      <c r="K36" s="787">
        <v>39409</v>
      </c>
      <c r="L36" s="640" t="s">
        <v>968</v>
      </c>
      <c r="M36" s="640">
        <v>2843</v>
      </c>
      <c r="N36" s="640">
        <v>12793.5</v>
      </c>
      <c r="O36" s="640">
        <v>14392.6875</v>
      </c>
      <c r="P36" s="640">
        <v>0</v>
      </c>
      <c r="Q36" s="640">
        <v>0</v>
      </c>
      <c r="R36" s="640">
        <v>0</v>
      </c>
      <c r="S36" s="640">
        <v>7995.9375</v>
      </c>
      <c r="T36" s="640">
        <v>23987.8125</v>
      </c>
      <c r="U36" s="640">
        <v>0</v>
      </c>
      <c r="V36" s="640">
        <v>0</v>
      </c>
      <c r="W36" s="640">
        <v>0</v>
      </c>
      <c r="X36" s="640">
        <v>10</v>
      </c>
      <c r="Y36" s="640" t="s">
        <v>112</v>
      </c>
      <c r="Z36" s="642" t="s">
        <v>112</v>
      </c>
    </row>
    <row r="37" spans="1:26" s="594" customFormat="1" ht="25.5">
      <c r="A37" s="593"/>
      <c r="B37" s="788">
        <v>12009</v>
      </c>
      <c r="C37" s="788">
        <v>2570</v>
      </c>
      <c r="D37" s="641" t="s">
        <v>995</v>
      </c>
      <c r="E37" s="640" t="s">
        <v>996</v>
      </c>
      <c r="F37" s="640" t="s">
        <v>997</v>
      </c>
      <c r="G37" s="640" t="s">
        <v>966</v>
      </c>
      <c r="H37" s="640" t="s">
        <v>967</v>
      </c>
      <c r="I37" s="640" t="s">
        <v>998</v>
      </c>
      <c r="J37" s="787">
        <v>39485</v>
      </c>
      <c r="K37" s="787">
        <v>39492</v>
      </c>
      <c r="L37" s="640" t="s">
        <v>968</v>
      </c>
      <c r="M37" s="640">
        <v>3538</v>
      </c>
      <c r="N37" s="640">
        <v>15921</v>
      </c>
      <c r="O37" s="640">
        <v>22744.285714285714</v>
      </c>
      <c r="P37" s="640">
        <v>45488.571428571435</v>
      </c>
      <c r="Q37" s="640">
        <v>0</v>
      </c>
      <c r="R37" s="640">
        <v>0</v>
      </c>
      <c r="S37" s="640">
        <v>0</v>
      </c>
      <c r="T37" s="640">
        <v>0</v>
      </c>
      <c r="U37" s="640">
        <v>0</v>
      </c>
      <c r="V37" s="640">
        <v>0</v>
      </c>
      <c r="W37" s="640">
        <v>0</v>
      </c>
      <c r="X37" s="640">
        <v>10</v>
      </c>
      <c r="Y37" s="640" t="s">
        <v>112</v>
      </c>
      <c r="Z37" s="642" t="s">
        <v>112</v>
      </c>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20046</v>
      </c>
      <c r="N58" s="598">
        <f>SUM(N28:N57)</f>
        <v>85527</v>
      </c>
      <c r="O58" s="598">
        <f t="shared" ref="O58:W58" si="2">SUM(O28:O57)</f>
        <v>118297.68749999999</v>
      </c>
      <c r="P58" s="598">
        <f t="shared" si="2"/>
        <v>207810</v>
      </c>
      <c r="Q58" s="598">
        <f t="shared" si="2"/>
        <v>0</v>
      </c>
      <c r="R58" s="598">
        <f t="shared" si="2"/>
        <v>0</v>
      </c>
      <c r="S58" s="598">
        <f t="shared" si="2"/>
        <v>7995.9375</v>
      </c>
      <c r="T58" s="598">
        <f t="shared" si="2"/>
        <v>23987.8125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1560</v>
      </c>
      <c r="N59" s="598">
        <f t="shared" si="3"/>
        <v>2340</v>
      </c>
      <c r="O59" s="598">
        <f t="shared" si="3"/>
        <v>3342.8571428571431</v>
      </c>
      <c r="P59" s="598">
        <f t="shared" si="3"/>
        <v>6685.7142857142862</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18486</v>
      </c>
      <c r="N61" s="603">
        <f t="shared" si="4"/>
        <v>83187</v>
      </c>
      <c r="O61" s="603">
        <f t="shared" si="4"/>
        <v>114954.83035714284</v>
      </c>
      <c r="P61" s="603">
        <f t="shared" si="4"/>
        <v>201124.28571428574</v>
      </c>
      <c r="Q61" s="603">
        <f t="shared" si="4"/>
        <v>0</v>
      </c>
      <c r="R61" s="603">
        <f t="shared" si="4"/>
        <v>0</v>
      </c>
      <c r="S61" s="603">
        <f t="shared" si="4"/>
        <v>7995.9375</v>
      </c>
      <c r="T61" s="603">
        <f t="shared" si="4"/>
        <v>23987.8125</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0.58038939713816551</v>
      </c>
      <c r="C98" s="623">
        <f>IF(ISERROR(N58/(O58+N58)),0,N58/(N58+O58))</f>
        <v>0.41961060286183438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87199.27938071781</v>
      </c>
      <c r="C101" s="632">
        <f t="shared" si="9"/>
        <v>0</v>
      </c>
      <c r="D101" s="632">
        <f t="shared" si="9"/>
        <v>0</v>
      </c>
      <c r="E101" s="632">
        <f t="shared" si="9"/>
        <v>3355.180154820549</v>
      </c>
      <c r="F101" s="632">
        <f t="shared" si="9"/>
        <v>10065.540464461646</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120610.72061928218</v>
      </c>
      <c r="C102" s="635">
        <f t="shared" si="10"/>
        <v>0</v>
      </c>
      <c r="D102" s="635">
        <f t="shared" si="10"/>
        <v>0</v>
      </c>
      <c r="E102" s="635">
        <f t="shared" si="10"/>
        <v>4640.7573451794506</v>
      </c>
      <c r="F102" s="635">
        <f t="shared" si="10"/>
        <v>13922.272035538352</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29690.612902835866</v>
      </c>
      <c r="C4" s="460">
        <f>huishoudens!C8</f>
        <v>0</v>
      </c>
      <c r="D4" s="460">
        <f>huishoudens!D8</f>
        <v>75296.949892875622</v>
      </c>
      <c r="E4" s="460">
        <f>huishoudens!E8</f>
        <v>1248.6619452068549</v>
      </c>
      <c r="F4" s="460">
        <f>huishoudens!F8</f>
        <v>8297.6863226853857</v>
      </c>
      <c r="G4" s="460">
        <f>huishoudens!G8</f>
        <v>0</v>
      </c>
      <c r="H4" s="460">
        <f>huishoudens!H8</f>
        <v>0</v>
      </c>
      <c r="I4" s="460">
        <f>huishoudens!I8</f>
        <v>0</v>
      </c>
      <c r="J4" s="460">
        <f>huishoudens!J8</f>
        <v>834.7640072043497</v>
      </c>
      <c r="K4" s="460">
        <f>huishoudens!K8</f>
        <v>0</v>
      </c>
      <c r="L4" s="460">
        <f>huishoudens!L8</f>
        <v>0</v>
      </c>
      <c r="M4" s="460">
        <f>huishoudens!M8</f>
        <v>0</v>
      </c>
      <c r="N4" s="460">
        <f>huishoudens!N8</f>
        <v>7225.6142556371396</v>
      </c>
      <c r="O4" s="460">
        <f>huishoudens!O8</f>
        <v>75.040000000000006</v>
      </c>
      <c r="P4" s="461">
        <f>huishoudens!P8</f>
        <v>171.6</v>
      </c>
      <c r="Q4" s="462">
        <f>SUM(B4:P4)</f>
        <v>122840.92932644521</v>
      </c>
    </row>
    <row r="5" spans="1:17">
      <c r="A5" s="459" t="s">
        <v>156</v>
      </c>
      <c r="B5" s="460">
        <f ca="1">tertiair!B16</f>
        <v>34137.74124424153</v>
      </c>
      <c r="C5" s="460">
        <f ca="1">tertiair!C16</f>
        <v>0</v>
      </c>
      <c r="D5" s="460">
        <f ca="1">tertiair!D16</f>
        <v>37036.409535314066</v>
      </c>
      <c r="E5" s="460">
        <f>tertiair!E16</f>
        <v>364.71909949299959</v>
      </c>
      <c r="F5" s="460">
        <f ca="1">tertiair!F16</f>
        <v>7865.6011799854614</v>
      </c>
      <c r="G5" s="460">
        <f>tertiair!G16</f>
        <v>0</v>
      </c>
      <c r="H5" s="460">
        <f>tertiair!H16</f>
        <v>0</v>
      </c>
      <c r="I5" s="460">
        <f>tertiair!I16</f>
        <v>0</v>
      </c>
      <c r="J5" s="460">
        <f>tertiair!J16</f>
        <v>0</v>
      </c>
      <c r="K5" s="460">
        <f>tertiair!K16</f>
        <v>0</v>
      </c>
      <c r="L5" s="460">
        <f ca="1">tertiair!L16</f>
        <v>0</v>
      </c>
      <c r="M5" s="460">
        <f>tertiair!M16</f>
        <v>0</v>
      </c>
      <c r="N5" s="460">
        <f ca="1">tertiair!N16</f>
        <v>3659.5722335770351</v>
      </c>
      <c r="O5" s="460">
        <f>tertiair!O16</f>
        <v>0</v>
      </c>
      <c r="P5" s="461">
        <f>tertiair!P16</f>
        <v>0</v>
      </c>
      <c r="Q5" s="459">
        <f t="shared" ref="Q5:Q14" ca="1" si="0">SUM(B5:P5)</f>
        <v>83064.043292611095</v>
      </c>
    </row>
    <row r="6" spans="1:17">
      <c r="A6" s="459" t="s">
        <v>194</v>
      </c>
      <c r="B6" s="460">
        <f>'openbare verlichting'!B8</f>
        <v>1277.5419999999999</v>
      </c>
      <c r="C6" s="460"/>
      <c r="D6" s="460"/>
      <c r="E6" s="460"/>
      <c r="F6" s="460"/>
      <c r="G6" s="460"/>
      <c r="H6" s="460"/>
      <c r="I6" s="460"/>
      <c r="J6" s="460"/>
      <c r="K6" s="460"/>
      <c r="L6" s="460"/>
      <c r="M6" s="460"/>
      <c r="N6" s="460"/>
      <c r="O6" s="460"/>
      <c r="P6" s="461"/>
      <c r="Q6" s="459">
        <f t="shared" si="0"/>
        <v>1277.5419999999999</v>
      </c>
    </row>
    <row r="7" spans="1:17">
      <c r="A7" s="459" t="s">
        <v>112</v>
      </c>
      <c r="B7" s="460">
        <f>landbouw!B8</f>
        <v>7447.4472759344999</v>
      </c>
      <c r="C7" s="460">
        <f>landbouw!C8</f>
        <v>114954.83035714284</v>
      </c>
      <c r="D7" s="460">
        <f>landbouw!D8</f>
        <v>44931.781206107378</v>
      </c>
      <c r="E7" s="460">
        <f>landbouw!E8</f>
        <v>77.991280180171842</v>
      </c>
      <c r="F7" s="460">
        <f>landbouw!F8</f>
        <v>23884.795699105027</v>
      </c>
      <c r="G7" s="460">
        <f>landbouw!G8</f>
        <v>0</v>
      </c>
      <c r="H7" s="460">
        <f>landbouw!H8</f>
        <v>0</v>
      </c>
      <c r="I7" s="460">
        <f>landbouw!I8</f>
        <v>0</v>
      </c>
      <c r="J7" s="460">
        <f>landbouw!J8</f>
        <v>665.12379434966192</v>
      </c>
      <c r="K7" s="460">
        <f>landbouw!K8</f>
        <v>0</v>
      </c>
      <c r="L7" s="460">
        <f>landbouw!L8</f>
        <v>0</v>
      </c>
      <c r="M7" s="460">
        <f>landbouw!M8</f>
        <v>0</v>
      </c>
      <c r="N7" s="460">
        <f>landbouw!N8</f>
        <v>0</v>
      </c>
      <c r="O7" s="460">
        <f>landbouw!O8</f>
        <v>0</v>
      </c>
      <c r="P7" s="461">
        <f>landbouw!P8</f>
        <v>0</v>
      </c>
      <c r="Q7" s="459">
        <f t="shared" si="0"/>
        <v>191961.96961281955</v>
      </c>
    </row>
    <row r="8" spans="1:17">
      <c r="A8" s="459" t="s">
        <v>655</v>
      </c>
      <c r="B8" s="460">
        <f>industrie!B18</f>
        <v>78018.931605987877</v>
      </c>
      <c r="C8" s="460">
        <f>industrie!C18</f>
        <v>3342.8571428571431</v>
      </c>
      <c r="D8" s="460">
        <f>industrie!D18</f>
        <v>313517.50466924789</v>
      </c>
      <c r="E8" s="460">
        <f>industrie!E18</f>
        <v>1923.6473332709793</v>
      </c>
      <c r="F8" s="460">
        <f>industrie!F18</f>
        <v>16208.570962765507</v>
      </c>
      <c r="G8" s="460">
        <f>industrie!G18</f>
        <v>0</v>
      </c>
      <c r="H8" s="460">
        <f>industrie!H18</f>
        <v>0</v>
      </c>
      <c r="I8" s="460">
        <f>industrie!I18</f>
        <v>0</v>
      </c>
      <c r="J8" s="460">
        <f>industrie!J18</f>
        <v>128.37697256037265</v>
      </c>
      <c r="K8" s="460">
        <f>industrie!K18</f>
        <v>0</v>
      </c>
      <c r="L8" s="460">
        <f>industrie!L18</f>
        <v>0</v>
      </c>
      <c r="M8" s="460">
        <f>industrie!M18</f>
        <v>0</v>
      </c>
      <c r="N8" s="460">
        <f>industrie!N18</f>
        <v>372.11389917252882</v>
      </c>
      <c r="O8" s="460">
        <f>industrie!O18</f>
        <v>0</v>
      </c>
      <c r="P8" s="461">
        <f>industrie!P18</f>
        <v>0</v>
      </c>
      <c r="Q8" s="459">
        <f t="shared" si="0"/>
        <v>413512.00258586224</v>
      </c>
    </row>
    <row r="9" spans="1:17" s="465" customFormat="1">
      <c r="A9" s="463" t="s">
        <v>573</v>
      </c>
      <c r="B9" s="464">
        <f>transport!B14</f>
        <v>0.26597501715776861</v>
      </c>
      <c r="C9" s="464">
        <f>transport!C14</f>
        <v>0</v>
      </c>
      <c r="D9" s="464">
        <f>transport!D14</f>
        <v>1.2364302228955886</v>
      </c>
      <c r="E9" s="464">
        <f>transport!E14</f>
        <v>126.80710227033428</v>
      </c>
      <c r="F9" s="464">
        <f>transport!F14</f>
        <v>0</v>
      </c>
      <c r="G9" s="464">
        <f>transport!G14</f>
        <v>22884.329160192985</v>
      </c>
      <c r="H9" s="464">
        <f>transport!H14</f>
        <v>4137.4447418241498</v>
      </c>
      <c r="I9" s="464">
        <f>transport!I14</f>
        <v>0</v>
      </c>
      <c r="J9" s="464">
        <f>transport!J14</f>
        <v>0</v>
      </c>
      <c r="K9" s="464">
        <f>transport!K14</f>
        <v>0</v>
      </c>
      <c r="L9" s="464">
        <f>transport!L14</f>
        <v>0</v>
      </c>
      <c r="M9" s="464">
        <f>transport!M14</f>
        <v>1179.6171859168608</v>
      </c>
      <c r="N9" s="464">
        <f>transport!N14</f>
        <v>0</v>
      </c>
      <c r="O9" s="464">
        <f>transport!O14</f>
        <v>0</v>
      </c>
      <c r="P9" s="464">
        <f>transport!P14</f>
        <v>0</v>
      </c>
      <c r="Q9" s="463">
        <f>SUM(B9:P9)</f>
        <v>28329.700595444385</v>
      </c>
    </row>
    <row r="10" spans="1:17">
      <c r="A10" s="459" t="s">
        <v>563</v>
      </c>
      <c r="B10" s="460">
        <f>transport!B54</f>
        <v>0</v>
      </c>
      <c r="C10" s="460">
        <f>transport!C54</f>
        <v>0</v>
      </c>
      <c r="D10" s="460">
        <f>transport!D54</f>
        <v>0</v>
      </c>
      <c r="E10" s="460">
        <f>transport!E54</f>
        <v>0</v>
      </c>
      <c r="F10" s="460">
        <f>transport!F54</f>
        <v>0</v>
      </c>
      <c r="G10" s="460">
        <f>transport!G54</f>
        <v>1451.4089489375904</v>
      </c>
      <c r="H10" s="460">
        <f>transport!H54</f>
        <v>0</v>
      </c>
      <c r="I10" s="460">
        <f>transport!I54</f>
        <v>0</v>
      </c>
      <c r="J10" s="460">
        <f>transport!J54</f>
        <v>0</v>
      </c>
      <c r="K10" s="460">
        <f>transport!K54</f>
        <v>0</v>
      </c>
      <c r="L10" s="460">
        <f>transport!L54</f>
        <v>0</v>
      </c>
      <c r="M10" s="460">
        <f>transport!M54</f>
        <v>61.867257881041965</v>
      </c>
      <c r="N10" s="460">
        <f>transport!N54</f>
        <v>0</v>
      </c>
      <c r="O10" s="460">
        <f>transport!O54</f>
        <v>0</v>
      </c>
      <c r="P10" s="461">
        <f>transport!P54</f>
        <v>0</v>
      </c>
      <c r="Q10" s="459">
        <f t="shared" si="0"/>
        <v>1513.2762068186323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1099.1570112218801</v>
      </c>
      <c r="C14" s="467"/>
      <c r="D14" s="467">
        <f>'SEAP template'!E25</f>
        <v>2403.8922226902696</v>
      </c>
      <c r="E14" s="467"/>
      <c r="F14" s="467"/>
      <c r="G14" s="467"/>
      <c r="H14" s="467"/>
      <c r="I14" s="467"/>
      <c r="J14" s="467"/>
      <c r="K14" s="467"/>
      <c r="L14" s="467"/>
      <c r="M14" s="467"/>
      <c r="N14" s="467"/>
      <c r="O14" s="467"/>
      <c r="P14" s="468"/>
      <c r="Q14" s="459">
        <f t="shared" si="0"/>
        <v>3503.0492339121497</v>
      </c>
    </row>
    <row r="15" spans="1:17" s="472" customFormat="1">
      <c r="A15" s="469" t="s">
        <v>567</v>
      </c>
      <c r="B15" s="470">
        <f ca="1">SUM(B4:B14)</f>
        <v>151671.69801523883</v>
      </c>
      <c r="C15" s="470">
        <f t="shared" ref="C15:Q15" ca="1" si="1">SUM(C4:C14)</f>
        <v>118297.68749999999</v>
      </c>
      <c r="D15" s="470">
        <f t="shared" ca="1" si="1"/>
        <v>473187.77395645808</v>
      </c>
      <c r="E15" s="470">
        <f t="shared" si="1"/>
        <v>3741.8267604213397</v>
      </c>
      <c r="F15" s="470">
        <f t="shared" ca="1" si="1"/>
        <v>56256.654164541382</v>
      </c>
      <c r="G15" s="470">
        <f t="shared" si="1"/>
        <v>24335.738109130576</v>
      </c>
      <c r="H15" s="470">
        <f t="shared" si="1"/>
        <v>4137.4447418241498</v>
      </c>
      <c r="I15" s="470">
        <f t="shared" si="1"/>
        <v>0</v>
      </c>
      <c r="J15" s="470">
        <f t="shared" si="1"/>
        <v>1628.2647741143844</v>
      </c>
      <c r="K15" s="470">
        <f t="shared" si="1"/>
        <v>0</v>
      </c>
      <c r="L15" s="470">
        <f t="shared" ca="1" si="1"/>
        <v>0</v>
      </c>
      <c r="M15" s="470">
        <f t="shared" si="1"/>
        <v>1241.4844437979027</v>
      </c>
      <c r="N15" s="470">
        <f t="shared" ca="1" si="1"/>
        <v>11257.300388386704</v>
      </c>
      <c r="O15" s="470">
        <f t="shared" si="1"/>
        <v>75.040000000000006</v>
      </c>
      <c r="P15" s="470">
        <f t="shared" si="1"/>
        <v>171.6</v>
      </c>
      <c r="Q15" s="470">
        <f t="shared" ca="1" si="1"/>
        <v>846002.51285391324</v>
      </c>
    </row>
    <row r="17" spans="1:17">
      <c r="A17" s="473" t="s">
        <v>568</v>
      </c>
      <c r="B17" s="777">
        <f ca="1">huishoudens!B10</f>
        <v>0.32491475139127535</v>
      </c>
      <c r="C17" s="777">
        <f ca="1">huishoudens!C10</f>
        <v>0.21642390749403212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9646.9181099795078</v>
      </c>
      <c r="C22" s="460">
        <f t="shared" ref="C22:C32" ca="1" si="3">C4*$C$17</f>
        <v>0</v>
      </c>
      <c r="D22" s="460">
        <f t="shared" ref="D22:D32" si="4">D4*$D$17</f>
        <v>15209.983878360877</v>
      </c>
      <c r="E22" s="460">
        <f t="shared" ref="E22:E32" si="5">E4*$E$17</f>
        <v>283.44626156195608</v>
      </c>
      <c r="F22" s="460">
        <f t="shared" ref="F22:F32" si="6">F4*$F$17</f>
        <v>2215.4822481569981</v>
      </c>
      <c r="G22" s="460">
        <f t="shared" ref="G22:G32" si="7">G4*$G$17</f>
        <v>0</v>
      </c>
      <c r="H22" s="460">
        <f t="shared" ref="H22:H32" si="8">H4*$H$17</f>
        <v>0</v>
      </c>
      <c r="I22" s="460">
        <f t="shared" ref="I22:I32" si="9">I4*$I$17</f>
        <v>0</v>
      </c>
      <c r="J22" s="460">
        <f t="shared" ref="J22:J32" si="10">J4*$J$17</f>
        <v>295.5064585503398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27651.336956609677</v>
      </c>
    </row>
    <row r="23" spans="1:17">
      <c r="A23" s="459" t="s">
        <v>156</v>
      </c>
      <c r="B23" s="460">
        <f t="shared" ca="1" si="2"/>
        <v>11091.855709432424</v>
      </c>
      <c r="C23" s="460">
        <f t="shared" ca="1" si="3"/>
        <v>0</v>
      </c>
      <c r="D23" s="460">
        <f t="shared" ca="1" si="4"/>
        <v>7481.3547261334415</v>
      </c>
      <c r="E23" s="460">
        <f t="shared" si="5"/>
        <v>82.791235584910908</v>
      </c>
      <c r="F23" s="460">
        <f t="shared" ca="1" si="6"/>
        <v>2100.1155150561185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20756.117186206895</v>
      </c>
    </row>
    <row r="24" spans="1:17">
      <c r="A24" s="459" t="s">
        <v>194</v>
      </c>
      <c r="B24" s="460">
        <f t="shared" ca="1" si="2"/>
        <v>415.09224132191264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415.09224132191264</v>
      </c>
    </row>
    <row r="25" spans="1:17">
      <c r="A25" s="459" t="s">
        <v>112</v>
      </c>
      <c r="B25" s="460">
        <f t="shared" ca="1" si="2"/>
        <v>2419.7854801598887</v>
      </c>
      <c r="C25" s="460">
        <f t="shared" ca="1" si="3"/>
        <v>24878.973571206436</v>
      </c>
      <c r="D25" s="460">
        <f t="shared" si="4"/>
        <v>9076.2198036336904</v>
      </c>
      <c r="E25" s="460">
        <f t="shared" si="5"/>
        <v>17.704020600899007</v>
      </c>
      <c r="F25" s="460">
        <f t="shared" si="6"/>
        <v>6377.2404516610422</v>
      </c>
      <c r="G25" s="460">
        <f t="shared" si="7"/>
        <v>0</v>
      </c>
      <c r="H25" s="460">
        <f t="shared" si="8"/>
        <v>0</v>
      </c>
      <c r="I25" s="460">
        <f t="shared" si="9"/>
        <v>0</v>
      </c>
      <c r="J25" s="460">
        <f t="shared" si="10"/>
        <v>235.45382319978032</v>
      </c>
      <c r="K25" s="460">
        <f t="shared" si="11"/>
        <v>0</v>
      </c>
      <c r="L25" s="460">
        <f t="shared" si="12"/>
        <v>0</v>
      </c>
      <c r="M25" s="460">
        <f t="shared" si="13"/>
        <v>0</v>
      </c>
      <c r="N25" s="460">
        <f t="shared" si="14"/>
        <v>0</v>
      </c>
      <c r="O25" s="460">
        <f t="shared" si="15"/>
        <v>0</v>
      </c>
      <c r="P25" s="461">
        <f t="shared" si="16"/>
        <v>0</v>
      </c>
      <c r="Q25" s="459">
        <f t="shared" ca="1" si="17"/>
        <v>43005.377150461733</v>
      </c>
    </row>
    <row r="26" spans="1:17">
      <c r="A26" s="459" t="s">
        <v>655</v>
      </c>
      <c r="B26" s="460">
        <f t="shared" ca="1" si="2"/>
        <v>25349.501766572466</v>
      </c>
      <c r="C26" s="460">
        <f t="shared" ca="1" si="3"/>
        <v>723.47420505147886</v>
      </c>
      <c r="D26" s="460">
        <f t="shared" si="4"/>
        <v>63330.535943188079</v>
      </c>
      <c r="E26" s="460">
        <f t="shared" si="5"/>
        <v>436.66794465251229</v>
      </c>
      <c r="F26" s="460">
        <f t="shared" si="6"/>
        <v>4327.6884470583909</v>
      </c>
      <c r="G26" s="460">
        <f t="shared" si="7"/>
        <v>0</v>
      </c>
      <c r="H26" s="460">
        <f t="shared" si="8"/>
        <v>0</v>
      </c>
      <c r="I26" s="460">
        <f t="shared" si="9"/>
        <v>0</v>
      </c>
      <c r="J26" s="460">
        <f t="shared" si="10"/>
        <v>45.445448286371914</v>
      </c>
      <c r="K26" s="460">
        <f t="shared" si="11"/>
        <v>0</v>
      </c>
      <c r="L26" s="460">
        <f t="shared" si="12"/>
        <v>0</v>
      </c>
      <c r="M26" s="460">
        <f t="shared" si="13"/>
        <v>0</v>
      </c>
      <c r="N26" s="460">
        <f t="shared" si="14"/>
        <v>0</v>
      </c>
      <c r="O26" s="460">
        <f t="shared" si="15"/>
        <v>0</v>
      </c>
      <c r="P26" s="461">
        <f t="shared" si="16"/>
        <v>0</v>
      </c>
      <c r="Q26" s="459">
        <f t="shared" ca="1" si="17"/>
        <v>94213.313754809293</v>
      </c>
    </row>
    <row r="27" spans="1:17" s="465" customFormat="1">
      <c r="A27" s="463" t="s">
        <v>573</v>
      </c>
      <c r="B27" s="771">
        <f t="shared" ca="1" si="2"/>
        <v>8.6419206576106578E-2</v>
      </c>
      <c r="C27" s="464">
        <f t="shared" ca="1" si="3"/>
        <v>0</v>
      </c>
      <c r="D27" s="464">
        <f t="shared" si="4"/>
        <v>0.24975890502490891</v>
      </c>
      <c r="E27" s="464">
        <f t="shared" si="5"/>
        <v>28.785212215365885</v>
      </c>
      <c r="F27" s="464">
        <f t="shared" si="6"/>
        <v>0</v>
      </c>
      <c r="G27" s="464">
        <f t="shared" si="7"/>
        <v>6110.1158857715272</v>
      </c>
      <c r="H27" s="464">
        <f t="shared" si="8"/>
        <v>1030.2237407142134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7169.4610168127074</v>
      </c>
    </row>
    <row r="28" spans="1:17">
      <c r="A28" s="459" t="s">
        <v>563</v>
      </c>
      <c r="B28" s="460">
        <f t="shared" ca="1" si="2"/>
        <v>0</v>
      </c>
      <c r="C28" s="460">
        <f t="shared" ca="1" si="3"/>
        <v>0</v>
      </c>
      <c r="D28" s="460">
        <f t="shared" si="4"/>
        <v>0</v>
      </c>
      <c r="E28" s="460">
        <f t="shared" si="5"/>
        <v>0</v>
      </c>
      <c r="F28" s="460">
        <f t="shared" si="6"/>
        <v>0</v>
      </c>
      <c r="G28" s="460">
        <f t="shared" si="7"/>
        <v>387.52618936633667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387.52618936633667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357.13232704113443</v>
      </c>
      <c r="C32" s="460">
        <f t="shared" ca="1" si="3"/>
        <v>0</v>
      </c>
      <c r="D32" s="460">
        <f t="shared" si="4"/>
        <v>485.58622898343447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842.7185560245689</v>
      </c>
    </row>
    <row r="33" spans="1:17" s="472" customFormat="1">
      <c r="A33" s="469" t="s">
        <v>567</v>
      </c>
      <c r="B33" s="470">
        <f ca="1">SUM(B22:B32)</f>
        <v>49280.372053713916</v>
      </c>
      <c r="C33" s="470">
        <f t="shared" ref="C33:Q33" ca="1" si="19">SUM(C22:C32)</f>
        <v>25602.447776257915</v>
      </c>
      <c r="D33" s="470">
        <f t="shared" ca="1" si="19"/>
        <v>95583.93033920454</v>
      </c>
      <c r="E33" s="470">
        <f t="shared" si="19"/>
        <v>849.39467461564413</v>
      </c>
      <c r="F33" s="470">
        <f t="shared" ca="1" si="19"/>
        <v>15020.526661932548</v>
      </c>
      <c r="G33" s="470">
        <f t="shared" si="19"/>
        <v>6497.6420751378637</v>
      </c>
      <c r="H33" s="470">
        <f t="shared" si="19"/>
        <v>1030.2237407142134</v>
      </c>
      <c r="I33" s="470">
        <f t="shared" si="19"/>
        <v>0</v>
      </c>
      <c r="J33" s="470">
        <f t="shared" si="19"/>
        <v>576.40573003649206</v>
      </c>
      <c r="K33" s="470">
        <f t="shared" si="19"/>
        <v>0</v>
      </c>
      <c r="L33" s="470">
        <f t="shared" ca="1" si="19"/>
        <v>0</v>
      </c>
      <c r="M33" s="470">
        <f t="shared" si="19"/>
        <v>0</v>
      </c>
      <c r="N33" s="470">
        <f t="shared" ca="1" si="19"/>
        <v>0</v>
      </c>
      <c r="O33" s="470">
        <f t="shared" si="19"/>
        <v>0</v>
      </c>
      <c r="P33" s="470">
        <f t="shared" si="19"/>
        <v>0</v>
      </c>
      <c r="Q33" s="470">
        <f t="shared" ca="1" si="19"/>
        <v>194440.94305161311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3883.9319803024391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8555.7093947923986</v>
      </c>
      <c r="C8" s="1028">
        <f>'SEAP template'!C76</f>
        <v>76971.2906052076</v>
      </c>
      <c r="D8" s="1028">
        <f>'SEAP template'!D76</f>
        <v>87199.27938071781</v>
      </c>
      <c r="E8" s="1028">
        <f>'SEAP template'!E76</f>
        <v>0</v>
      </c>
      <c r="F8" s="1028">
        <f>'SEAP template'!F76</f>
        <v>3355.180154820549</v>
      </c>
      <c r="G8" s="1028">
        <f>'SEAP template'!G76</f>
        <v>0</v>
      </c>
      <c r="H8" s="1028">
        <f>'SEAP template'!H76</f>
        <v>0</v>
      </c>
      <c r="I8" s="1028">
        <f>'SEAP template'!I76</f>
        <v>10065.540464461646</v>
      </c>
      <c r="J8" s="1028">
        <f>'SEAP template'!J76</f>
        <v>0</v>
      </c>
      <c r="K8" s="1028">
        <f>'SEAP template'!K76</f>
        <v>0</v>
      </c>
      <c r="L8" s="1028">
        <f>'SEAP template'!L76</f>
        <v>0</v>
      </c>
      <c r="M8" s="1028">
        <f>'SEAP template'!M76</f>
        <v>0</v>
      </c>
      <c r="N8" s="1028">
        <f>'SEAP template'!N76</f>
        <v>0</v>
      </c>
      <c r="O8" s="1028">
        <f>'SEAP template'!O76</f>
        <v>0</v>
      </c>
      <c r="P8" s="1029">
        <f>'SEAP template'!Q76</f>
        <v>18510.087536242088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12439.641375094838</v>
      </c>
      <c r="C10" s="1032">
        <f>SUM(C4:C9)</f>
        <v>76971.2906052076</v>
      </c>
      <c r="D10" s="1032">
        <f t="shared" ref="D10:H10" si="0">SUM(D8:D9)</f>
        <v>87199.27938071781</v>
      </c>
      <c r="E10" s="1032">
        <f t="shared" si="0"/>
        <v>0</v>
      </c>
      <c r="F10" s="1032">
        <f t="shared" si="0"/>
        <v>3355.180154820549</v>
      </c>
      <c r="G10" s="1032">
        <f t="shared" si="0"/>
        <v>0</v>
      </c>
      <c r="H10" s="1032">
        <f t="shared" si="0"/>
        <v>0</v>
      </c>
      <c r="I10" s="1032">
        <f>SUM(I8:I9)</f>
        <v>10065.540464461646</v>
      </c>
      <c r="J10" s="1032">
        <f>SUM(J8:J9)</f>
        <v>0</v>
      </c>
      <c r="K10" s="1032">
        <f t="shared" ref="K10:L10" si="1">SUM(K8:K9)</f>
        <v>0</v>
      </c>
      <c r="L10" s="1032">
        <f t="shared" si="1"/>
        <v>0</v>
      </c>
      <c r="M10" s="1032">
        <f>SUM(M8:M9)</f>
        <v>0</v>
      </c>
      <c r="N10" s="1032">
        <f>SUM(N8:N9)</f>
        <v>0</v>
      </c>
      <c r="O10" s="1032">
        <f>SUM(O8:O9)</f>
        <v>0</v>
      </c>
      <c r="P10" s="1032">
        <f>SUM(P8:P9)</f>
        <v>18510.087536242088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0.32491475139127535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11833.9312302076</v>
      </c>
      <c r="C17" s="1035">
        <f>'SEAP template'!C87</f>
        <v>106463.75626979239</v>
      </c>
      <c r="D17" s="1029">
        <f>'SEAP template'!D87</f>
        <v>120610.72061928218</v>
      </c>
      <c r="E17" s="1029">
        <f>'SEAP template'!E87</f>
        <v>0</v>
      </c>
      <c r="F17" s="1029">
        <f>'SEAP template'!F87</f>
        <v>4640.7573451794506</v>
      </c>
      <c r="G17" s="1029">
        <f>'SEAP template'!G87</f>
        <v>0</v>
      </c>
      <c r="H17" s="1029">
        <f>'SEAP template'!H87</f>
        <v>0</v>
      </c>
      <c r="I17" s="1029">
        <f>'SEAP template'!I87</f>
        <v>13922.272035538352</v>
      </c>
      <c r="J17" s="1029">
        <f>'SEAP template'!J87</f>
        <v>0</v>
      </c>
      <c r="K17" s="1029">
        <f>'SEAP template'!K87</f>
        <v>0</v>
      </c>
      <c r="L17" s="1029">
        <f>'SEAP template'!L87</f>
        <v>0</v>
      </c>
      <c r="M17" s="1029">
        <f>'SEAP template'!M87</f>
        <v>0</v>
      </c>
      <c r="N17" s="1029">
        <f>'SEAP template'!N87</f>
        <v>0</v>
      </c>
      <c r="O17" s="1029">
        <f>'SEAP template'!O87</f>
        <v>0</v>
      </c>
      <c r="P17" s="1029">
        <f>'SEAP template'!Q87</f>
        <v>25602.447776257915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11833.9312302076</v>
      </c>
      <c r="C20" s="1032">
        <f>SUM(C17:C19)</f>
        <v>106463.75626979239</v>
      </c>
      <c r="D20" s="1032">
        <f t="shared" ref="D20:H20" si="2">SUM(D17:D19)</f>
        <v>120610.72061928218</v>
      </c>
      <c r="E20" s="1032">
        <f t="shared" si="2"/>
        <v>0</v>
      </c>
      <c r="F20" s="1032">
        <f t="shared" si="2"/>
        <v>4640.7573451794506</v>
      </c>
      <c r="G20" s="1032">
        <f t="shared" si="2"/>
        <v>0</v>
      </c>
      <c r="H20" s="1032">
        <f t="shared" si="2"/>
        <v>0</v>
      </c>
      <c r="I20" s="1032">
        <f>SUM(I17:I19)</f>
        <v>13922.272035538352</v>
      </c>
      <c r="J20" s="1032">
        <f>SUM(J17:J19)</f>
        <v>0</v>
      </c>
      <c r="K20" s="1032">
        <f t="shared" ref="K20:L20" si="3">SUM(K17:K19)</f>
        <v>0</v>
      </c>
      <c r="L20" s="1032">
        <f t="shared" si="3"/>
        <v>0</v>
      </c>
      <c r="M20" s="1032">
        <f>SUM(M17:M19)</f>
        <v>0</v>
      </c>
      <c r="N20" s="1032">
        <f>SUM(N17:N19)</f>
        <v>0</v>
      </c>
      <c r="O20" s="1032">
        <f>SUM(O17:O19)</f>
        <v>0</v>
      </c>
      <c r="P20" s="1032">
        <f>SUM(P17:P19)</f>
        <v>25602.447776257915</v>
      </c>
    </row>
    <row r="22" spans="1:16">
      <c r="A22" s="473" t="s">
        <v>947</v>
      </c>
      <c r="B22" s="777" t="s">
        <v>941</v>
      </c>
      <c r="C22" s="777">
        <f ca="1">'EF ele_warmte'!B22</f>
        <v>0.21642390749403212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0.32491475139127535</v>
      </c>
      <c r="C17" s="509">
        <f ca="1">'EF ele_warmte'!B22</f>
        <v>0.21642390749403212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2019-06-29T16:03:37Z</dcterms:modified>
</cp:coreProperties>
</file>