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<sst xmlns="http://schemas.openxmlformats.org/spreadsheetml/2006/main" count="2502" uniqueCount="969">
  <si>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</si>
  <si>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</si>
  <si>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</si>
  <si>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</si>
  <si>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</si>
  <si>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</si>
  <si>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</si>
  <si>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</si>
  <si>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</si>
  <si>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</si>
  <si>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</si>
  <si>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</si>
  <si>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</si>
  <si>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</si>
  <si>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</si>
  <si>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</si>
  <si>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</si>
  <si>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</si>
  <si>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</si>
  <si>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</si>
  <si>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</si>
  <si>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</si>
  <si>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</si>
  <si>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</si>
  <si>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</si>
  <si>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</si>
  <si>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</si>
  <si>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</si>
  <si>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</si>
  <si>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</si>
  <si>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</si>
  <si>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</si>
  <si>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</si>
  <si>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</si>
  <si>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</si>
  <si>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</si>
  <si>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</si>
  <si>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</si>
  <si>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</si>
  <si>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</si>
  <si>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</si>
  <si>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</si>
  <si>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</si>
  <si>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</si>
  <si>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</si>
  <si>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</si>
  <si>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</si>
  <si>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</si>
  <si>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</si>
  <si>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</si>
  <si>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</si>
  <si>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</si>
  <si>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</si>
  <si>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</si>
  <si>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</si>
  <si>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</si>
  <si>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</si>
  <si>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</si>
  <si>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</si>
  <si>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</si>
  <si>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</si>
  <si>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</si>
  <si>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</si>
  <si>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</si>
  <si>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</si>
  <si>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</si>
  <si>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</si>
  <si>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</si>
  <si>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</si>
  <si>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</si>
  <si>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</si>
  <si>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</si>
  <si>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</si>
  <si>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</si>
  <si>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</si>
  <si>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</si>
  <si>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</si>
  <si>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</si>
  <si>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</si>
  <si>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</si>
  <si>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</si>
  <si>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</si>
  <si>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</si>
  <si>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</si>
  <si>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</si>
  <si>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</si>
  <si>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</si>
  <si>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</si>
  <si>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</si>
  <si>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</si>
  <si>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</si>
  <si>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</si>
  <si>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</si>
  <si>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</si>
  <si>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</si>
  <si>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</si>
  <si>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</si>
  <si>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</si>
  <si>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</si>
  <si>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</si>
  <si>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</si>
  <si>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</si>
  <si>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</si>
  <si>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</si>
  <si>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</si>
  <si>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</si>
  <si>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</si>
  <si>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</si>
  <si>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</si>
  <si>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</si>
  <si>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</si>
  <si>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</si>
  <si>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</si>
  <si>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</si>
  <si>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</si>
  <si>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</si>
  <si>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</si>
  <si>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</si>
  <si>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</si>
  <si>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</si>
  <si>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</si>
  <si>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</si>
  <si>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</si>
  <si>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</si>
  <si>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</si>
  <si>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</si>
  <si>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</si>
  <si>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</si>
  <si>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</si>
  <si>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</si>
  <si>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</si>
  <si>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</si>
  <si>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</si>
  <si>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</si>
  <si>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</si>
  <si>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</si>
  <si>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</si>
  <si>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</si>
  <si>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</si>
  <si>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</si>
  <si>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</si>
  <si>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</si>
  <si>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</si>
  <si>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</si>
  <si>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</si>
  <si>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</si>
  <si>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</si>
  <si>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</si>
  <si>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</si>
  <si>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</si>
  <si>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</si>
  <si>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</si>
  <si>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</si>
  <si>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</si>
  <si>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</si>
  <si>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</si>
  <si>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</si>
  <si>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</si>
  <si>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</si>
  <si>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</si>
  <si>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</si>
  <si>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</si>
  <si>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</si>
  <si>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</si>
  <si>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</si>
  <si>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</si>
  <si>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</si>
  <si>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</si>
  <si>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</si>
  <si>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</si>
  <si>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</si>
  <si>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</si>
  <si>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</si>
  <si>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</si>
  <si>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</si>
  <si>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</si>
  <si>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</si>
  <si>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</si>
  <si>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</si>
  <si>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</si>
  <si>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</si>
  <si>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</si>
  <si>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</si>
  <si>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</si>
  <si>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</si>
  <si>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</si>
  <si>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</si>
  <si>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</si>
  <si>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</si>
  <si>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</si>
  <si>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</si>
  <si>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</si>
  <si>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</si>
  <si>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</si>
  <si>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</si>
  <si>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</si>
  <si>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</si>
  <si>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</si>
  <si>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</si>
  <si>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</si>
  <si>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</si>
  <si>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</si>
  <si>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</si>
  <si>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</si>
  <si>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</si>
  <si>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</si>
  <si>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</si>
  <si>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</si>
  <si>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</si>
  <si>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</si>
  <si>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</si>
  <si>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</si>
  <si>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</si>
  <si>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</si>
  <si>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</si>
  <si>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</si>
  <si>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</si>
  <si>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</si>
  <si>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</si>
  <si>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</si>
  <si>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</si>
  <si>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</si>
  <si>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</si>
  <si>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</si>
  <si>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</si>
  <si>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</si>
  <si>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</si>
  <si>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</si>
  <si>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</si>
  <si>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</si>
  <si>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</si>
  <si>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</si>
  <si>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</si>
  <si>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</si>
  <si>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</si>
  <si>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</si>
  <si>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</si>
  <si>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</si>
  <si>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</si>
  <si>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</si>
  <si>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</si>
  <si>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</si>
  <si>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</si>
  <si>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</si>
  <si>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</si>
  <si>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</si>
  <si>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</si>
  <si>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</si>
  <si>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</si>
  <si>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</si>
  <si>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</si>
  <si>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</si>
  <si>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</si>
  <si>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</si>
  <si>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</si>
  <si>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</si>
  <si>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</si>
  <si>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</si>
  <si>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</si>
  <si>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</si>
  <si>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</si>
  <si>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</si>
  <si>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</si>
  <si>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</si>
  <si>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</si>
  <si>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</si>
  <si>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</si>
  <si>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</si>
  <si>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</si>
  <si>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</si>
  <si>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</si>
  <si>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</si>
  <si>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</si>
  <si>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</si>
  <si>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</si>
  <si>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</si>
  <si>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</si>
  <si>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</si>
  <si>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</si>
  <si>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</si>
  <si>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</si>
  <si>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</si>
  <si>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</si>
  <si>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</si>
  <si>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</si>
  <si>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</si>
  <si>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</si>
  <si>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</si>
  <si>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</si>
  <si>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</si>
  <si>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</si>
  <si>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</si>
  <si>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</si>
  <si>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</si>
  <si>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</si>
  <si>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</si>
  <si>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</si>
  <si>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</si>
  <si>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</si>
  <si>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</si>
  <si>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</si>
  <si>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</si>
  <si>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</si>
  <si>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</si>
  <si>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</si>
  <si>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</si>
  <si>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</si>
  <si>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</si>
  <si>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</si>
  <si>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</si>
  <si>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</si>
  <si>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</si>
  <si>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</si>
  <si>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</si>
  <si>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</si>
  <si>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</si>
  <si>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</si>
  <si>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</si>
  <si>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</si>
  <si>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</si>
  <si>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</si>
  <si>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</si>
  <si>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</si>
  <si>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</si>
  <si>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</si>
  <si>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</si>
  <si>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</si>
  <si>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</si>
  <si>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</si>
  <si>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</si>
  <si>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</si>
  <si>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</si>
  <si>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</si>
  <si>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</si>
  <si>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</si>
  <si>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</si>
  <si>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</si>
  <si>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</si>
  <si>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</si>
  <si>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</si>
  <si>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</si>
  <si>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</si>
  <si>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</si>
  <si>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</si>
  <si>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</si>
  <si>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</si>
  <si>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</si>
  <si>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</si>
  <si>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</si>
  <si>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</si>
  <si>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</si>
  <si>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</si>
  <si>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</si>
  <si>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</si>
  <si>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</si>
  <si>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</si>
  <si>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</si>
  <si>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</si>
  <si>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</si>
  <si>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</si>
  <si>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</si>
  <si>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</si>
  <si>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</si>
  <si>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</si>
  <si>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</si>
  <si>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</si>
  <si>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</si>
  <si>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</si>
  <si>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</si>
  <si>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</si>
  <si>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</si>
  <si>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</si>
  <si>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</si>
  <si>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</si>
  <si>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</si>
  <si>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</si>
  <si>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</si>
  <si>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</si>
  <si>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</si>
  <si>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</si>
  <si>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</si>
  <si>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</si>
  <si>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</si>
  <si>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</si>
  <si>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</si>
  <si>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</si>
  <si>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</si>
  <si>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</si>
  <si>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</si>
  <si>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</si>
  <si>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</si>
  <si>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</si>
  <si>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</si>
  <si>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</si>
  <si>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</si>
  <si>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</si>
  <si>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</si>
  <si>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</si>
  <si>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</si>
  <si>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</si>
  <si>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</si>
  <si>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</si>
  <si>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</si>
  <si>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</si>
  <si>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</si>
  <si>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</si>
  <si>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</si>
  <si>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</si>
  <si>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</si>
  <si>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</si>
  <si>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</si>
  <si>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</si>
  <si>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</si>
  <si>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</si>
  <si>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</si>
  <si>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</si>
  <si>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</si>
  <si>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</si>
  <si>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</si>
  <si>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</si>
  <si>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</si>
  <si>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</si>
  <si>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</si>
  <si>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</si>
  <si>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</si>
  <si>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</si>
  <si>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</si>
  <si>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</si>
  <si>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</si>
  <si>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</si>
  <si>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</si>
  <si>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</si>
  <si>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</si>
  <si>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</si>
  <si>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</si>
  <si>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</si>
  <si>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</si>
  <si>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</si>
  <si>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</si>
  <si>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</si>
  <si>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</si>
  <si>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</si>
  <si>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</si>
  <si>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</si>
  <si>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</si>
  <si>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</si>
  <si>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</si>
  <si>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</si>
  <si>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</si>
  <si>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</si>
  <si>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</si>
  <si>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</si>
  <si>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</si>
  <si>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</si>
  <si>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</si>
  <si>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</si>
  <si>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</si>
  <si>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</si>
  <si>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</si>
  <si>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</si>
  <si>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</si>
  <si>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</si>
  <si>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</si>
  <si>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</si>
  <si>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</si>
  <si>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</si>
  <si>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</si>
  <si>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</si>
  <si>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</si>
  <si>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</si>
  <si>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</si>
  <si>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</si>
  <si>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</si>
  <si>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</si>
  <si>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</si>
  <si>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</si>
  <si>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</si>
  <si>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</si>
  <si>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</si>
  <si>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</si>
  <si>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</si>
  <si>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</si>
  <si>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</si>
  <si>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</si>
  <si>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</si>
  <si>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</si>
  <si>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</si>
  <si>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</si>
  <si>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</si>
  <si>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</si>
  <si>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</si>
  <si>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</si>
  <si>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</si>
  <si>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</si>
  <si>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</si>
  <si>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</si>
  <si>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</si>
  <si>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</si>
  <si>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</si>
  <si>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</si>
  <si>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</si>
  <si>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</si>
  <si>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</si>
  <si>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</si>
  <si>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</si>
  <si>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</si>
  <si>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</si>
  <si>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</si>
  <si>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</si>
  <si>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</si>
  <si>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</si>
  <si>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</si>
  <si>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</si>
  <si>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</si>
  <si>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</si>
  <si>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</si>
  <si>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</si>
  <si>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</si>
  <si>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</si>
  <si>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</si>
  <si>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</si>
  <si>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</si>
  <si>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</si>
  <si>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</si>
  <si>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</si>
  <si>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</si>
  <si>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</si>
  <si>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</si>
  <si>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</si>
  <si>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</si>
  <si>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</si>
  <si>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</si>
  <si>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</si>
  <si>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</si>
  <si>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</si>
  <si>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</si>
  <si>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</si>
  <si>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</si>
  <si>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</si>
  <si>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</si>
  <si>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</si>
  <si>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</si>
  <si>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</si>
  <si>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</si>
  <si>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</si>
  <si>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</si>
  <si>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</si>
  <si>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</si>
  <si>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</si>
  <si>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</si>
  <si>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</si>
  <si>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</si>
  <si>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</si>
  <si>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</si>
  <si>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</si>
  <si>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</si>
  <si>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</si>
  <si>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</si>
  <si>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</si>
  <si>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</si>
  <si>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</si>
  <si>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</si>
  <si>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</si>
  <si>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</si>
  <si>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</si>
  <si>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</si>
  <si>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</si>
  <si>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</si>
  <si>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</si>
  <si>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</si>
  <si>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</si>
  <si>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</si>
  <si>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</si>
  <si>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</si>
  <si>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</si>
  <si>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</si>
  <si>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</si>
  <si>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</si>
  <si>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</si>
  <si>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</si>
  <si>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</si>
  <si>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</si>
  <si>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</si>
  <si>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</si>
  <si>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</si>
  <si>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</si>
  <si>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</si>
  <si>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</si>
  <si>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</si>
  <si>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</si>
  <si>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</si>
  <si>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</si>
  <si>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</si>
  <si>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</si>
  <si>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</si>
  <si>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</si>
  <si>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</si>
  <si>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</si>
  <si>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</si>
  <si>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</si>
  <si>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</si>
  <si>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</si>
  <si>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</si>
  <si>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</si>
  <si>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</si>
  <si>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</si>
  <si>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</si>
  <si>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</si>
  <si>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</si>
  <si>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</si>
  <si>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</si>
  <si>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</si>
  <si>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</si>
  <si>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</si>
  <si>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</si>
  <si>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</si>
  <si>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</si>
  <si>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</si>
  <si>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</si>
  <si>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</si>
  <si>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</si>
  <si>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</si>
  <si>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</si>
  <si>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</si>
  <si>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</si>
  <si>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</si>
  <si>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</si>
  <si>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</si>
  <si>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</si>
  <si>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</si>
  <si>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</si>
  <si>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</si>
  <si>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</si>
  <si>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</si>
  <si>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</si>
  <si>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</si>
  <si>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</si>
  <si>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</si>
  <si>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</si>
  <si>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</si>
  <si>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</si>
  <si>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</si>
  <si>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</si>
  <si>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</si>
  <si>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</si>
  <si>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</si>
  <si>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</si>
  <si>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</si>
  <si>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</si>
  <si>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</si>
  <si>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</si>
  <si>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</si>
  <si>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</si>
  <si>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</si>
  <si>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</si>
  <si>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</si>
  <si>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</si>
  <si>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</si>
  <si>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</si>
  <si>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</si>
  <si>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</si>
  <si>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</si>
  <si>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</si>
  <si>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</si>
  <si>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</si>
  <si>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</si>
  <si>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</si>
  <si>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</si>
  <si>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</si>
  <si>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</si>
  <si>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</si>
  <si>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</si>
  <si>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</si>
  <si>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</si>
  <si>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</si>
  <si>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</si>
  <si>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</si>
  <si>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</si>
  <si>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</si>
  <si>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</si>
  <si>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</si>
  <si>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</si>
  <si>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</si>
  <si>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</si>
  <si>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</si>
  <si>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</si>
  <si>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</si>
  <si>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</si>
  <si>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</si>
  <si>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</si>
  <si>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</si>
  <si>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</si>
  <si>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</si>
  <si>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</si>
  <si>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</si>
  <si>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</si>
  <si>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</si>
  <si>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</si>
  <si>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</si>
  <si>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</si>
  <si>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</si>
  <si>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</si>
  <si>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</si>
  <si>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</si>
  <si>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</si>
  <si>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</si>
  <si>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</si>
  <si>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</si>
  <si>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</si>
  <si>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</si>
  <si>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</si>
  <si>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</si>
  <si>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</si>
  <si>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</si>
  <si>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</si>
  <si>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</si>
  <si>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</si>
  <si>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</si>
  <si>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</si>
  <si>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</si>
  <si>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</si>
  <si>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</si>
  <si>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</si>
  <si>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</si>
  <si>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</si>
  <si>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</si>
  <si>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</si>
  <si>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</si>
  <si>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</si>
  <si>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</si>
  <si>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</si>
  <si>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</si>
  <si>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</si>
  <si>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</si>
  <si>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</si>
  <si>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</si>
  <si>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</si>
  <si>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</si>
  <si>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</si>
  <si>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</si>
  <si>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</si>
  <si>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</si>
  <si>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</si>
  <si>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</si>
  <si>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</si>
  <si>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</si>
  <si>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</si>
  <si>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</si>
  <si>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</si>
  <si>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</si>
  <si>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</si>
  <si>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</si>
  <si>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</si>
  <si>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</si>
  <si>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</si>
  <si>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</si>
  <si>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</si>
  <si>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</si>
  <si>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</si>
  <si>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</si>
  <si>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</si>
  <si>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</si>
  <si>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</si>
  <si>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</si>
  <si>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</si>
  <si>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</si>
  <si>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</si>
  <si>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</si>
  <si>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</si>
  <si>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</si>
  <si>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</si>
  <si>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</si>
  <si>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</si>
  <si>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</si>
  <si>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</si>
  <si>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</si>
  <si>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</si>
  <si>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</si>
  <si>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</si>
  <si>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</si>
  <si>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</si>
  <si>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</si>
  <si>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</si>
  <si>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</si>
  <si>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</si>
  <si>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</si>
  <si>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</si>
  <si>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</si>
  <si>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</si>
  <si>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</si>
  <si>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</si>
  <si>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</si>
  <si>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</si>
  <si>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</si>
  <si>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</si>
  <si>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</si>
  <si>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</si>
  <si>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</si>
  <si>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</si>
  <si>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</si>
  <si>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</si>
  <si>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</si>
  <si>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</si>
  <si>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</si>
  <si>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</si>
  <si>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</si>
  <si>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</si>
  <si>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</si>
  <si>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</si>
  <si>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</si>
  <si>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</si>
  <si>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</si>
  <si>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</si>
  <si>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</si>
  <si>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</si>
  <si>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</si>
  <si>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</si>
  <si>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</si>
  <si>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</si>
  <si>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</si>
  <si>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</si>
  <si>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</si>
  <si>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</si>
  <si>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</si>
  <si>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</si>
  <si>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</si>
  <si>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</si>
  <si>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</si>
  <si>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</si>
  <si>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</si>
  <si>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</si>
  <si>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</si>
  <si>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</si>
  <si>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</si>
  <si>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</si>
  <si>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</si>
  <si>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</si>
  <si>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</si>
  <si>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</si>
  <si>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</si>
  <si>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</si>
  <si>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</si>
  <si>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</si>
  <si>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</si>
  <si>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</si>
  <si>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</si>
  <si>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</si>
  <si>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</si>
  <si>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</si>
  <si>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</si>
  <si>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</si>
  <si>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</si>
  <si>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</si>
  <si>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</si>
  <si>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</si>
  <si>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</si>
  <si>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</si>
  <si>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</si>
  <si>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</si>
  <si>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</si>
  <si>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</si>
  <si>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</si>
  <si>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</si>
  <si>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</si>
  <si>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</si>
  <si>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</si>
  <si>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</si>
  <si>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</si>
  <si>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</si>
  <si>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</si>
  <si>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</si>
  <si>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</si>
  <si>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</si>
  <si>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</si>
  <si>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</si>
  <si>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</si>
  <si>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</si>
  <si>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</si>
  <si>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</si>
  <si>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</si>
  <si>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</si>
  <si>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</si>
  <si>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</si>
  <si>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</si>
  <si>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</si>
  <si>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</si>
  <si>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</si>
  <si>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</si>
  <si>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</si>
  <si>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</si>
  <si>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</si>
  <si>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</si>
  <si>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</si>
  <si>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</si>
  <si>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</si>
  <si>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</si>
  <si>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</si>
  <si>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</si>
  <si>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</si>
  <si>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</si>
  <si>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</si>
  <si>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</si>
  <si>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</si>
  <si>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</si>
  <si>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</si>
  <si>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</si>
  <si>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</si>
  <si>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</si>
  <si>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</si>
  <si>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</si>
  <si>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</si>
  <si>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</si>
  <si>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</si>
  <si>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</si>
  <si>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</si>
  <si>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</si>
  <si>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</si>
  <si>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</si>
  <si>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</si>
  <si>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</si>
  <si>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</si>
  <si>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</si>
  <si>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</si>
  <si>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</si>
  <si>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</si>
  <si>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</si>
  <si>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</si>
  <si>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</si>
  <si>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</si>
  <si>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</si>
  <si>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</si>
  <si>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</si>
  <si>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</si>
  <si>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</si>
  <si>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</si>
  <si>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</si>
  <si>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</si>
  <si>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</si>
  <si>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</si>
  <si>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</si>
  <si>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</si>
  <si>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</si>
  <si>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</si>
  <si>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</si>
  <si>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</si>
  <si>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</si>
  <si>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</si>
  <si>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</si>
  <si>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</si>
  <si>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</si>
  <si>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</si>
  <si>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</si>
  <si>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</si>
  <si>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</si>
  <si>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11057</t>
  </si>
  <si>
    <t>MALLE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</si>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</sst>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11057</v>
      </c>
      <c r="B6" s="396"/>
      <c r="C6" s="397"/>
    </row>
    <row r="7" spans="1:7" s="394" customFormat="1" ht="15.75" customHeight="1">
      <c r="A7" s="398" t="str">
        <f>txtMunicipality</f>
        <v>MALLE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38590.483182527285</v>
      </c>
      <c r="D10" s="687">
        <f ca="1">tertiair!C16</f>
        <v>22802.142857142859</v>
      </c>
      <c r="E10" s="687">
        <f ca="1">tertiair!D16</f>
        <v>38845.600125362129</v>
      </c>
      <c r="F10" s="687">
        <f>tertiair!E16</f>
        <v>420.87542706617461</v>
      </c>
      <c r="G10" s="687">
        <f ca="1">tertiair!F16</f>
        <v>4859.4557111943577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105520.12063662615</v>
      </c>
      <c r="S10" s="67"/>
    </row>
    <row r="11" spans="1:19" s="456" customFormat="1">
      <c r="A11" s="802" t="s">
        <v>225</v>
      </c>
      <c r="B11" s="807"/>
      <c r="C11" s="687">
        <f>huishoudens!B8</f>
        <v>28753.86285806926</v>
      </c>
      <c r="D11" s="687">
        <f>huishoudens!C8</f>
        <v>0</v>
      </c>
      <c r="E11" s="687">
        <f>huishoudens!D8</f>
        <v>73266.293603615151</v>
      </c>
      <c r="F11" s="687">
        <f>huishoudens!E8</f>
        <v>2344.8955737171527</v>
      </c>
      <c r="G11" s="687">
        <f>huishoudens!F8</f>
        <v>2977.9550253990428</v>
      </c>
      <c r="H11" s="687">
        <f>huishoudens!G8</f>
        <v>0</v>
      </c>
      <c r="I11" s="687">
        <f>huishoudens!H8</f>
        <v>0</v>
      </c>
      <c r="J11" s="687">
        <f>huishoudens!I8</f>
        <v>0</v>
      </c>
      <c r="K11" s="687">
        <f>huishoudens!J8</f>
        <v>0</v>
      </c>
      <c r="L11" s="687">
        <f>huishoudens!K8</f>
        <v>0</v>
      </c>
      <c r="M11" s="687">
        <f>huishoudens!L8</f>
        <v>0</v>
      </c>
      <c r="N11" s="687">
        <f>huishoudens!M8</f>
        <v>0</v>
      </c>
      <c r="O11" s="687">
        <f>huishoudens!N8</f>
        <v>13932.633757794425</v>
      </c>
      <c r="P11" s="687">
        <f>huishoudens!O8</f>
        <v>46.9</v>
      </c>
      <c r="Q11" s="688">
        <f>huishoudens!P8</f>
        <v>209.73333333333335</v>
      </c>
      <c r="R11" s="690">
        <f>SUM(C11:Q11)</f>
        <v>121532.27415192836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62002.28418135523</v>
      </c>
      <c r="D13" s="687">
        <f>industrie!C18</f>
        <v>0</v>
      </c>
      <c r="E13" s="687">
        <f>industrie!D18</f>
        <v>50467.490871764472</v>
      </c>
      <c r="F13" s="687">
        <f>industrie!E18</f>
        <v>637.48714299775395</v>
      </c>
      <c r="G13" s="687">
        <f>industrie!F18</f>
        <v>17210.453918858759</v>
      </c>
      <c r="H13" s="687">
        <f>industrie!G18</f>
        <v>0</v>
      </c>
      <c r="I13" s="687">
        <f>industrie!H18</f>
        <v>0</v>
      </c>
      <c r="J13" s="687">
        <f>industrie!I18</f>
        <v>0</v>
      </c>
      <c r="K13" s="687">
        <f>industrie!J18</f>
        <v>389.00964912452105</v>
      </c>
      <c r="L13" s="687">
        <f>industrie!K18</f>
        <v>0</v>
      </c>
      <c r="M13" s="687">
        <f>industrie!L18</f>
        <v>0</v>
      </c>
      <c r="N13" s="687">
        <f>industrie!M18</f>
        <v>0</v>
      </c>
      <c r="O13" s="687">
        <f>industrie!N18</f>
        <v>1551.9412560361347</v>
      </c>
      <c r="P13" s="687">
        <f>industrie!O18</f>
        <v>0</v>
      </c>
      <c r="Q13" s="688">
        <f>industrie!P18</f>
        <v>0</v>
      </c>
      <c r="R13" s="690">
        <f>SUM(C13:Q13)</f>
        <v>132258.66702013687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129346.63022195178</v>
      </c>
      <c r="D16" s="720">
        <f t="shared" ref="D16:R16" ca="1" si="0">SUM(D9:D15)</f>
        <v>22802.142857142859</v>
      </c>
      <c r="E16" s="720">
        <f t="shared" ca="1" si="0"/>
        <v>162579.38460074173</v>
      </c>
      <c r="F16" s="720">
        <f t="shared" si="0"/>
        <v>3403.2581437810813</v>
      </c>
      <c r="G16" s="720">
        <f t="shared" ca="1" si="0"/>
        <v>25047.864655452158</v>
      </c>
      <c r="H16" s="720">
        <f t="shared" si="0"/>
        <v>0</v>
      </c>
      <c r="I16" s="720">
        <f t="shared" si="0"/>
        <v>0</v>
      </c>
      <c r="J16" s="720">
        <f t="shared" si="0"/>
        <v>0</v>
      </c>
      <c r="K16" s="720">
        <f t="shared" si="0"/>
        <v>389.00964912452105</v>
      </c>
      <c r="L16" s="720">
        <f t="shared" si="0"/>
        <v>0</v>
      </c>
      <c r="M16" s="720">
        <f t="shared" ca="1" si="0"/>
        <v>0</v>
      </c>
      <c r="N16" s="720">
        <f t="shared" si="0"/>
        <v>0</v>
      </c>
      <c r="O16" s="720">
        <f t="shared" ca="1" si="0"/>
        <v>15484.575013830559</v>
      </c>
      <c r="P16" s="720">
        <f t="shared" si="0"/>
        <v>48.463333333333331</v>
      </c>
      <c r="Q16" s="720">
        <f t="shared" si="0"/>
        <v>209.73333333333335</v>
      </c>
      <c r="R16" s="720">
        <f t="shared" ca="1" si="0"/>
        <v>359311.06180869136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3087.4301872335886</v>
      </c>
      <c r="I19" s="687">
        <f>transport!H54</f>
        <v>0</v>
      </c>
      <c r="J19" s="687">
        <f>transport!I54</f>
        <v>0</v>
      </c>
      <c r="K19" s="687">
        <f>transport!J54</f>
        <v>0</v>
      </c>
      <c r="L19" s="687">
        <f>transport!K54</f>
        <v>0</v>
      </c>
      <c r="M19" s="687">
        <f>transport!L54</f>
        <v>0</v>
      </c>
      <c r="N19" s="687">
        <f>transport!M54</f>
        <v>131.60373561366785</v>
      </c>
      <c r="O19" s="687">
        <f>transport!N54</f>
        <v>0</v>
      </c>
      <c r="P19" s="687">
        <f>transport!O54</f>
        <v>0</v>
      </c>
      <c r="Q19" s="688">
        <f>transport!P54</f>
        <v>0</v>
      </c>
      <c r="R19" s="690">
        <f>SUM(C19:Q19)</f>
        <v>3219.0339228472567</v>
      </c>
      <c r="S19" s="67"/>
    </row>
    <row r="20" spans="1:19" s="456" customFormat="1">
      <c r="A20" s="802" t="s">
        <v>307</v>
      </c>
      <c r="B20" s="807"/>
      <c r="C20" s="687">
        <f>transport!B14</f>
        <v>0.83923380719909701</v>
      </c>
      <c r="D20" s="687">
        <f>transport!C14</f>
        <v>0</v>
      </c>
      <c r="E20" s="687">
        <f>transport!D14</f>
        <v>3.9167629833734559</v>
      </c>
      <c r="F20" s="687">
        <f>transport!E14</f>
        <v>406.30262041723518</v>
      </c>
      <c r="G20" s="687">
        <f>transport!F14</f>
        <v>0</v>
      </c>
      <c r="H20" s="687">
        <f>transport!G14</f>
        <v>73111.258944487388</v>
      </c>
      <c r="I20" s="687">
        <f>transport!H14</f>
        <v>13137.803098064995</v>
      </c>
      <c r="J20" s="687">
        <f>transport!I14</f>
        <v>0</v>
      </c>
      <c r="K20" s="687">
        <f>transport!J14</f>
        <v>0</v>
      </c>
      <c r="L20" s="687">
        <f>transport!K14</f>
        <v>0</v>
      </c>
      <c r="M20" s="687">
        <f>transport!L14</f>
        <v>0</v>
      </c>
      <c r="N20" s="687">
        <f>transport!M14</f>
        <v>3764.9338335459006</v>
      </c>
      <c r="O20" s="687">
        <f>transport!N14</f>
        <v>0</v>
      </c>
      <c r="P20" s="687">
        <f>transport!O14</f>
        <v>0</v>
      </c>
      <c r="Q20" s="688">
        <f>transport!P14</f>
        <v>0</v>
      </c>
      <c r="R20" s="690">
        <f>SUM(C20:Q20)</f>
        <v>90425.054493306088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0.83923380719909701</v>
      </c>
      <c r="D22" s="805">
        <f t="shared" ref="D22:R22" si="1">SUM(D18:D21)</f>
        <v>0</v>
      </c>
      <c r="E22" s="805">
        <f t="shared" si="1"/>
        <v>3.9167629833734559</v>
      </c>
      <c r="F22" s="805">
        <f t="shared" si="1"/>
        <v>406.30262041723518</v>
      </c>
      <c r="G22" s="805">
        <f t="shared" si="1"/>
        <v>0</v>
      </c>
      <c r="H22" s="805">
        <f t="shared" si="1"/>
        <v>76198.689131720981</v>
      </c>
      <c r="I22" s="805">
        <f t="shared" si="1"/>
        <v>13137.803098064995</v>
      </c>
      <c r="J22" s="805">
        <f t="shared" si="1"/>
        <v>0</v>
      </c>
      <c r="K22" s="805">
        <f t="shared" si="1"/>
        <v>0</v>
      </c>
      <c r="L22" s="805">
        <f t="shared" si="1"/>
        <v>0</v>
      </c>
      <c r="M22" s="805">
        <f t="shared" si="1"/>
        <v>0</v>
      </c>
      <c r="N22" s="805">
        <f t="shared" si="1"/>
        <v>3896.5375691595686</v>
      </c>
      <c r="O22" s="805">
        <f t="shared" si="1"/>
        <v>0</v>
      </c>
      <c r="P22" s="805">
        <f t="shared" si="1"/>
        <v>0</v>
      </c>
      <c r="Q22" s="805">
        <f t="shared" si="1"/>
        <v>0</v>
      </c>
      <c r="R22" s="805">
        <f t="shared" si="1"/>
        <v>93644.088416153347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1577.3031056771379</v>
      </c>
      <c r="D24" s="687">
        <f>+landbouw!C8</f>
        <v>0</v>
      </c>
      <c r="E24" s="687">
        <f>+landbouw!D8</f>
        <v>4573.7081897029793</v>
      </c>
      <c r="F24" s="687">
        <f>+landbouw!E8</f>
        <v>16.517859594848208</v>
      </c>
      <c r="G24" s="687">
        <f>+landbouw!F8</f>
        <v>6752.0557881227551</v>
      </c>
      <c r="H24" s="687">
        <f>+landbouw!G8</f>
        <v>0</v>
      </c>
      <c r="I24" s="687">
        <f>+landbouw!H8</f>
        <v>0</v>
      </c>
      <c r="J24" s="687">
        <f>+landbouw!I8</f>
        <v>0</v>
      </c>
      <c r="K24" s="687">
        <f>+landbouw!J8</f>
        <v>140.86730494588738</v>
      </c>
      <c r="L24" s="687">
        <f>+landbouw!K8</f>
        <v>0</v>
      </c>
      <c r="M24" s="687">
        <f>+landbouw!L8</f>
        <v>0</v>
      </c>
      <c r="N24" s="687">
        <f>+landbouw!M8</f>
        <v>0</v>
      </c>
      <c r="O24" s="687">
        <f>+landbouw!N8</f>
        <v>0</v>
      </c>
      <c r="P24" s="687">
        <f>+landbouw!O8</f>
        <v>0</v>
      </c>
      <c r="Q24" s="688">
        <f>+landbouw!P8</f>
        <v>0</v>
      </c>
      <c r="R24" s="690">
        <f>SUM(C24:Q24)</f>
        <v>13060.452248043608</v>
      </c>
      <c r="S24" s="67"/>
    </row>
    <row r="25" spans="1:19" s="456" customFormat="1" ht="15" thickBot="1">
      <c r="A25" s="824" t="s">
        <v>925</v>
      </c>
      <c r="B25" s="988"/>
      <c r="C25" s="989">
        <f>IF(Onbekend_ele_kWh="---",0,Onbekend_ele_kWh)/1000+IF(REST_rest_ele_kWh="---",0,REST_rest_ele_kWh)/1000</f>
        <v>1411.60311496091</v>
      </c>
      <c r="D25" s="989"/>
      <c r="E25" s="989">
        <f>IF(onbekend_gas_kWh="---",0,onbekend_gas_kWh)/1000+IF(REST_rest_gas_kWh="---",0,REST_rest_gas_kWh)/1000</f>
        <v>2527.5442256347201</v>
      </c>
      <c r="F25" s="989"/>
      <c r="G25" s="989"/>
      <c r="H25" s="989"/>
      <c r="I25" s="989"/>
      <c r="J25" s="989"/>
      <c r="K25" s="989"/>
      <c r="L25" s="989"/>
      <c r="M25" s="989"/>
      <c r="N25" s="989"/>
      <c r="O25" s="989"/>
      <c r="P25" s="989"/>
      <c r="Q25" s="990"/>
      <c r="R25" s="690">
        <f>SUM(C25:Q25)</f>
        <v>3939.1473405956303</v>
      </c>
      <c r="S25" s="67"/>
    </row>
    <row r="26" spans="1:19" s="456" customFormat="1" ht="15.75" thickBot="1">
      <c r="A26" s="693" t="s">
        <v>926</v>
      </c>
      <c r="B26" s="810"/>
      <c r="C26" s="805">
        <f>SUM(C24:C25)</f>
        <v>2988.9062206380477</v>
      </c>
      <c r="D26" s="805">
        <f t="shared" ref="D26:R26" si="2">SUM(D24:D25)</f>
        <v>0</v>
      </c>
      <c r="E26" s="805">
        <f t="shared" si="2"/>
        <v>7101.2524153376999</v>
      </c>
      <c r="F26" s="805">
        <f t="shared" si="2"/>
        <v>16.517859594848208</v>
      </c>
      <c r="G26" s="805">
        <f t="shared" si="2"/>
        <v>6752.0557881227551</v>
      </c>
      <c r="H26" s="805">
        <f t="shared" si="2"/>
        <v>0</v>
      </c>
      <c r="I26" s="805">
        <f t="shared" si="2"/>
        <v>0</v>
      </c>
      <c r="J26" s="805">
        <f t="shared" si="2"/>
        <v>0</v>
      </c>
      <c r="K26" s="805">
        <f t="shared" si="2"/>
        <v>140.86730494588738</v>
      </c>
      <c r="L26" s="805">
        <f t="shared" si="2"/>
        <v>0</v>
      </c>
      <c r="M26" s="805">
        <f t="shared" si="2"/>
        <v>0</v>
      </c>
      <c r="N26" s="805">
        <f t="shared" si="2"/>
        <v>0</v>
      </c>
      <c r="O26" s="805">
        <f t="shared" si="2"/>
        <v>0</v>
      </c>
      <c r="P26" s="805">
        <f t="shared" si="2"/>
        <v>0</v>
      </c>
      <c r="Q26" s="805">
        <f t="shared" si="2"/>
        <v>0</v>
      </c>
      <c r="R26" s="805">
        <f t="shared" si="2"/>
        <v>16999.599588639237</v>
      </c>
      <c r="S26" s="67"/>
    </row>
    <row r="27" spans="1:19" s="456" customFormat="1" ht="17.25" thickTop="1" thickBot="1">
      <c r="A27" s="694" t="s">
        <v>116</v>
      </c>
      <c r="B27" s="797"/>
      <c r="C27" s="695">
        <f ca="1">C22+C16+C26</f>
        <v>132336.37567639703</v>
      </c>
      <c r="D27" s="695">
        <f t="shared" ref="D27:R27" ca="1" si="3">D22+D16+D26</f>
        <v>22802.142857142859</v>
      </c>
      <c r="E27" s="695">
        <f t="shared" ca="1" si="3"/>
        <v>169684.55377906279</v>
      </c>
      <c r="F27" s="695">
        <f t="shared" si="3"/>
        <v>3826.0786237931648</v>
      </c>
      <c r="G27" s="695">
        <f t="shared" ca="1" si="3"/>
        <v>31799.920443574912</v>
      </c>
      <c r="H27" s="695">
        <f t="shared" si="3"/>
        <v>76198.689131720981</v>
      </c>
      <c r="I27" s="695">
        <f t="shared" si="3"/>
        <v>13137.803098064995</v>
      </c>
      <c r="J27" s="695">
        <f t="shared" si="3"/>
        <v>0</v>
      </c>
      <c r="K27" s="695">
        <f t="shared" si="3"/>
        <v>529.87695407040837</v>
      </c>
      <c r="L27" s="695">
        <f t="shared" si="3"/>
        <v>0</v>
      </c>
      <c r="M27" s="695">
        <f t="shared" ca="1" si="3"/>
        <v>0</v>
      </c>
      <c r="N27" s="695">
        <f t="shared" si="3"/>
        <v>3896.5375691595686</v>
      </c>
      <c r="O27" s="695">
        <f t="shared" ca="1" si="3"/>
        <v>15484.575013830559</v>
      </c>
      <c r="P27" s="695">
        <f t="shared" si="3"/>
        <v>48.463333333333331</v>
      </c>
      <c r="Q27" s="695">
        <f t="shared" si="3"/>
        <v>209.73333333333335</v>
      </c>
      <c r="R27" s="695">
        <f t="shared" ca="1" si="3"/>
        <v>469954.74981348391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7265.6820016485262</v>
      </c>
      <c r="D40" s="687">
        <f ca="1">tertiair!C20</f>
        <v>0</v>
      </c>
      <c r="E40" s="687">
        <f ca="1">tertiair!D20</f>
        <v>7846.8112253231502</v>
      </c>
      <c r="F40" s="687">
        <f>tertiair!E20</f>
        <v>95.538721944021646</v>
      </c>
      <c r="G40" s="687">
        <f ca="1">tertiair!F20</f>
        <v>1297.4746748888936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16505.506623804591</v>
      </c>
    </row>
    <row r="41" spans="1:18">
      <c r="A41" s="815" t="s">
        <v>225</v>
      </c>
      <c r="B41" s="822"/>
      <c r="C41" s="687">
        <f ca="1">huishoudens!B12</f>
        <v>5413.6773270653293</v>
      </c>
      <c r="D41" s="687">
        <f ca="1">huishoudens!C12</f>
        <v>0</v>
      </c>
      <c r="E41" s="687">
        <f>huishoudens!D12</f>
        <v>14799.791307930262</v>
      </c>
      <c r="F41" s="687">
        <f>huishoudens!E12</f>
        <v>532.29129523379368</v>
      </c>
      <c r="G41" s="687">
        <f>huishoudens!F12</f>
        <v>795.11399178154443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21540.873922010931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11673.574495214893</v>
      </c>
      <c r="D43" s="687">
        <f ca="1">industrie!C22</f>
        <v>0</v>
      </c>
      <c r="E43" s="687">
        <f>industrie!D22</f>
        <v>10194.433156096424</v>
      </c>
      <c r="F43" s="687">
        <f>industrie!E22</f>
        <v>144.70958146049014</v>
      </c>
      <c r="G43" s="687">
        <f>industrie!F22</f>
        <v>4595.1911963352886</v>
      </c>
      <c r="H43" s="687">
        <f>industrie!G22</f>
        <v>0</v>
      </c>
      <c r="I43" s="687">
        <f>industrie!H22</f>
        <v>0</v>
      </c>
      <c r="J43" s="687">
        <f>industrie!I22</f>
        <v>0</v>
      </c>
      <c r="K43" s="687">
        <f>industrie!J22</f>
        <v>137.70941579008044</v>
      </c>
      <c r="L43" s="687">
        <f>industrie!K22</f>
        <v>0</v>
      </c>
      <c r="M43" s="687">
        <f>industrie!L22</f>
        <v>0</v>
      </c>
      <c r="N43" s="687">
        <f>industrie!M22</f>
        <v>0</v>
      </c>
      <c r="O43" s="687">
        <f>industrie!N22</f>
        <v>0</v>
      </c>
      <c r="P43" s="687">
        <f>industrie!O22</f>
        <v>0</v>
      </c>
      <c r="Q43" s="762">
        <f>industrie!P22</f>
        <v>0</v>
      </c>
      <c r="R43" s="842">
        <f t="shared" ca="1" si="4"/>
        <v>26745.617844897177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24352.933823928746</v>
      </c>
      <c r="D46" s="720">
        <f t="shared" ref="D46:Q46" ca="1" si="5">SUM(D39:D45)</f>
        <v>0</v>
      </c>
      <c r="E46" s="720">
        <f t="shared" ca="1" si="5"/>
        <v>32841.035689349839</v>
      </c>
      <c r="F46" s="720">
        <f t="shared" si="5"/>
        <v>772.53959863830551</v>
      </c>
      <c r="G46" s="720">
        <f t="shared" ca="1" si="5"/>
        <v>6687.7798630057268</v>
      </c>
      <c r="H46" s="720">
        <f t="shared" si="5"/>
        <v>0</v>
      </c>
      <c r="I46" s="720">
        <f t="shared" si="5"/>
        <v>0</v>
      </c>
      <c r="J46" s="720">
        <f t="shared" si="5"/>
        <v>0</v>
      </c>
      <c r="K46" s="720">
        <f t="shared" si="5"/>
        <v>137.70941579008044</v>
      </c>
      <c r="L46" s="720">
        <f t="shared" si="5"/>
        <v>0</v>
      </c>
      <c r="M46" s="720">
        <f t="shared" ca="1" si="5"/>
        <v>0</v>
      </c>
      <c r="N46" s="720">
        <f t="shared" si="5"/>
        <v>0</v>
      </c>
      <c r="O46" s="720">
        <f t="shared" ca="1" si="5"/>
        <v>0</v>
      </c>
      <c r="P46" s="720">
        <f t="shared" si="5"/>
        <v>0</v>
      </c>
      <c r="Q46" s="720">
        <f t="shared" si="5"/>
        <v>0</v>
      </c>
      <c r="R46" s="720">
        <f ca="1">SUM(R39:R45)</f>
        <v>64791.998390712703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824.34385999136816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824.34385999136816</v>
      </c>
    </row>
    <row r="50" spans="1:18">
      <c r="A50" s="818" t="s">
        <v>307</v>
      </c>
      <c r="B50" s="828"/>
      <c r="C50" s="995">
        <f ca="1">transport!B18</f>
        <v>0.15800802335904093</v>
      </c>
      <c r="D50" s="995">
        <f>transport!C18</f>
        <v>0</v>
      </c>
      <c r="E50" s="995">
        <f>transport!D18</f>
        <v>0.79118612264143817</v>
      </c>
      <c r="F50" s="995">
        <f>transport!E18</f>
        <v>92.230694834712381</v>
      </c>
      <c r="G50" s="995">
        <f>transport!F18</f>
        <v>0</v>
      </c>
      <c r="H50" s="995">
        <f>transport!G18</f>
        <v>19520.706138178135</v>
      </c>
      <c r="I50" s="995">
        <f>transport!H18</f>
        <v>3271.3129714181837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22885.198998577034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0.15800802335904093</v>
      </c>
      <c r="D52" s="720">
        <f t="shared" ref="D52:Q52" ca="1" si="6">SUM(D48:D51)</f>
        <v>0</v>
      </c>
      <c r="E52" s="720">
        <f t="shared" si="6"/>
        <v>0.79118612264143817</v>
      </c>
      <c r="F52" s="720">
        <f t="shared" si="6"/>
        <v>92.230694834712381</v>
      </c>
      <c r="G52" s="720">
        <f t="shared" si="6"/>
        <v>0</v>
      </c>
      <c r="H52" s="720">
        <f t="shared" si="6"/>
        <v>20345.049998169503</v>
      </c>
      <c r="I52" s="720">
        <f t="shared" si="6"/>
        <v>3271.3129714181837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23709.542858568402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296.96914474632854</v>
      </c>
      <c r="D54" s="995">
        <f ca="1">+landbouw!C12</f>
        <v>0</v>
      </c>
      <c r="E54" s="995">
        <f>+landbouw!D12</f>
        <v>923.88905432000183</v>
      </c>
      <c r="F54" s="995">
        <f>+landbouw!E12</f>
        <v>3.7495541280305433</v>
      </c>
      <c r="G54" s="995">
        <f>+landbouw!F12</f>
        <v>1802.7988954287757</v>
      </c>
      <c r="H54" s="995">
        <f>+landbouw!G12</f>
        <v>0</v>
      </c>
      <c r="I54" s="995">
        <f>+landbouw!H12</f>
        <v>0</v>
      </c>
      <c r="J54" s="995">
        <f>+landbouw!I12</f>
        <v>0</v>
      </c>
      <c r="K54" s="995">
        <f>+landbouw!J12</f>
        <v>49.86702595084413</v>
      </c>
      <c r="L54" s="995">
        <f>+landbouw!K12</f>
        <v>0</v>
      </c>
      <c r="M54" s="995">
        <f>+landbouw!L12</f>
        <v>0</v>
      </c>
      <c r="N54" s="995">
        <f>+landbouw!M12</f>
        <v>0</v>
      </c>
      <c r="O54" s="995">
        <f>+landbouw!N12</f>
        <v>0</v>
      </c>
      <c r="P54" s="995">
        <f>+landbouw!O12</f>
        <v>0</v>
      </c>
      <c r="Q54" s="996">
        <f>+landbouw!P12</f>
        <v>0</v>
      </c>
      <c r="R54" s="719">
        <f ca="1">SUM(C54:Q54)</f>
        <v>3077.2736745739808</v>
      </c>
    </row>
    <row r="55" spans="1:18" ht="15" thickBot="1">
      <c r="A55" s="818" t="s">
        <v>925</v>
      </c>
      <c r="B55" s="828"/>
      <c r="C55" s="995">
        <f ca="1">C25*'EF ele_warmte'!B12</f>
        <v>265.77172660243423</v>
      </c>
      <c r="D55" s="995"/>
      <c r="E55" s="995">
        <f>E25*EF_CO2_aardgas</f>
        <v>510.56393357821349</v>
      </c>
      <c r="F55" s="995"/>
      <c r="G55" s="995"/>
      <c r="H55" s="995"/>
      <c r="I55" s="995"/>
      <c r="J55" s="995"/>
      <c r="K55" s="995"/>
      <c r="L55" s="995"/>
      <c r="M55" s="995"/>
      <c r="N55" s="995"/>
      <c r="O55" s="995"/>
      <c r="P55" s="995"/>
      <c r="Q55" s="996"/>
      <c r="R55" s="719">
        <f ca="1">SUM(C55:Q55)</f>
        <v>776.33566018064766</v>
      </c>
    </row>
    <row r="56" spans="1:18" ht="15.75" thickBot="1">
      <c r="A56" s="816" t="s">
        <v>926</v>
      </c>
      <c r="B56" s="829"/>
      <c r="C56" s="720">
        <f ca="1">SUM(C54:C55)</f>
        <v>562.74087134876277</v>
      </c>
      <c r="D56" s="720">
        <f t="shared" ref="D56:Q56" ca="1" si="7">SUM(D54:D55)</f>
        <v>0</v>
      </c>
      <c r="E56" s="720">
        <f t="shared" si="7"/>
        <v>1434.4529878982153</v>
      </c>
      <c r="F56" s="720">
        <f t="shared" si="7"/>
        <v>3.7495541280305433</v>
      </c>
      <c r="G56" s="720">
        <f t="shared" si="7"/>
        <v>1802.7988954287757</v>
      </c>
      <c r="H56" s="720">
        <f t="shared" si="7"/>
        <v>0</v>
      </c>
      <c r="I56" s="720">
        <f t="shared" si="7"/>
        <v>0</v>
      </c>
      <c r="J56" s="720">
        <f t="shared" si="7"/>
        <v>0</v>
      </c>
      <c r="K56" s="720">
        <f t="shared" si="7"/>
        <v>49.86702595084413</v>
      </c>
      <c r="L56" s="720">
        <f t="shared" si="7"/>
        <v>0</v>
      </c>
      <c r="M56" s="720">
        <f t="shared" si="7"/>
        <v>0</v>
      </c>
      <c r="N56" s="720">
        <f t="shared" si="7"/>
        <v>0</v>
      </c>
      <c r="O56" s="720">
        <f t="shared" si="7"/>
        <v>0</v>
      </c>
      <c r="P56" s="720">
        <f t="shared" si="7"/>
        <v>0</v>
      </c>
      <c r="Q56" s="721">
        <f t="shared" si="7"/>
        <v>0</v>
      </c>
      <c r="R56" s="722">
        <f ca="1">SUM(R54:R55)</f>
        <v>3853.6093347546284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24915.832703300868</v>
      </c>
      <c r="D61" s="728">
        <f t="shared" ref="D61:Q61" ca="1" si="8">D46+D52+D56</f>
        <v>0</v>
      </c>
      <c r="E61" s="728">
        <f t="shared" ca="1" si="8"/>
        <v>34276.279863370692</v>
      </c>
      <c r="F61" s="728">
        <f t="shared" si="8"/>
        <v>868.51984760104847</v>
      </c>
      <c r="G61" s="728">
        <f t="shared" ca="1" si="8"/>
        <v>8490.5787584345017</v>
      </c>
      <c r="H61" s="728">
        <f t="shared" si="8"/>
        <v>20345.049998169503</v>
      </c>
      <c r="I61" s="728">
        <f t="shared" si="8"/>
        <v>3271.3129714181837</v>
      </c>
      <c r="J61" s="728">
        <f t="shared" si="8"/>
        <v>0</v>
      </c>
      <c r="K61" s="728">
        <f t="shared" si="8"/>
        <v>187.57644174092457</v>
      </c>
      <c r="L61" s="728">
        <f t="shared" si="8"/>
        <v>0</v>
      </c>
      <c r="M61" s="728">
        <f t="shared" ca="1" si="8"/>
        <v>0</v>
      </c>
      <c r="N61" s="728">
        <f t="shared" si="8"/>
        <v>0</v>
      </c>
      <c r="O61" s="728">
        <f t="shared" ca="1" si="8"/>
        <v>0</v>
      </c>
      <c r="P61" s="728">
        <f t="shared" si="8"/>
        <v>0</v>
      </c>
      <c r="Q61" s="728">
        <f t="shared" si="8"/>
        <v>0</v>
      </c>
      <c r="R61" s="728">
        <f ca="1">R46+R52+R56</f>
        <v>92355.150584035728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0.18827652318533877</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3633.5512270718245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15961.5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18778.23529411765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19595.051227071825</v>
      </c>
      <c r="C78" s="743">
        <f>SUM(C72:C77)</f>
        <v>0</v>
      </c>
      <c r="D78" s="744">
        <f t="shared" ref="D78:H78" si="10">SUM(D76:D77)</f>
        <v>0</v>
      </c>
      <c r="E78" s="744">
        <f t="shared" si="10"/>
        <v>0</v>
      </c>
      <c r="F78" s="744">
        <f t="shared" si="10"/>
        <v>0</v>
      </c>
      <c r="G78" s="744">
        <f t="shared" si="10"/>
        <v>0</v>
      </c>
      <c r="H78" s="744">
        <f t="shared" si="10"/>
        <v>0</v>
      </c>
      <c r="I78" s="744">
        <f>SUM(I76:I77)</f>
        <v>0</v>
      </c>
      <c r="J78" s="744">
        <f>SUM(J76:J77)</f>
        <v>18778.23529411765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22802.142857142859</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26826.050420168071</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22802.142857142859</v>
      </c>
      <c r="C90" s="743">
        <f>SUM(C87:C89)</f>
        <v>0</v>
      </c>
      <c r="D90" s="743">
        <f t="shared" ref="D90:H90" si="12">SUM(D87:D89)</f>
        <v>0</v>
      </c>
      <c r="E90" s="743">
        <f t="shared" si="12"/>
        <v>0</v>
      </c>
      <c r="F90" s="743">
        <f t="shared" si="12"/>
        <v>0</v>
      </c>
      <c r="G90" s="743">
        <f t="shared" si="12"/>
        <v>0</v>
      </c>
      <c r="H90" s="743">
        <f t="shared" si="12"/>
        <v>0</v>
      </c>
      <c r="I90" s="743">
        <f>SUM(I87:I89)</f>
        <v>0</v>
      </c>
      <c r="J90" s="743">
        <f>SUM(J87:J89)</f>
        <v>26826.050420168071</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28753.86285806926</v>
      </c>
      <c r="C4" s="460">
        <f>huishoudens!C8</f>
        <v>0</v>
      </c>
      <c r="D4" s="460">
        <f>huishoudens!D8</f>
        <v>73266.293603615151</v>
      </c>
      <c r="E4" s="460">
        <f>huishoudens!E8</f>
        <v>2344.8955737171527</v>
      </c>
      <c r="F4" s="460">
        <f>huishoudens!F8</f>
        <v>2977.9550253990428</v>
      </c>
      <c r="G4" s="460">
        <f>huishoudens!G8</f>
        <v>0</v>
      </c>
      <c r="H4" s="460">
        <f>huishoudens!H8</f>
        <v>0</v>
      </c>
      <c r="I4" s="460">
        <f>huishoudens!I8</f>
        <v>0</v>
      </c>
      <c r="J4" s="460">
        <f>huishoudens!J8</f>
        <v>0</v>
      </c>
      <c r="K4" s="460">
        <f>huishoudens!K8</f>
        <v>0</v>
      </c>
      <c r="L4" s="460">
        <f>huishoudens!L8</f>
        <v>0</v>
      </c>
      <c r="M4" s="460">
        <f>huishoudens!M8</f>
        <v>0</v>
      </c>
      <c r="N4" s="460">
        <f>huishoudens!N8</f>
        <v>13932.633757794425</v>
      </c>
      <c r="O4" s="460">
        <f>huishoudens!O8</f>
        <v>46.9</v>
      </c>
      <c r="P4" s="461">
        <f>huishoudens!P8</f>
        <v>209.73333333333335</v>
      </c>
      <c r="Q4" s="462">
        <f>SUM(B4:P4)</f>
        <v>121532.27415192836</v>
      </c>
    </row>
    <row r="5" spans="1:17">
      <c r="A5" s="459" t="s">
        <v>156</v>
      </c>
      <c r="B5" s="460">
        <f ca="1">tertiair!B16</f>
        <v>37854.025182527286</v>
      </c>
      <c r="C5" s="460">
        <f ca="1">tertiair!C16</f>
        <v>22802.142857142859</v>
      </c>
      <c r="D5" s="460">
        <f ca="1">tertiair!D16</f>
        <v>38845.600125362129</v>
      </c>
      <c r="E5" s="460">
        <f>tertiair!E16</f>
        <v>420.87542706617461</v>
      </c>
      <c r="F5" s="460">
        <f ca="1">tertiair!F16</f>
        <v>4859.4557111943577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104783.66263662613</v>
      </c>
    </row>
    <row r="6" spans="1:17">
      <c r="A6" s="459" t="s">
        <v>194</v>
      </c>
      <c r="B6" s="460">
        <f>'openbare verlichting'!B8</f>
        <v>736.45799999999997</v>
      </c>
      <c r="C6" s="460"/>
      <c r="D6" s="460"/>
      <c r="E6" s="460"/>
      <c r="F6" s="460"/>
      <c r="G6" s="460"/>
      <c r="H6" s="460"/>
      <c r="I6" s="460"/>
      <c r="J6" s="460"/>
      <c r="K6" s="460"/>
      <c r="L6" s="460"/>
      <c r="M6" s="460"/>
      <c r="N6" s="460"/>
      <c r="O6" s="460"/>
      <c r="P6" s="461"/>
      <c r="Q6" s="459">
        <f t="shared" si="0"/>
        <v>736.45799999999997</v>
      </c>
    </row>
    <row r="7" spans="1:17">
      <c r="A7" s="459" t="s">
        <v>112</v>
      </c>
      <c r="B7" s="460">
        <f>landbouw!B8</f>
        <v>1577.3031056771379</v>
      </c>
      <c r="C7" s="460">
        <f>landbouw!C8</f>
        <v>0</v>
      </c>
      <c r="D7" s="460">
        <f>landbouw!D8</f>
        <v>4573.7081897029793</v>
      </c>
      <c r="E7" s="460">
        <f>landbouw!E8</f>
        <v>16.517859594848208</v>
      </c>
      <c r="F7" s="460">
        <f>landbouw!F8</f>
        <v>6752.0557881227551</v>
      </c>
      <c r="G7" s="460">
        <f>landbouw!G8</f>
        <v>0</v>
      </c>
      <c r="H7" s="460">
        <f>landbouw!H8</f>
        <v>0</v>
      </c>
      <c r="I7" s="460">
        <f>landbouw!I8</f>
        <v>0</v>
      </c>
      <c r="J7" s="460">
        <f>landbouw!J8</f>
        <v>140.86730494588738</v>
      </c>
      <c r="K7" s="460">
        <f>landbouw!K8</f>
        <v>0</v>
      </c>
      <c r="L7" s="460">
        <f>landbouw!L8</f>
        <v>0</v>
      </c>
      <c r="M7" s="460">
        <f>landbouw!M8</f>
        <v>0</v>
      </c>
      <c r="N7" s="460">
        <f>landbouw!N8</f>
        <v>0</v>
      </c>
      <c r="O7" s="460">
        <f>landbouw!O8</f>
        <v>0</v>
      </c>
      <c r="P7" s="461">
        <f>landbouw!P8</f>
        <v>0</v>
      </c>
      <c r="Q7" s="459">
        <f t="shared" si="0"/>
        <v>13060.452248043608</v>
      </c>
    </row>
    <row r="8" spans="1:17">
      <c r="A8" s="459" t="s">
        <v>655</v>
      </c>
      <c r="B8" s="460">
        <f>industrie!B18</f>
        <v>62002.28418135523</v>
      </c>
      <c r="C8" s="460">
        <f>industrie!C18</f>
        <v>0</v>
      </c>
      <c r="D8" s="460">
        <f>industrie!D18</f>
        <v>50467.490871764472</v>
      </c>
      <c r="E8" s="460">
        <f>industrie!E18</f>
        <v>637.48714299775395</v>
      </c>
      <c r="F8" s="460">
        <f>industrie!F18</f>
        <v>17210.453918858759</v>
      </c>
      <c r="G8" s="460">
        <f>industrie!G18</f>
        <v>0</v>
      </c>
      <c r="H8" s="460">
        <f>industrie!H18</f>
        <v>0</v>
      </c>
      <c r="I8" s="460">
        <f>industrie!I18</f>
        <v>0</v>
      </c>
      <c r="J8" s="460">
        <f>industrie!J18</f>
        <v>389.00964912452105</v>
      </c>
      <c r="K8" s="460">
        <f>industrie!K18</f>
        <v>0</v>
      </c>
      <c r="L8" s="460">
        <f>industrie!L18</f>
        <v>0</v>
      </c>
      <c r="M8" s="460">
        <f>industrie!M18</f>
        <v>0</v>
      </c>
      <c r="N8" s="460">
        <f>industrie!N18</f>
        <v>1551.9412560361347</v>
      </c>
      <c r="O8" s="460">
        <f>industrie!O18</f>
        <v>0</v>
      </c>
      <c r="P8" s="461">
        <f>industrie!P18</f>
        <v>0</v>
      </c>
      <c r="Q8" s="459">
        <f t="shared" si="0"/>
        <v>132258.66702013687</v>
      </c>
    </row>
    <row r="9" spans="1:17" s="465" customFormat="1">
      <c r="A9" s="463" t="s">
        <v>573</v>
      </c>
      <c r="B9" s="464">
        <f>transport!B14</f>
        <v>0.83923380719909701</v>
      </c>
      <c r="C9" s="464">
        <f>transport!C14</f>
        <v>0</v>
      </c>
      <c r="D9" s="464">
        <f>transport!D14</f>
        <v>3.9167629833734559</v>
      </c>
      <c r="E9" s="464">
        <f>transport!E14</f>
        <v>406.30262041723518</v>
      </c>
      <c r="F9" s="464">
        <f>transport!F14</f>
        <v>0</v>
      </c>
      <c r="G9" s="464">
        <f>transport!G14</f>
        <v>73111.258944487388</v>
      </c>
      <c r="H9" s="464">
        <f>transport!H14</f>
        <v>13137.803098064995</v>
      </c>
      <c r="I9" s="464">
        <f>transport!I14</f>
        <v>0</v>
      </c>
      <c r="J9" s="464">
        <f>transport!J14</f>
        <v>0</v>
      </c>
      <c r="K9" s="464">
        <f>transport!K14</f>
        <v>0</v>
      </c>
      <c r="L9" s="464">
        <f>transport!L14</f>
        <v>0</v>
      </c>
      <c r="M9" s="464">
        <f>transport!M14</f>
        <v>3764.9338335459006</v>
      </c>
      <c r="N9" s="464">
        <f>transport!N14</f>
        <v>0</v>
      </c>
      <c r="O9" s="464">
        <f>transport!O14</f>
        <v>0</v>
      </c>
      <c r="P9" s="464">
        <f>transport!P14</f>
        <v>0</v>
      </c>
      <c r="Q9" s="463">
        <f>SUM(B9:P9)</f>
        <v>90425.054493306088</v>
      </c>
    </row>
    <row r="10" spans="1:17">
      <c r="A10" s="459" t="s">
        <v>563</v>
      </c>
      <c r="B10" s="460">
        <f>transport!B54</f>
        <v>0</v>
      </c>
      <c r="C10" s="460">
        <f>transport!C54</f>
        <v>0</v>
      </c>
      <c r="D10" s="460">
        <f>transport!D54</f>
        <v>0</v>
      </c>
      <c r="E10" s="460">
        <f>transport!E54</f>
        <v>0</v>
      </c>
      <c r="F10" s="460">
        <f>transport!F54</f>
        <v>0</v>
      </c>
      <c r="G10" s="460">
        <f>transport!G54</f>
        <v>3087.4301872335886</v>
      </c>
      <c r="H10" s="460">
        <f>transport!H54</f>
        <v>0</v>
      </c>
      <c r="I10" s="460">
        <f>transport!I54</f>
        <v>0</v>
      </c>
      <c r="J10" s="460">
        <f>transport!J54</f>
        <v>0</v>
      </c>
      <c r="K10" s="460">
        <f>transport!K54</f>
        <v>0</v>
      </c>
      <c r="L10" s="460">
        <f>transport!L54</f>
        <v>0</v>
      </c>
      <c r="M10" s="460">
        <f>transport!M54</f>
        <v>131.60373561366785</v>
      </c>
      <c r="N10" s="460">
        <f>transport!N54</f>
        <v>0</v>
      </c>
      <c r="O10" s="460">
        <f>transport!O54</f>
        <v>0</v>
      </c>
      <c r="P10" s="461">
        <f>transport!P54</f>
        <v>0</v>
      </c>
      <c r="Q10" s="459">
        <f t="shared" si="0"/>
        <v>3219.0339228472567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1411.60311496091</v>
      </c>
      <c r="C14" s="467"/>
      <c r="D14" s="467">
        <f>'SEAP template'!E25</f>
        <v>2527.5442256347201</v>
      </c>
      <c r="E14" s="467"/>
      <c r="F14" s="467"/>
      <c r="G14" s="467"/>
      <c r="H14" s="467"/>
      <c r="I14" s="467"/>
      <c r="J14" s="467"/>
      <c r="K14" s="467"/>
      <c r="L14" s="467"/>
      <c r="M14" s="467"/>
      <c r="N14" s="467"/>
      <c r="O14" s="467"/>
      <c r="P14" s="468"/>
      <c r="Q14" s="459">
        <f t="shared" si="0"/>
        <v>3939.1473405956303</v>
      </c>
    </row>
    <row r="15" spans="1:17" s="472" customFormat="1">
      <c r="A15" s="469" t="s">
        <v>567</v>
      </c>
      <c r="B15" s="470">
        <f ca="1">SUM(B4:B14)</f>
        <v>132336.37567639703</v>
      </c>
      <c r="C15" s="470">
        <f t="shared" ref="C15:Q15" ca="1" si="1">SUM(C4:C14)</f>
        <v>22802.142857142859</v>
      </c>
      <c r="D15" s="470">
        <f t="shared" ca="1" si="1"/>
        <v>169684.55377906282</v>
      </c>
      <c r="E15" s="470">
        <f t="shared" si="1"/>
        <v>3826.0786237931648</v>
      </c>
      <c r="F15" s="470">
        <f t="shared" ca="1" si="1"/>
        <v>31799.920443574912</v>
      </c>
      <c r="G15" s="470">
        <f t="shared" si="1"/>
        <v>76198.689131720981</v>
      </c>
      <c r="H15" s="470">
        <f t="shared" si="1"/>
        <v>13137.803098064995</v>
      </c>
      <c r="I15" s="470">
        <f t="shared" si="1"/>
        <v>0</v>
      </c>
      <c r="J15" s="470">
        <f t="shared" si="1"/>
        <v>529.87695407040837</v>
      </c>
      <c r="K15" s="470">
        <f t="shared" si="1"/>
        <v>0</v>
      </c>
      <c r="L15" s="470">
        <f t="shared" ca="1" si="1"/>
        <v>0</v>
      </c>
      <c r="M15" s="470">
        <f t="shared" si="1"/>
        <v>3896.5375691595686</v>
      </c>
      <c r="N15" s="470">
        <f t="shared" ca="1" si="1"/>
        <v>15484.575013830559</v>
      </c>
      <c r="O15" s="470">
        <f t="shared" si="1"/>
        <v>48.463333333333331</v>
      </c>
      <c r="P15" s="470">
        <f t="shared" si="1"/>
        <v>209.73333333333335</v>
      </c>
      <c r="Q15" s="470">
        <f t="shared" ca="1" si="1"/>
        <v>469954.74981348391</v>
      </c>
    </row>
    <row r="17" spans="1:17">
      <c r="A17" s="473" t="s">
        <v>568</v>
      </c>
      <c r="B17" s="777">
        <f ca="1">huishoudens!B10</f>
        <v>0.1882765231853388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5413.6773270653293</v>
      </c>
      <c r="C22" s="460">
        <f t="shared" ref="C22:C32" ca="1" si="3">C4*$C$17</f>
        <v>0</v>
      </c>
      <c r="D22" s="460">
        <f t="shared" ref="D22:D32" si="4">D4*$D$17</f>
        <v>14799.791307930262</v>
      </c>
      <c r="E22" s="460">
        <f t="shared" ref="E22:E32" si="5">E4*$E$17</f>
        <v>532.29129523379368</v>
      </c>
      <c r="F22" s="460">
        <f t="shared" ref="F22:F32" si="6">F4*$F$17</f>
        <v>795.11399178154443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21540.873922010931</v>
      </c>
    </row>
    <row r="23" spans="1:17">
      <c r="A23" s="459" t="s">
        <v>156</v>
      </c>
      <c r="B23" s="460">
        <f t="shared" ca="1" si="2"/>
        <v>7127.0242499364977</v>
      </c>
      <c r="C23" s="460">
        <f t="shared" ca="1" si="3"/>
        <v>0</v>
      </c>
      <c r="D23" s="460">
        <f t="shared" ca="1" si="4"/>
        <v>7846.8112253231502</v>
      </c>
      <c r="E23" s="460">
        <f t="shared" si="5"/>
        <v>95.538721944021646</v>
      </c>
      <c r="F23" s="460">
        <f t="shared" ca="1" si="6"/>
        <v>1297.4746748888936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16366.848872092563</v>
      </c>
    </row>
    <row r="24" spans="1:17">
      <c r="A24" s="459" t="s">
        <v>194</v>
      </c>
      <c r="B24" s="460">
        <f t="shared" ca="1" si="2"/>
        <v>138.65775171202824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138.65775171202824</v>
      </c>
    </row>
    <row r="25" spans="1:17">
      <c r="A25" s="459" t="s">
        <v>112</v>
      </c>
      <c r="B25" s="460">
        <f t="shared" ca="1" si="2"/>
        <v>296.96914474632854</v>
      </c>
      <c r="C25" s="460">
        <f t="shared" ca="1" si="3"/>
        <v>0</v>
      </c>
      <c r="D25" s="460">
        <f t="shared" si="4"/>
        <v>923.88905432000183</v>
      </c>
      <c r="E25" s="460">
        <f t="shared" si="5"/>
        <v>3.7495541280305433</v>
      </c>
      <c r="F25" s="460">
        <f t="shared" si="6"/>
        <v>1802.7988954287757</v>
      </c>
      <c r="G25" s="460">
        <f t="shared" si="7"/>
        <v>0</v>
      </c>
      <c r="H25" s="460">
        <f t="shared" si="8"/>
        <v>0</v>
      </c>
      <c r="I25" s="460">
        <f t="shared" si="9"/>
        <v>0</v>
      </c>
      <c r="J25" s="460">
        <f t="shared" si="10"/>
        <v>49.86702595084413</v>
      </c>
      <c r="K25" s="460">
        <f t="shared" si="11"/>
        <v>0</v>
      </c>
      <c r="L25" s="460">
        <f t="shared" si="12"/>
        <v>0</v>
      </c>
      <c r="M25" s="460">
        <f t="shared" si="13"/>
        <v>0</v>
      </c>
      <c r="N25" s="460">
        <f t="shared" si="14"/>
        <v>0</v>
      </c>
      <c r="O25" s="460">
        <f t="shared" si="15"/>
        <v>0</v>
      </c>
      <c r="P25" s="461">
        <f t="shared" si="16"/>
        <v>0</v>
      </c>
      <c r="Q25" s="459">
        <f t="shared" ca="1" si="17"/>
        <v>3077.2736745739808</v>
      </c>
    </row>
    <row r="26" spans="1:17">
      <c r="A26" s="459" t="s">
        <v>655</v>
      </c>
      <c r="B26" s="460">
        <f t="shared" ca="1" si="2"/>
        <v>11673.574495214893</v>
      </c>
      <c r="C26" s="460">
        <f t="shared" ca="1" si="3"/>
        <v>0</v>
      </c>
      <c r="D26" s="460">
        <f t="shared" si="4"/>
        <v>10194.433156096424</v>
      </c>
      <c r="E26" s="460">
        <f t="shared" si="5"/>
        <v>144.70958146049014</v>
      </c>
      <c r="F26" s="460">
        <f t="shared" si="6"/>
        <v>4595.1911963352886</v>
      </c>
      <c r="G26" s="460">
        <f t="shared" si="7"/>
        <v>0</v>
      </c>
      <c r="H26" s="460">
        <f t="shared" si="8"/>
        <v>0</v>
      </c>
      <c r="I26" s="460">
        <f t="shared" si="9"/>
        <v>0</v>
      </c>
      <c r="J26" s="460">
        <f t="shared" si="10"/>
        <v>137.70941579008044</v>
      </c>
      <c r="K26" s="460">
        <f t="shared" si="11"/>
        <v>0</v>
      </c>
      <c r="L26" s="460">
        <f t="shared" si="12"/>
        <v>0</v>
      </c>
      <c r="M26" s="460">
        <f t="shared" si="13"/>
        <v>0</v>
      </c>
      <c r="N26" s="460">
        <f t="shared" si="14"/>
        <v>0</v>
      </c>
      <c r="O26" s="460">
        <f t="shared" si="15"/>
        <v>0</v>
      </c>
      <c r="P26" s="461">
        <f t="shared" si="16"/>
        <v>0</v>
      </c>
      <c r="Q26" s="459">
        <f t="shared" ca="1" si="17"/>
        <v>26745.617844897177</v>
      </c>
    </row>
    <row r="27" spans="1:17" s="465" customFormat="1">
      <c r="A27" s="463" t="s">
        <v>573</v>
      </c>
      <c r="B27" s="771">
        <f t="shared" ca="1" si="2"/>
        <v>0.15800802335904093</v>
      </c>
      <c r="C27" s="464">
        <f t="shared" ca="1" si="3"/>
        <v>0</v>
      </c>
      <c r="D27" s="464">
        <f t="shared" si="4"/>
        <v>0.79118612264143817</v>
      </c>
      <c r="E27" s="464">
        <f t="shared" si="5"/>
        <v>92.230694834712381</v>
      </c>
      <c r="F27" s="464">
        <f t="shared" si="6"/>
        <v>0</v>
      </c>
      <c r="G27" s="464">
        <f t="shared" si="7"/>
        <v>19520.706138178135</v>
      </c>
      <c r="H27" s="464">
        <f t="shared" si="8"/>
        <v>3271.3129714181837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22885.198998577034</v>
      </c>
    </row>
    <row r="28" spans="1:17">
      <c r="A28" s="459" t="s">
        <v>563</v>
      </c>
      <c r="B28" s="460">
        <f t="shared" ca="1" si="2"/>
        <v>0</v>
      </c>
      <c r="C28" s="460">
        <f t="shared" ca="1" si="3"/>
        <v>0</v>
      </c>
      <c r="D28" s="460">
        <f t="shared" si="4"/>
        <v>0</v>
      </c>
      <c r="E28" s="460">
        <f t="shared" si="5"/>
        <v>0</v>
      </c>
      <c r="F28" s="460">
        <f t="shared" si="6"/>
        <v>0</v>
      </c>
      <c r="G28" s="460">
        <f t="shared" si="7"/>
        <v>824.34385999136816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824.34385999136816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265.77172660243423</v>
      </c>
      <c r="C32" s="460">
        <f t="shared" ca="1" si="3"/>
        <v>0</v>
      </c>
      <c r="D32" s="460">
        <f t="shared" si="4"/>
        <v>510.56393357821349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776.33566018064766</v>
      </c>
    </row>
    <row r="33" spans="1:17" s="472" customFormat="1">
      <c r="A33" s="469" t="s">
        <v>567</v>
      </c>
      <c r="B33" s="470">
        <f ca="1">SUM(B22:B32)</f>
        <v>24915.832703300865</v>
      </c>
      <c r="C33" s="470">
        <f t="shared" ref="C33:Q33" ca="1" si="19">SUM(C22:C32)</f>
        <v>0</v>
      </c>
      <c r="D33" s="470">
        <f t="shared" ca="1" si="19"/>
        <v>34276.279863370684</v>
      </c>
      <c r="E33" s="470">
        <f t="shared" si="19"/>
        <v>868.51984760104835</v>
      </c>
      <c r="F33" s="470">
        <f t="shared" ca="1" si="19"/>
        <v>8490.5787584345017</v>
      </c>
      <c r="G33" s="470">
        <f t="shared" si="19"/>
        <v>20345.049998169503</v>
      </c>
      <c r="H33" s="470">
        <f t="shared" si="19"/>
        <v>3271.3129714181837</v>
      </c>
      <c r="I33" s="470">
        <f t="shared" si="19"/>
        <v>0</v>
      </c>
      <c r="J33" s="470">
        <f t="shared" si="19"/>
        <v>187.57644174092457</v>
      </c>
      <c r="K33" s="470">
        <f t="shared" si="19"/>
        <v>0</v>
      </c>
      <c r="L33" s="470">
        <f t="shared" ca="1" si="19"/>
        <v>0</v>
      </c>
      <c r="M33" s="470">
        <f t="shared" si="19"/>
        <v>0</v>
      </c>
      <c r="N33" s="470">
        <f t="shared" ca="1" si="19"/>
        <v>0</v>
      </c>
      <c r="O33" s="470">
        <f t="shared" si="19"/>
        <v>0</v>
      </c>
      <c r="P33" s="470">
        <f t="shared" si="19"/>
        <v>0</v>
      </c>
      <c r="Q33" s="470">
        <f t="shared" ca="1" si="19"/>
        <v>92355.150584035728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3633.5512270718245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15961.5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18778.23529411765</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19595.051227071825</v>
      </c>
      <c r="C10" s="1032">
        <f>SUM(C4:C9)</f>
        <v>0</v>
      </c>
      <c r="D10" s="1032">
        <f t="shared" ref="D10:H10" si="0">SUM(D8:D9)</f>
        <v>0</v>
      </c>
      <c r="E10" s="1032">
        <f t="shared" si="0"/>
        <v>0</v>
      </c>
      <c r="F10" s="1032">
        <f t="shared" si="0"/>
        <v>0</v>
      </c>
      <c r="G10" s="1032">
        <f t="shared" si="0"/>
        <v>0</v>
      </c>
      <c r="H10" s="1032">
        <f t="shared" si="0"/>
        <v>0</v>
      </c>
      <c r="I10" s="1032">
        <f>SUM(I8:I9)</f>
        <v>0</v>
      </c>
      <c r="J10" s="1032">
        <f>SUM(J8:J9)</f>
        <v>18778.23529411765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0.1882765231853388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22802.142857142859</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26826.050420168071</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22802.142857142859</v>
      </c>
      <c r="C20" s="1032">
        <f>SUM(C17:C19)</f>
        <v>0</v>
      </c>
      <c r="D20" s="1032">
        <f t="shared" ref="D20:H20" si="2">SUM(D17:D19)</f>
        <v>0</v>
      </c>
      <c r="E20" s="1032">
        <f t="shared" si="2"/>
        <v>0</v>
      </c>
      <c r="F20" s="1032">
        <f t="shared" si="2"/>
        <v>0</v>
      </c>
      <c r="G20" s="1032">
        <f t="shared" si="2"/>
        <v>0</v>
      </c>
      <c r="H20" s="1032">
        <f t="shared" si="2"/>
        <v>0</v>
      </c>
      <c r="I20" s="1032">
        <f>SUM(I17:I19)</f>
        <v>0</v>
      </c>
      <c r="J20" s="1032">
        <f>SUM(J17:J19)</f>
        <v>26826.050420168071</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0.1882765231853388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0.1882765231853388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0.1882765231853388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5644</v>
      </c>
      <c r="C9" s="336">
        <v>5930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2409</v>
      </c>
    </row>
    <row r="15" spans="1:6">
      <c r="A15" s="1277" t="s">
        <v>184</v>
      </c>
      <c r="B15" s="333">
        <v>789</v>
      </c>
    </row>
    <row r="16" spans="1:6">
      <c r="A16" s="1277" t="s">
        <v>6</v>
      </c>
      <c r="B16" s="333">
        <v>1712</v>
      </c>
    </row>
    <row r="17" spans="1:6">
      <c r="A17" s="1277" t="s">
        <v>7</v>
      </c>
      <c r="B17" s="333">
        <v>615</v>
      </c>
    </row>
    <row r="18" spans="1:6">
      <c r="A18" s="1277" t="s">
        <v>8</v>
      </c>
      <c r="B18" s="333">
        <v>1219</v>
      </c>
    </row>
    <row r="19" spans="1:6">
      <c r="A19" s="1277" t="s">
        <v>9</v>
      </c>
      <c r="B19" s="333">
        <v>1170</v>
      </c>
    </row>
    <row r="20" spans="1:6">
      <c r="A20" s="1277" t="s">
        <v>10</v>
      </c>
      <c r="B20" s="333">
        <v>1008</v>
      </c>
    </row>
    <row r="21" spans="1:6">
      <c r="A21" s="1277" t="s">
        <v>11</v>
      </c>
      <c r="B21" s="333">
        <v>1584</v>
      </c>
    </row>
    <row r="22" spans="1:6">
      <c r="A22" s="1277" t="s">
        <v>12</v>
      </c>
      <c r="B22" s="333">
        <v>8071</v>
      </c>
    </row>
    <row r="23" spans="1:6">
      <c r="A23" s="1277" t="s">
        <v>13</v>
      </c>
      <c r="B23" s="333">
        <v>98</v>
      </c>
    </row>
    <row r="24" spans="1:6">
      <c r="A24" s="1277" t="s">
        <v>14</v>
      </c>
      <c r="B24" s="333">
        <v>6</v>
      </c>
    </row>
    <row r="25" spans="1:6">
      <c r="A25" s="1277" t="s">
        <v>15</v>
      </c>
      <c r="B25" s="333">
        <v>484</v>
      </c>
    </row>
    <row r="26" spans="1:6">
      <c r="A26" s="1277" t="s">
        <v>16</v>
      </c>
      <c r="B26" s="333">
        <v>91</v>
      </c>
    </row>
    <row r="27" spans="1:6">
      <c r="A27" s="1277" t="s">
        <v>17</v>
      </c>
      <c r="B27" s="333">
        <v>0</v>
      </c>
    </row>
    <row r="28" spans="1:6">
      <c r="A28" s="1277" t="s">
        <v>18</v>
      </c>
      <c r="B28" s="333">
        <v>172020</v>
      </c>
    </row>
    <row r="29" spans="1:6">
      <c r="A29" s="1277" t="s">
        <v>957</v>
      </c>
      <c r="B29" s="333">
        <v>120</v>
      </c>
    </row>
    <row r="30" spans="1:6">
      <c r="A30" s="1273" t="s">
        <v>958</v>
      </c>
      <c r="B30" s="1273">
        <v>60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18504.567004896398</v>
      </c>
    </row>
    <row r="39" spans="1:6">
      <c r="A39" s="1277" t="s">
        <v>30</v>
      </c>
      <c r="B39" s="1277" t="s">
        <v>31</v>
      </c>
      <c r="C39" s="333">
        <v>4110</v>
      </c>
      <c r="D39" s="333">
        <v>81226489.582721904</v>
      </c>
      <c r="E39" s="333">
        <v>5527</v>
      </c>
      <c r="F39" s="333">
        <v>27329435.676687799</v>
      </c>
    </row>
    <row r="40" spans="1:6">
      <c r="A40" s="1277" t="s">
        <v>30</v>
      </c>
      <c r="B40" s="1277" t="s">
        <v>29</v>
      </c>
      <c r="C40" s="333">
        <v>0</v>
      </c>
      <c r="D40" s="333">
        <v>0</v>
      </c>
      <c r="E40" s="333">
        <v>0</v>
      </c>
      <c r="F40" s="333">
        <v>0</v>
      </c>
    </row>
    <row r="41" spans="1:6">
      <c r="A41" s="1277" t="s">
        <v>32</v>
      </c>
      <c r="B41" s="1277" t="s">
        <v>33</v>
      </c>
      <c r="C41" s="333">
        <v>36</v>
      </c>
      <c r="D41" s="333">
        <v>1602133.5546911999</v>
      </c>
      <c r="E41" s="333">
        <v>132</v>
      </c>
      <c r="F41" s="333">
        <v>10165210.9752931</v>
      </c>
    </row>
    <row r="42" spans="1:6">
      <c r="A42" s="1277" t="s">
        <v>32</v>
      </c>
      <c r="B42" s="1277" t="s">
        <v>34</v>
      </c>
      <c r="C42" s="333">
        <v>3</v>
      </c>
      <c r="D42" s="333">
        <v>983470.82971509104</v>
      </c>
      <c r="E42" s="333">
        <v>4</v>
      </c>
      <c r="F42" s="333">
        <v>859850.66103753005</v>
      </c>
    </row>
    <row r="43" spans="1:6">
      <c r="A43" s="1277" t="s">
        <v>32</v>
      </c>
      <c r="B43" s="1277" t="s">
        <v>35</v>
      </c>
      <c r="C43" s="333">
        <v>0</v>
      </c>
      <c r="D43" s="333">
        <v>0</v>
      </c>
      <c r="E43" s="333">
        <v>0</v>
      </c>
      <c r="F43" s="333">
        <v>0</v>
      </c>
    </row>
    <row r="44" spans="1:6">
      <c r="A44" s="1277" t="s">
        <v>32</v>
      </c>
      <c r="B44" s="1277" t="s">
        <v>36</v>
      </c>
      <c r="C44" s="333">
        <v>3</v>
      </c>
      <c r="D44" s="333">
        <v>98304.599659845699</v>
      </c>
      <c r="E44" s="333">
        <v>22</v>
      </c>
      <c r="F44" s="333">
        <v>5207590.8278688705</v>
      </c>
    </row>
    <row r="45" spans="1:6">
      <c r="A45" s="1277" t="s">
        <v>32</v>
      </c>
      <c r="B45" s="1277" t="s">
        <v>37</v>
      </c>
      <c r="C45" s="333">
        <v>0</v>
      </c>
      <c r="D45" s="333">
        <v>0</v>
      </c>
      <c r="E45" s="333">
        <v>3</v>
      </c>
      <c r="F45" s="333">
        <v>765653.47529440001</v>
      </c>
    </row>
    <row r="46" spans="1:6">
      <c r="A46" s="1277" t="s">
        <v>32</v>
      </c>
      <c r="B46" s="1277" t="s">
        <v>38</v>
      </c>
      <c r="C46" s="333">
        <v>0</v>
      </c>
      <c r="D46" s="333">
        <v>0</v>
      </c>
      <c r="E46" s="333">
        <v>0</v>
      </c>
      <c r="F46" s="333">
        <v>0</v>
      </c>
    </row>
    <row r="47" spans="1:6">
      <c r="A47" s="1277" t="s">
        <v>32</v>
      </c>
      <c r="B47" s="1277" t="s">
        <v>39</v>
      </c>
      <c r="C47" s="333">
        <v>4</v>
      </c>
      <c r="D47" s="333">
        <v>144847.63008748999</v>
      </c>
      <c r="E47" s="333">
        <v>4</v>
      </c>
      <c r="F47" s="333">
        <v>50761.471117131397</v>
      </c>
    </row>
    <row r="48" spans="1:6">
      <c r="A48" s="1277" t="s">
        <v>32</v>
      </c>
      <c r="B48" s="1277" t="s">
        <v>29</v>
      </c>
      <c r="C48" s="333">
        <v>37</v>
      </c>
      <c r="D48" s="333">
        <v>50652634.949781299</v>
      </c>
      <c r="E48" s="333">
        <v>44</v>
      </c>
      <c r="F48" s="333">
        <v>34861724.8914942</v>
      </c>
    </row>
    <row r="49" spans="1:6">
      <c r="A49" s="1277" t="s">
        <v>32</v>
      </c>
      <c r="B49" s="1277" t="s">
        <v>40</v>
      </c>
      <c r="C49" s="333">
        <v>0</v>
      </c>
      <c r="D49" s="333">
        <v>0</v>
      </c>
      <c r="E49" s="333">
        <v>0</v>
      </c>
      <c r="F49" s="333">
        <v>0</v>
      </c>
    </row>
    <row r="50" spans="1:6">
      <c r="A50" s="1277" t="s">
        <v>32</v>
      </c>
      <c r="B50" s="1277" t="s">
        <v>41</v>
      </c>
      <c r="C50" s="333">
        <v>13</v>
      </c>
      <c r="D50" s="333">
        <v>2469263.5045401002</v>
      </c>
      <c r="E50" s="333">
        <v>13</v>
      </c>
      <c r="F50" s="333">
        <v>10091491.879249999</v>
      </c>
    </row>
    <row r="51" spans="1:6">
      <c r="A51" s="1277" t="s">
        <v>42</v>
      </c>
      <c r="B51" s="1277" t="s">
        <v>43</v>
      </c>
      <c r="C51" s="333">
        <v>4</v>
      </c>
      <c r="D51" s="333">
        <v>72033.950545867905</v>
      </c>
      <c r="E51" s="333">
        <v>63</v>
      </c>
      <c r="F51" s="333">
        <v>1309600.3099426699</v>
      </c>
    </row>
    <row r="52" spans="1:6">
      <c r="A52" s="1277" t="s">
        <v>42</v>
      </c>
      <c r="B52" s="1277" t="s">
        <v>29</v>
      </c>
      <c r="C52" s="333">
        <v>4</v>
      </c>
      <c r="D52" s="333">
        <v>4998595.9715195196</v>
      </c>
      <c r="E52" s="333">
        <v>10</v>
      </c>
      <c r="F52" s="333">
        <v>267702.79573446797</v>
      </c>
    </row>
    <row r="53" spans="1:6">
      <c r="A53" s="1277" t="s">
        <v>44</v>
      </c>
      <c r="B53" s="1277" t="s">
        <v>45</v>
      </c>
      <c r="C53" s="333">
        <v>123</v>
      </c>
      <c r="D53" s="333">
        <v>2527544.2256347202</v>
      </c>
      <c r="E53" s="333">
        <v>209</v>
      </c>
      <c r="F53" s="333">
        <v>1411603.1149609101</v>
      </c>
    </row>
    <row r="54" spans="1:6">
      <c r="A54" s="1277" t="s">
        <v>46</v>
      </c>
      <c r="B54" s="1277" t="s">
        <v>47</v>
      </c>
      <c r="C54" s="333">
        <v>0</v>
      </c>
      <c r="D54" s="333">
        <v>0</v>
      </c>
      <c r="E54" s="333">
        <v>1</v>
      </c>
      <c r="F54" s="333">
        <v>736458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35</v>
      </c>
      <c r="D57" s="333">
        <v>2388596.0284540402</v>
      </c>
      <c r="E57" s="333">
        <v>71</v>
      </c>
      <c r="F57" s="333">
        <v>2201445.6019912399</v>
      </c>
    </row>
    <row r="58" spans="1:6">
      <c r="A58" s="1277" t="s">
        <v>49</v>
      </c>
      <c r="B58" s="1277" t="s">
        <v>51</v>
      </c>
      <c r="C58" s="333">
        <v>17</v>
      </c>
      <c r="D58" s="333">
        <v>12089380.904208399</v>
      </c>
      <c r="E58" s="333">
        <v>21</v>
      </c>
      <c r="F58" s="333">
        <v>789073.837363848</v>
      </c>
    </row>
    <row r="59" spans="1:6">
      <c r="A59" s="1277" t="s">
        <v>49</v>
      </c>
      <c r="B59" s="1277" t="s">
        <v>52</v>
      </c>
      <c r="C59" s="333">
        <v>99</v>
      </c>
      <c r="D59" s="333">
        <v>3967858.2857503099</v>
      </c>
      <c r="E59" s="333">
        <v>206</v>
      </c>
      <c r="F59" s="333">
        <v>7205825.6060710698</v>
      </c>
    </row>
    <row r="60" spans="1:6">
      <c r="A60" s="1277" t="s">
        <v>49</v>
      </c>
      <c r="B60" s="1277" t="s">
        <v>53</v>
      </c>
      <c r="C60" s="333">
        <v>58</v>
      </c>
      <c r="D60" s="333">
        <v>3040025.0455643702</v>
      </c>
      <c r="E60" s="333">
        <v>73</v>
      </c>
      <c r="F60" s="333">
        <v>2533658.3381615099</v>
      </c>
    </row>
    <row r="61" spans="1:6">
      <c r="A61" s="1277" t="s">
        <v>49</v>
      </c>
      <c r="B61" s="1277" t="s">
        <v>54</v>
      </c>
      <c r="C61" s="333">
        <v>145</v>
      </c>
      <c r="D61" s="333">
        <v>8738390.5399123095</v>
      </c>
      <c r="E61" s="333">
        <v>270</v>
      </c>
      <c r="F61" s="333">
        <v>5019498.7393569099</v>
      </c>
    </row>
    <row r="62" spans="1:6">
      <c r="A62" s="1277" t="s">
        <v>49</v>
      </c>
      <c r="B62" s="1277" t="s">
        <v>55</v>
      </c>
      <c r="C62" s="333">
        <v>24</v>
      </c>
      <c r="D62" s="333">
        <v>6291140.1004094202</v>
      </c>
      <c r="E62" s="333">
        <v>19</v>
      </c>
      <c r="F62" s="333">
        <v>1805923.9918758599</v>
      </c>
    </row>
    <row r="63" spans="1:6">
      <c r="A63" s="1277" t="s">
        <v>49</v>
      </c>
      <c r="B63" s="1277" t="s">
        <v>29</v>
      </c>
      <c r="C63" s="333">
        <v>100</v>
      </c>
      <c r="D63" s="333">
        <v>6550684.62271016</v>
      </c>
      <c r="E63" s="333">
        <v>95</v>
      </c>
      <c r="F63" s="333">
        <v>2337099.0677068499</v>
      </c>
    </row>
    <row r="64" spans="1:6">
      <c r="A64" s="1277" t="s">
        <v>56</v>
      </c>
      <c r="B64" s="1277" t="s">
        <v>57</v>
      </c>
      <c r="C64" s="333">
        <v>0</v>
      </c>
      <c r="D64" s="333">
        <v>0</v>
      </c>
      <c r="E64" s="333">
        <v>0</v>
      </c>
      <c r="F64" s="333">
        <v>0</v>
      </c>
    </row>
    <row r="65" spans="1:6">
      <c r="A65" s="1277" t="s">
        <v>56</v>
      </c>
      <c r="B65" s="1277" t="s">
        <v>29</v>
      </c>
      <c r="C65" s="333">
        <v>3</v>
      </c>
      <c r="D65" s="333">
        <v>138430.89810972</v>
      </c>
      <c r="E65" s="333">
        <v>3</v>
      </c>
      <c r="F65" s="333">
        <v>196896.29555996999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118208.823332309</v>
      </c>
      <c r="E68" s="333">
        <v>12</v>
      </c>
      <c r="F68" s="333">
        <v>184191.265198993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89308541</v>
      </c>
      <c r="E73" s="333">
        <v>92638240.079691842</v>
      </c>
      <c r="F73" s="333">
        <v>89611445</v>
      </c>
    </row>
    <row r="74" spans="1:6">
      <c r="A74" s="1277" t="s">
        <v>64</v>
      </c>
      <c r="B74" s="1277" t="s">
        <v>774</v>
      </c>
      <c r="C74" s="1288" t="s">
        <v>775</v>
      </c>
      <c r="D74" s="333">
        <v>7792664.649932107</v>
      </c>
      <c r="E74" s="333">
        <v>8363323.5372042321</v>
      </c>
      <c r="F74" s="333">
        <v>8019118.4847210767</v>
      </c>
    </row>
    <row r="75" spans="1:6">
      <c r="A75" s="1277" t="s">
        <v>65</v>
      </c>
      <c r="B75" s="1277" t="s">
        <v>772</v>
      </c>
      <c r="C75" s="1288" t="s">
        <v>776</v>
      </c>
      <c r="D75" s="333">
        <v>10706339</v>
      </c>
      <c r="E75" s="333">
        <v>11083963.166266575</v>
      </c>
      <c r="F75" s="333">
        <v>10734803</v>
      </c>
    </row>
    <row r="76" spans="1:6">
      <c r="A76" s="1277" t="s">
        <v>65</v>
      </c>
      <c r="B76" s="1277" t="s">
        <v>774</v>
      </c>
      <c r="C76" s="1288" t="s">
        <v>777</v>
      </c>
      <c r="D76" s="333">
        <v>144662.64993210736</v>
      </c>
      <c r="E76" s="333">
        <v>218635.43613237061</v>
      </c>
      <c r="F76" s="333">
        <v>188341.48472107708</v>
      </c>
    </row>
    <row r="77" spans="1:6">
      <c r="A77" s="1277" t="s">
        <v>66</v>
      </c>
      <c r="B77" s="1277" t="s">
        <v>772</v>
      </c>
      <c r="C77" s="1288" t="s">
        <v>778</v>
      </c>
      <c r="D77" s="333">
        <v>5099202</v>
      </c>
      <c r="E77" s="333">
        <v>5268255.3740212806</v>
      </c>
      <c r="F77" s="333">
        <v>5143674</v>
      </c>
    </row>
    <row r="78" spans="1:6">
      <c r="A78" s="1273" t="s">
        <v>66</v>
      </c>
      <c r="B78" s="1273" t="s">
        <v>774</v>
      </c>
      <c r="C78" s="1273" t="s">
        <v>779</v>
      </c>
      <c r="D78" s="1273">
        <v>1198360</v>
      </c>
      <c r="E78" s="1273">
        <v>1236116.9943560921</v>
      </c>
      <c r="F78" s="336">
        <v>1270124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846490.70013578527</v>
      </c>
      <c r="C83" s="333">
        <v>780322.59186142008</v>
      </c>
      <c r="D83" s="333">
        <v>789265.03055784584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1424.4271813814601</v>
      </c>
    </row>
    <row r="92" spans="1:6">
      <c r="A92" s="1273" t="s">
        <v>69</v>
      </c>
      <c r="B92" s="336">
        <v>2209.1240456903647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3064</v>
      </c>
    </row>
    <row r="98" spans="1:6">
      <c r="A98" s="1277" t="s">
        <v>72</v>
      </c>
      <c r="B98" s="333">
        <v>2</v>
      </c>
    </row>
    <row r="99" spans="1:6">
      <c r="A99" s="1277" t="s">
        <v>73</v>
      </c>
      <c r="B99" s="333">
        <v>56</v>
      </c>
    </row>
    <row r="100" spans="1:6">
      <c r="A100" s="1277" t="s">
        <v>74</v>
      </c>
      <c r="B100" s="333">
        <v>513</v>
      </c>
    </row>
    <row r="101" spans="1:6">
      <c r="A101" s="1277" t="s">
        <v>75</v>
      </c>
      <c r="B101" s="333">
        <v>115</v>
      </c>
    </row>
    <row r="102" spans="1:6">
      <c r="A102" s="1277" t="s">
        <v>76</v>
      </c>
      <c r="B102" s="333">
        <v>55</v>
      </c>
    </row>
    <row r="103" spans="1:6">
      <c r="A103" s="1277" t="s">
        <v>77</v>
      </c>
      <c r="B103" s="333">
        <v>102</v>
      </c>
    </row>
    <row r="104" spans="1:6">
      <c r="A104" s="1277" t="s">
        <v>78</v>
      </c>
      <c r="B104" s="333">
        <v>1072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132336.37567639703</v>
      </c>
      <c r="C3" s="43" t="s">
        <v>170</v>
      </c>
      <c r="D3" s="43"/>
      <c r="E3" s="156"/>
      <c r="F3" s="43"/>
      <c r="G3" s="43"/>
      <c r="H3" s="43"/>
      <c r="I3" s="43"/>
      <c r="J3" s="43"/>
      <c r="K3" s="96"/>
    </row>
    <row r="4" spans="1:11">
      <c r="A4" s="364" t="s">
        <v>171</v>
      </c>
      <c r="B4" s="49">
        <f>IF(ISERROR('SEAP template'!B78),0,'SEAP template'!B78)</f>
        <v>19595.051227071825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0.1882765231853388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22802.142857142859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736.45799999999997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736.45799999999997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0.1882765231853388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138.65775171202824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27329.435676687801</v>
      </c>
      <c r="C5" s="17">
        <f>IF(ISERROR('Eigen informatie GS &amp; warmtenet'!B57),0,'Eigen informatie GS &amp; warmtenet'!B57)</f>
        <v>0</v>
      </c>
      <c r="D5" s="30">
        <f>(SUM(HH_hh_gas_kWh,HH_rest_gas_kWh)/1000)*0.902</f>
        <v>73266.293603615151</v>
      </c>
      <c r="E5" s="17">
        <f>B46*B57</f>
        <v>2344.8955737171527</v>
      </c>
      <c r="F5" s="17">
        <f>B51*B62</f>
        <v>2977.9550253990428</v>
      </c>
      <c r="G5" s="18"/>
      <c r="H5" s="17"/>
      <c r="I5" s="17"/>
      <c r="J5" s="17">
        <f>B50*B61+C50*C61</f>
        <v>0</v>
      </c>
      <c r="K5" s="17"/>
      <c r="L5" s="17"/>
      <c r="M5" s="17"/>
      <c r="N5" s="17">
        <f>B48*B59+C48*C59</f>
        <v>13932.633757794425</v>
      </c>
      <c r="O5" s="17">
        <f>B69*B70*B71</f>
        <v>46.9</v>
      </c>
      <c r="P5" s="17">
        <f>B77*B78*B79/1000-B77*B78*B79/1000/B80</f>
        <v>209.73333333333335</v>
      </c>
    </row>
    <row r="6" spans="1:16">
      <c r="A6" s="16" t="s">
        <v>632</v>
      </c>
      <c r="B6" s="779">
        <f>kWh_PV_kleiner_dan_10kW</f>
        <v>1424.4271813814601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28753.86285806926</v>
      </c>
      <c r="C8" s="21">
        <f>C5</f>
        <v>0</v>
      </c>
      <c r="D8" s="21">
        <f>D5</f>
        <v>73266.293603615151</v>
      </c>
      <c r="E8" s="21">
        <f>E5</f>
        <v>2344.8955737171527</v>
      </c>
      <c r="F8" s="21">
        <f>F5</f>
        <v>2977.9550253990428</v>
      </c>
      <c r="G8" s="21"/>
      <c r="H8" s="21"/>
      <c r="I8" s="21"/>
      <c r="J8" s="21">
        <f>J5</f>
        <v>0</v>
      </c>
      <c r="K8" s="21"/>
      <c r="L8" s="21">
        <f>L5</f>
        <v>0</v>
      </c>
      <c r="M8" s="21">
        <f>M5</f>
        <v>0</v>
      </c>
      <c r="N8" s="21">
        <f>N5</f>
        <v>13932.633757794425</v>
      </c>
      <c r="O8" s="21">
        <f>O5</f>
        <v>46.9</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0.1882765231853388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5413.6773270653293</v>
      </c>
      <c r="C12" s="23">
        <f ca="1">C10*C8</f>
        <v>0</v>
      </c>
      <c r="D12" s="23">
        <f>D8*D10</f>
        <v>14799.791307930262</v>
      </c>
      <c r="E12" s="23">
        <f>E10*E8</f>
        <v>532.29129523379368</v>
      </c>
      <c r="F12" s="23">
        <f>F10*F8</f>
        <v>795.11399178154443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3064</v>
      </c>
      <c r="C18" s="167" t="s">
        <v>111</v>
      </c>
      <c r="D18" s="229"/>
      <c r="E18" s="15"/>
    </row>
    <row r="19" spans="1:7">
      <c r="A19" s="172" t="s">
        <v>72</v>
      </c>
      <c r="B19" s="37">
        <f>aantalw2001_ander</f>
        <v>2</v>
      </c>
      <c r="C19" s="167" t="s">
        <v>111</v>
      </c>
      <c r="D19" s="230"/>
      <c r="E19" s="15"/>
    </row>
    <row r="20" spans="1:7">
      <c r="A20" s="172" t="s">
        <v>73</v>
      </c>
      <c r="B20" s="37">
        <f>aantalw2001_propaan</f>
        <v>56</v>
      </c>
      <c r="C20" s="168">
        <f>IF(ISERROR(B20/SUM($B$20,$B$21,$B$22)*100),0,B20/SUM($B$20,$B$21,$B$22)*100)</f>
        <v>8.1871345029239766</v>
      </c>
      <c r="D20" s="230"/>
      <c r="E20" s="15"/>
    </row>
    <row r="21" spans="1:7">
      <c r="A21" s="172" t="s">
        <v>74</v>
      </c>
      <c r="B21" s="37">
        <f>aantalw2001_elektriciteit</f>
        <v>513</v>
      </c>
      <c r="C21" s="168">
        <f>IF(ISERROR(B21/SUM($B$20,$B$21,$B$22)*100),0,B21/SUM($B$20,$B$21,$B$22)*100)</f>
        <v>75</v>
      </c>
      <c r="D21" s="230"/>
      <c r="E21" s="15"/>
    </row>
    <row r="22" spans="1:7">
      <c r="A22" s="172" t="s">
        <v>75</v>
      </c>
      <c r="B22" s="37">
        <f>aantalw2001_hout</f>
        <v>115</v>
      </c>
      <c r="C22" s="168">
        <f>IF(ISERROR(B22/SUM($B$20,$B$21,$B$22)*100),0,B22/SUM($B$20,$B$21,$B$22)*100)</f>
        <v>16.812865497076025</v>
      </c>
      <c r="D22" s="230"/>
      <c r="E22" s="15"/>
    </row>
    <row r="23" spans="1:7">
      <c r="A23" s="172" t="s">
        <v>76</v>
      </c>
      <c r="B23" s="37">
        <f>aantalw2001_niet_gespec</f>
        <v>55</v>
      </c>
      <c r="C23" s="167" t="s">
        <v>111</v>
      </c>
      <c r="D23" s="229"/>
      <c r="E23" s="15"/>
    </row>
    <row r="24" spans="1:7">
      <c r="A24" s="172" t="s">
        <v>77</v>
      </c>
      <c r="B24" s="37">
        <f>aantalw2001_steenkool</f>
        <v>102</v>
      </c>
      <c r="C24" s="167" t="s">
        <v>111</v>
      </c>
      <c r="D24" s="230"/>
      <c r="E24" s="15"/>
    </row>
    <row r="25" spans="1:7">
      <c r="A25" s="172" t="s">
        <v>78</v>
      </c>
      <c r="B25" s="37">
        <f>aantalw2001_stookolie</f>
        <v>1072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5644</v>
      </c>
      <c r="C28" s="36"/>
      <c r="D28" s="229"/>
    </row>
    <row r="29" spans="1:7" s="15" customFormat="1">
      <c r="A29" s="231" t="s">
        <v>713</v>
      </c>
      <c r="B29" s="37">
        <f>SUM(HH_hh_gas_aantal,HH_rest_gas_aantal)</f>
        <v>4110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4110</v>
      </c>
      <c r="C32" s="168">
        <f>IF(ISERROR(B32/SUM($B$32,$B$34,$B$35,$B$36,$B$38,$B$39)*100),0,B32/SUM($B$32,$B$34,$B$35,$B$36,$B$38,$B$39)*100)</f>
        <v>72.962897212852823</v>
      </c>
      <c r="D32" s="234"/>
      <c r="G32" s="15"/>
    </row>
    <row r="33" spans="1:7">
      <c r="A33" s="172" t="s">
        <v>72</v>
      </c>
      <c r="B33" s="34" t="s">
        <v>111</v>
      </c>
      <c r="C33" s="168"/>
      <c r="D33" s="234"/>
      <c r="G33" s="15"/>
    </row>
    <row r="34" spans="1:7">
      <c r="A34" s="172" t="s">
        <v>73</v>
      </c>
      <c r="B34" s="33">
        <f>IF((($B$28-$B$32-$B$39-$B$77-$B$38)*C20/100)&lt;0,0,($B$28-$B$32-$B$39-$B$77-$B$38)*C20/100)</f>
        <v>113.99766081871347</v>
      </c>
      <c r="C34" s="168">
        <f>IF(ISERROR(B34/SUM($B$32,$B$34,$B$35,$B$36,$B$38,$B$39)*100),0,B34/SUM($B$32,$B$34,$B$35,$B$36,$B$38,$B$39)*100)</f>
        <v>2.0237468634602065</v>
      </c>
      <c r="D34" s="234"/>
      <c r="G34" s="15"/>
    </row>
    <row r="35" spans="1:7">
      <c r="A35" s="172" t="s">
        <v>74</v>
      </c>
      <c r="B35" s="33">
        <f>IF((($B$28-$B$32-$B$39-$B$77-$B$38)*C21/100)&lt;0,0,($B$28-$B$32-$B$39-$B$77-$B$38)*C21/100)</f>
        <v>1044.3</v>
      </c>
      <c r="C35" s="168">
        <f>IF(ISERROR(B35/SUM($B$32,$B$34,$B$35,$B$36,$B$38,$B$39)*100),0,B35/SUM($B$32,$B$34,$B$35,$B$36,$B$38,$B$39)*100)</f>
        <v>18.538966802769391</v>
      </c>
      <c r="D35" s="234"/>
      <c r="G35" s="15"/>
    </row>
    <row r="36" spans="1:7">
      <c r="A36" s="172" t="s">
        <v>75</v>
      </c>
      <c r="B36" s="33">
        <f>IF((($B$28-$B$32-$B$39-$B$77-$B$38)*C22/100)&lt;0,0,($B$28-$B$32-$B$39-$B$77-$B$38)*C22/100)</f>
        <v>234.1023391812866</v>
      </c>
      <c r="C36" s="168">
        <f>IF(ISERROR(B36/SUM($B$32,$B$34,$B$35,$B$36,$B$38,$B$39)*100),0,B36/SUM($B$32,$B$34,$B$35,$B$36,$B$38,$B$39)*100)</f>
        <v>4.1559087374629247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130.60000000000002</v>
      </c>
      <c r="C39" s="168">
        <f>IF(ISERROR(B39/SUM($B$32,$B$34,$B$35,$B$36,$B$38,$B$39)*100),0,B39/SUM($B$32,$B$34,$B$35,$B$36,$B$38,$B$39)*100)</f>
        <v>2.3184803834546424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4110</v>
      </c>
      <c r="C44" s="34" t="s">
        <v>111</v>
      </c>
      <c r="D44" s="175"/>
    </row>
    <row r="45" spans="1:7">
      <c r="A45" s="172" t="s">
        <v>72</v>
      </c>
      <c r="B45" s="33" t="str">
        <f t="shared" si="0"/>
        <v>-</v>
      </c>
      <c r="C45" s="34" t="s">
        <v>111</v>
      </c>
      <c r="D45" s="175"/>
    </row>
    <row r="46" spans="1:7">
      <c r="A46" s="172" t="s">
        <v>73</v>
      </c>
      <c r="B46" s="33">
        <f t="shared" si="0"/>
        <v>113.99766081871347</v>
      </c>
      <c r="C46" s="34" t="s">
        <v>111</v>
      </c>
      <c r="D46" s="175"/>
    </row>
    <row r="47" spans="1:7">
      <c r="A47" s="172" t="s">
        <v>74</v>
      </c>
      <c r="B47" s="33">
        <f t="shared" si="0"/>
        <v>1044.3</v>
      </c>
      <c r="C47" s="34" t="s">
        <v>111</v>
      </c>
      <c r="D47" s="175"/>
    </row>
    <row r="48" spans="1:7">
      <c r="A48" s="172" t="s">
        <v>75</v>
      </c>
      <c r="B48" s="33">
        <f t="shared" si="0"/>
        <v>234.1023391812866</v>
      </c>
      <c r="C48" s="33">
        <f>B48*10</f>
        <v>2341.0233918128661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130.60000000000002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21892.52518252729</v>
      </c>
      <c r="C5" s="17">
        <f>IF(ISERROR('Eigen informatie GS &amp; warmtenet'!B58),0,'Eigen informatie GS &amp; warmtenet'!B58)</f>
        <v>0</v>
      </c>
      <c r="D5" s="30">
        <f>SUM(D6:D12)</f>
        <v>38845.600125362129</v>
      </c>
      <c r="E5" s="17">
        <f>SUM(E6:E12)</f>
        <v>420.87542706617461</v>
      </c>
      <c r="F5" s="17">
        <f>SUM(F6:F12)</f>
        <v>4859.4557111943577</v>
      </c>
      <c r="G5" s="18"/>
      <c r="H5" s="17"/>
      <c r="I5" s="17"/>
      <c r="J5" s="17">
        <f>SUM(J6:J12)</f>
        <v>0</v>
      </c>
      <c r="K5" s="17"/>
      <c r="L5" s="17"/>
      <c r="M5" s="17"/>
      <c r="N5" s="17">
        <f>SUM(N6:N12)</f>
        <v>627.98358595492527</v>
      </c>
      <c r="O5" s="17">
        <f>B38*B39*B40</f>
        <v>1.5633333333333335</v>
      </c>
      <c r="P5" s="17">
        <f>B46*B47*B48/1000-B46*B47*B48/1000/B49</f>
        <v>0</v>
      </c>
      <c r="R5" s="32"/>
    </row>
    <row r="6" spans="1:18">
      <c r="A6" s="32" t="s">
        <v>54</v>
      </c>
      <c r="B6" s="37">
        <f>B26</f>
        <v>5019.4987393569099</v>
      </c>
      <c r="C6" s="33"/>
      <c r="D6" s="37">
        <f>IF(ISERROR(TER_kantoor_gas_kWh/1000),0,TER_kantoor_gas_kWh/1000)*0.902</f>
        <v>7882.0282670009028</v>
      </c>
      <c r="E6" s="33">
        <f>$C$26*'E Balans VL '!I12/100/3.6*1000000</f>
        <v>175.70220131376843</v>
      </c>
      <c r="F6" s="33">
        <f>$C$26*('E Balans VL '!L12+'E Balans VL '!N12)/100/3.6*1000000</f>
        <v>761.06377646841611</v>
      </c>
      <c r="G6" s="34"/>
      <c r="H6" s="33"/>
      <c r="I6" s="33"/>
      <c r="J6" s="33">
        <f>$C$26*('E Balans VL '!D12+'E Balans VL '!E12)/100/3.6*1000000</f>
        <v>0</v>
      </c>
      <c r="K6" s="33"/>
      <c r="L6" s="33"/>
      <c r="M6" s="33"/>
      <c r="N6" s="33">
        <f>$C$26*'E Balans VL '!Y12/100/3.6*1000000</f>
        <v>38.799154195361012</v>
      </c>
      <c r="O6" s="33"/>
      <c r="P6" s="33"/>
      <c r="R6" s="32"/>
    </row>
    <row r="7" spans="1:18">
      <c r="A7" s="32" t="s">
        <v>53</v>
      </c>
      <c r="B7" s="37">
        <f t="shared" ref="B7:B12" si="0">B27</f>
        <v>2533.6583381615101</v>
      </c>
      <c r="C7" s="33"/>
      <c r="D7" s="37">
        <f>IF(ISERROR(TER_horeca_gas_kWh/1000),0,TER_horeca_gas_kWh/1000)*0.902</f>
        <v>2742.102591099062</v>
      </c>
      <c r="E7" s="33">
        <f>$C$27*'E Balans VL '!I9/100/3.6*1000000</f>
        <v>142.93201972343516</v>
      </c>
      <c r="F7" s="33">
        <f>$C$27*('E Balans VL '!L9+'E Balans VL '!N9)/100/3.6*1000000</f>
        <v>441.37730395300531</v>
      </c>
      <c r="G7" s="34"/>
      <c r="H7" s="33"/>
      <c r="I7" s="33"/>
      <c r="J7" s="33">
        <f>$C$27*('E Balans VL '!D9+'E Balans VL '!E9)/100/3.6*1000000</f>
        <v>0</v>
      </c>
      <c r="K7" s="33"/>
      <c r="L7" s="33"/>
      <c r="M7" s="33"/>
      <c r="N7" s="33">
        <f>$C$27*'E Balans VL '!Y9/100/3.6*1000000</f>
        <v>0</v>
      </c>
      <c r="O7" s="33"/>
      <c r="P7" s="33"/>
      <c r="R7" s="32"/>
    </row>
    <row r="8" spans="1:18">
      <c r="A8" s="6" t="s">
        <v>52</v>
      </c>
      <c r="B8" s="37">
        <f t="shared" si="0"/>
        <v>7205.8256060710701</v>
      </c>
      <c r="C8" s="33"/>
      <c r="D8" s="37">
        <f>IF(ISERROR(TER_handel_gas_kWh/1000),0,TER_handel_gas_kWh/1000)*0.902</f>
        <v>3579.0081737467794</v>
      </c>
      <c r="E8" s="33">
        <f>$C$28*'E Balans VL '!I13/100/3.6*1000000</f>
        <v>36.993976560305235</v>
      </c>
      <c r="F8" s="33">
        <f>$C$28*('E Balans VL '!L13+'E Balans VL '!N13)/100/3.6*1000000</f>
        <v>1111.0269670208479</v>
      </c>
      <c r="G8" s="34"/>
      <c r="H8" s="33"/>
      <c r="I8" s="33"/>
      <c r="J8" s="33">
        <f>$C$28*('E Balans VL '!D13+'E Balans VL '!E13)/100/3.6*1000000</f>
        <v>0</v>
      </c>
      <c r="K8" s="33"/>
      <c r="L8" s="33"/>
      <c r="M8" s="33"/>
      <c r="N8" s="33">
        <f>$C$28*'E Balans VL '!Y13/100/3.6*1000000</f>
        <v>3.3702525949005655</v>
      </c>
      <c r="O8" s="33"/>
      <c r="P8" s="33"/>
      <c r="R8" s="32"/>
    </row>
    <row r="9" spans="1:18">
      <c r="A9" s="32" t="s">
        <v>51</v>
      </c>
      <c r="B9" s="37">
        <f t="shared" si="0"/>
        <v>789.07383736384804</v>
      </c>
      <c r="C9" s="33"/>
      <c r="D9" s="37">
        <f>IF(ISERROR(TER_gezond_gas_kWh/1000),0,TER_gezond_gas_kWh/1000)*0.902</f>
        <v>10904.621575595977</v>
      </c>
      <c r="E9" s="33">
        <f>$C$29*'E Balans VL '!I10/100/3.6*1000000</f>
        <v>0.32706548600485003</v>
      </c>
      <c r="F9" s="33">
        <f>$C$29*('E Balans VL '!L10+'E Balans VL '!N10)/100/3.6*1000000</f>
        <v>194.33756931430767</v>
      </c>
      <c r="G9" s="34"/>
      <c r="H9" s="33"/>
      <c r="I9" s="33"/>
      <c r="J9" s="33">
        <f>$C$29*('E Balans VL '!D10+'E Balans VL '!E10)/100/3.6*1000000</f>
        <v>0</v>
      </c>
      <c r="K9" s="33"/>
      <c r="L9" s="33"/>
      <c r="M9" s="33"/>
      <c r="N9" s="33">
        <f>$C$29*'E Balans VL '!Y10/100/3.6*1000000</f>
        <v>6.8195510112983433</v>
      </c>
      <c r="O9" s="33"/>
      <c r="P9" s="33"/>
      <c r="R9" s="32"/>
    </row>
    <row r="10" spans="1:18">
      <c r="A10" s="32" t="s">
        <v>50</v>
      </c>
      <c r="B10" s="37">
        <f t="shared" si="0"/>
        <v>2201.44560199124</v>
      </c>
      <c r="C10" s="33"/>
      <c r="D10" s="37">
        <f>IF(ISERROR(TER_ander_gas_kWh/1000),0,TER_ander_gas_kWh/1000)*0.902</f>
        <v>2154.5136176655442</v>
      </c>
      <c r="E10" s="33">
        <f>$C$30*'E Balans VL '!I14/100/3.6*1000000</f>
        <v>13.420066705339892</v>
      </c>
      <c r="F10" s="33">
        <f>$C$30*('E Balans VL '!L14+'E Balans VL '!N14)/100/3.6*1000000</f>
        <v>583.63338547183776</v>
      </c>
      <c r="G10" s="34"/>
      <c r="H10" s="33"/>
      <c r="I10" s="33"/>
      <c r="J10" s="33">
        <f>$C$30*('E Balans VL '!D14+'E Balans VL '!E14)/100/3.6*1000000</f>
        <v>0</v>
      </c>
      <c r="K10" s="33"/>
      <c r="L10" s="33"/>
      <c r="M10" s="33"/>
      <c r="N10" s="33">
        <f>$C$30*'E Balans VL '!Y14/100/3.6*1000000</f>
        <v>507.38564152085519</v>
      </c>
      <c r="O10" s="33"/>
      <c r="P10" s="33"/>
      <c r="R10" s="32"/>
    </row>
    <row r="11" spans="1:18">
      <c r="A11" s="32" t="s">
        <v>55</v>
      </c>
      <c r="B11" s="37">
        <f t="shared" si="0"/>
        <v>1805.9239918758599</v>
      </c>
      <c r="C11" s="33"/>
      <c r="D11" s="37">
        <f>IF(ISERROR(TER_onderwijs_gas_kWh/1000),0,TER_onderwijs_gas_kWh/1000)*0.902</f>
        <v>5674.6083705692972</v>
      </c>
      <c r="E11" s="33">
        <f>$C$31*'E Balans VL '!I11/100/3.6*1000000</f>
        <v>1.3762081172650842</v>
      </c>
      <c r="F11" s="33">
        <f>$C$31*('E Balans VL '!L11+'E Balans VL '!N11)/100/3.6*1000000</f>
        <v>1306.8655692740017</v>
      </c>
      <c r="G11" s="34"/>
      <c r="H11" s="33"/>
      <c r="I11" s="33"/>
      <c r="J11" s="33">
        <f>$C$31*('E Balans VL '!D11+'E Balans VL '!E11)/100/3.6*1000000</f>
        <v>0</v>
      </c>
      <c r="K11" s="33"/>
      <c r="L11" s="33"/>
      <c r="M11" s="33"/>
      <c r="N11" s="33">
        <f>$C$31*'E Balans VL '!Y11/100/3.6*1000000</f>
        <v>5.3224896120274723</v>
      </c>
      <c r="O11" s="33"/>
      <c r="P11" s="33"/>
      <c r="R11" s="32"/>
    </row>
    <row r="12" spans="1:18">
      <c r="A12" s="32" t="s">
        <v>260</v>
      </c>
      <c r="B12" s="37">
        <f t="shared" si="0"/>
        <v>2337.0990677068498</v>
      </c>
      <c r="C12" s="33"/>
      <c r="D12" s="37">
        <f>IF(ISERROR(TER_rest_gas_kWh/1000),0,TER_rest_gas_kWh/1000)*0.902</f>
        <v>5908.7175296845644</v>
      </c>
      <c r="E12" s="33">
        <f>$C$32*'E Balans VL '!I8/100/3.6*1000000</f>
        <v>50.123889160055953</v>
      </c>
      <c r="F12" s="33">
        <f>$C$32*('E Balans VL '!L8+'E Balans VL '!N8)/100/3.6*1000000</f>
        <v>461.15113969194175</v>
      </c>
      <c r="G12" s="34"/>
      <c r="H12" s="33"/>
      <c r="I12" s="33"/>
      <c r="J12" s="33">
        <f>$C$32*('E Balans VL '!D8+'E Balans VL '!E8)/100/3.6*1000000</f>
        <v>0</v>
      </c>
      <c r="K12" s="33"/>
      <c r="L12" s="33"/>
      <c r="M12" s="33"/>
      <c r="N12" s="33">
        <f>$C$32*'E Balans VL '!Y8/100/3.6*1000000</f>
        <v>66.286497020482756</v>
      </c>
      <c r="O12" s="33"/>
      <c r="P12" s="33"/>
      <c r="R12" s="32"/>
    </row>
    <row r="13" spans="1:18">
      <c r="A13" s="16" t="s">
        <v>496</v>
      </c>
      <c r="B13" s="248">
        <f ca="1">'lokale energieproductie'!N91+'lokale energieproductie'!N60</f>
        <v>15961.5</v>
      </c>
      <c r="C13" s="248">
        <f ca="1">'lokale energieproductie'!O91+'lokale energieproductie'!O60</f>
        <v>22802.142857142859</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-45604.285714285717</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37854.025182527286</v>
      </c>
      <c r="C16" s="21">
        <f ca="1">C5+C13+C14</f>
        <v>22802.142857142859</v>
      </c>
      <c r="D16" s="21">
        <f t="shared" ref="D16:N16" ca="1" si="1">MAX((D5+D13+D14),0)</f>
        <v>38845.600125362129</v>
      </c>
      <c r="E16" s="21">
        <f t="shared" si="1"/>
        <v>420.87542706617461</v>
      </c>
      <c r="F16" s="21">
        <f t="shared" ca="1" si="1"/>
        <v>4859.4557111943577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0.1882765231853388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7127.0242499364977</v>
      </c>
      <c r="C20" s="23">
        <f t="shared" ref="C20:P20" ca="1" si="2">C16*C18</f>
        <v>0</v>
      </c>
      <c r="D20" s="23">
        <f t="shared" ca="1" si="2"/>
        <v>7846.8112253231502</v>
      </c>
      <c r="E20" s="23">
        <f t="shared" si="2"/>
        <v>95.538721944021646</v>
      </c>
      <c r="F20" s="23">
        <f t="shared" ca="1" si="2"/>
        <v>1297.4746748888936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5019.4987393569099</v>
      </c>
      <c r="C26" s="39">
        <f>IF(ISERROR(B26*3.6/1000000/'E Balans VL '!Z12*100),0,B26*3.6/1000000/'E Balans VL '!Z12*100)</f>
        <v>0.10562702675769051</v>
      </c>
      <c r="D26" s="238" t="s">
        <v>719</v>
      </c>
      <c r="F26" s="6"/>
    </row>
    <row r="27" spans="1:18">
      <c r="A27" s="232" t="s">
        <v>53</v>
      </c>
      <c r="B27" s="33">
        <f>IF(ISERROR(TER_horeca_ele_kWh/1000),0,TER_horeca_ele_kWh/1000)</f>
        <v>2533.6583381615101</v>
      </c>
      <c r="C27" s="39">
        <f>IF(ISERROR(B27*3.6/1000000/'E Balans VL '!Z9*100),0,B27*3.6/1000000/'E Balans VL '!Z9*100)</f>
        <v>0.21451773197813601</v>
      </c>
      <c r="D27" s="238" t="s">
        <v>719</v>
      </c>
      <c r="F27" s="6"/>
    </row>
    <row r="28" spans="1:18">
      <c r="A28" s="172" t="s">
        <v>52</v>
      </c>
      <c r="B28" s="33">
        <f>IF(ISERROR(TER_handel_ele_kWh/1000),0,TER_handel_ele_kWh/1000)</f>
        <v>7205.8256060710701</v>
      </c>
      <c r="C28" s="39">
        <f>IF(ISERROR(B28*3.6/1000000/'E Balans VL '!Z13*100),0,B28*3.6/1000000/'E Balans VL '!Z13*100)</f>
        <v>0.19949228548938924</v>
      </c>
      <c r="D28" s="238" t="s">
        <v>719</v>
      </c>
      <c r="F28" s="6"/>
    </row>
    <row r="29" spans="1:18">
      <c r="A29" s="232" t="s">
        <v>51</v>
      </c>
      <c r="B29" s="33">
        <f>IF(ISERROR(TER_gezond_ele_kWh/1000),0,TER_gezond_ele_kWh/1000)</f>
        <v>789.07383736384804</v>
      </c>
      <c r="C29" s="39">
        <f>IF(ISERROR(B29*3.6/1000000/'E Balans VL '!Z10*100),0,B29*3.6/1000000/'E Balans VL '!Z10*100)</f>
        <v>0.10257085095389748</v>
      </c>
      <c r="D29" s="238" t="s">
        <v>719</v>
      </c>
      <c r="F29" s="6"/>
    </row>
    <row r="30" spans="1:18">
      <c r="A30" s="232" t="s">
        <v>50</v>
      </c>
      <c r="B30" s="33">
        <f>IF(ISERROR(TER_ander_ele_kWh/1000),0,TER_ander_ele_kWh/1000)</f>
        <v>2201.44560199124</v>
      </c>
      <c r="C30" s="39">
        <f>IF(ISERROR(B30*3.6/1000000/'E Balans VL '!Z14*100),0,B30*3.6/1000000/'E Balans VL '!Z14*100)</f>
        <v>0.17063222295273422</v>
      </c>
      <c r="D30" s="238" t="s">
        <v>719</v>
      </c>
      <c r="F30" s="6"/>
    </row>
    <row r="31" spans="1:18">
      <c r="A31" s="232" t="s">
        <v>55</v>
      </c>
      <c r="B31" s="33">
        <f>IF(ISERROR(TER_onderwijs_ele_kWh/1000),0,TER_onderwijs_ele_kWh/1000)</f>
        <v>1805.9239918758599</v>
      </c>
      <c r="C31" s="39">
        <f>IF(ISERROR(B31*3.6/1000000/'E Balans VL '!Z11*100),0,B31*3.6/1000000/'E Balans VL '!Z11*100)</f>
        <v>0.34550403193946588</v>
      </c>
      <c r="D31" s="238" t="s">
        <v>719</v>
      </c>
    </row>
    <row r="32" spans="1:18">
      <c r="A32" s="232" t="s">
        <v>260</v>
      </c>
      <c r="B32" s="33">
        <f>IF(ISERROR(TER_rest_ele_kWh/1000),0,TER_rest_ele_kWh/1000)</f>
        <v>2337.0990677068498</v>
      </c>
      <c r="C32" s="39">
        <f>IF(ISERROR(B32*3.6/1000000/'E Balans VL '!Z8*100),0,B32*3.6/1000000/'E Balans VL '!Z8*100)</f>
        <v>1.9271176507989908E-2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62002.28418135523</v>
      </c>
      <c r="C5" s="17">
        <f>IF(ISERROR('Eigen informatie GS &amp; warmtenet'!B59),0,'Eigen informatie GS &amp; warmtenet'!B59)</f>
        <v>0</v>
      </c>
      <c r="D5" s="30">
        <f>SUM(D6:D15)</f>
        <v>50467.490871764472</v>
      </c>
      <c r="E5" s="17">
        <f>SUM(E6:E15)</f>
        <v>637.48714299775395</v>
      </c>
      <c r="F5" s="17">
        <f>SUM(F6:F15)</f>
        <v>17210.453918858759</v>
      </c>
      <c r="G5" s="18"/>
      <c r="H5" s="17"/>
      <c r="I5" s="17"/>
      <c r="J5" s="17">
        <f>SUM(J6:J15)</f>
        <v>389.00964912452105</v>
      </c>
      <c r="K5" s="17"/>
      <c r="L5" s="17"/>
      <c r="M5" s="17"/>
      <c r="N5" s="17">
        <f>SUM(N6:N15)</f>
        <v>1551.9412560361347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5207.5908278688703</v>
      </c>
      <c r="C8" s="33"/>
      <c r="D8" s="37">
        <f>IF( ISERROR(IND_metaal_Gas_kWH/1000),0,IND_metaal_Gas_kWH/1000)*0.902</f>
        <v>88.670748893180814</v>
      </c>
      <c r="E8" s="33">
        <f>C30*'E Balans VL '!I18/100/3.6*1000000</f>
        <v>36.592591744637453</v>
      </c>
      <c r="F8" s="33">
        <f>C30*'E Balans VL '!L18/100/3.6*1000000+C30*'E Balans VL '!N18/100/3.6*1000000</f>
        <v>571.76300549479663</v>
      </c>
      <c r="G8" s="34"/>
      <c r="H8" s="33"/>
      <c r="I8" s="33"/>
      <c r="J8" s="40">
        <f>C30*'E Balans VL '!D18/100/3.6*1000000+C30*'E Balans VL '!E18/100/3.6*1000000</f>
        <v>107.44382317735923</v>
      </c>
      <c r="K8" s="33"/>
      <c r="L8" s="33"/>
      <c r="M8" s="33"/>
      <c r="N8" s="33">
        <f>C30*'E Balans VL '!Y18/100/3.6*1000000</f>
        <v>19.518425473141665</v>
      </c>
      <c r="O8" s="33"/>
      <c r="P8" s="33"/>
      <c r="R8" s="32"/>
    </row>
    <row r="9" spans="1:18">
      <c r="A9" s="6" t="s">
        <v>33</v>
      </c>
      <c r="B9" s="37">
        <f t="shared" si="0"/>
        <v>10165.210975293099</v>
      </c>
      <c r="C9" s="33"/>
      <c r="D9" s="37">
        <f>IF( ISERROR(IND_andere_gas_kWh/1000),0,IND_andere_gas_kWh/1000)*0.902</f>
        <v>1445.1244663314624</v>
      </c>
      <c r="E9" s="33">
        <f>C31*'E Balans VL '!I19/100/3.6*1000000</f>
        <v>170.73717111108749</v>
      </c>
      <c r="F9" s="33">
        <f>C31*'E Balans VL '!L19/100/3.6*1000000+C31*'E Balans VL '!N19/100/3.6*1000000</f>
        <v>7946.5829732970687</v>
      </c>
      <c r="G9" s="34"/>
      <c r="H9" s="33"/>
      <c r="I9" s="33"/>
      <c r="J9" s="40">
        <f>C31*'E Balans VL '!D19/100/3.6*1000000+C31*'E Balans VL '!E19/100/3.6*1000000</f>
        <v>0.91681229774142936</v>
      </c>
      <c r="K9" s="33"/>
      <c r="L9" s="33"/>
      <c r="M9" s="33"/>
      <c r="N9" s="33">
        <f>C31*'E Balans VL '!Y19/100/3.6*1000000</f>
        <v>753.40521972163151</v>
      </c>
      <c r="O9" s="33"/>
      <c r="P9" s="33"/>
      <c r="R9" s="32"/>
    </row>
    <row r="10" spans="1:18">
      <c r="A10" s="6" t="s">
        <v>41</v>
      </c>
      <c r="B10" s="37">
        <f t="shared" si="0"/>
        <v>10091.491879249999</v>
      </c>
      <c r="C10" s="33"/>
      <c r="D10" s="37">
        <f>IF( ISERROR(IND_voed_gas_kWh/1000),0,IND_voed_gas_kWh/1000)*0.902</f>
        <v>2227.2756810951705</v>
      </c>
      <c r="E10" s="33">
        <f>C32*'E Balans VL '!I20/100/3.6*1000000</f>
        <v>92.070578387028206</v>
      </c>
      <c r="F10" s="33">
        <f>C32*'E Balans VL '!L20/100/3.6*1000000+C32*'E Balans VL '!N20/100/3.6*1000000</f>
        <v>1628.0732835169138</v>
      </c>
      <c r="G10" s="34"/>
      <c r="H10" s="33"/>
      <c r="I10" s="33"/>
      <c r="J10" s="40">
        <f>C32*'E Balans VL '!D20/100/3.6*1000000+C32*'E Balans VL '!E20/100/3.6*1000000</f>
        <v>41.563379861090183</v>
      </c>
      <c r="K10" s="33"/>
      <c r="L10" s="33"/>
      <c r="M10" s="33"/>
      <c r="N10" s="33">
        <f>C32*'E Balans VL '!Y20/100/3.6*1000000</f>
        <v>147.63056882874878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765.65347529439998</v>
      </c>
      <c r="C12" s="33"/>
      <c r="D12" s="37">
        <f>IF( ISERROR(IND_min_gas_kWh/1000),0,IND_min_gas_kWh/1000)*0.902</f>
        <v>0</v>
      </c>
      <c r="E12" s="33">
        <f>C34*'E Balans VL '!I22/100/3.6*1000000</f>
        <v>18.990695363742592</v>
      </c>
      <c r="F12" s="33">
        <f>C34*'E Balans VL '!L22/100/3.6*1000000+C34*'E Balans VL '!N22/100/3.6*1000000</f>
        <v>81.358012879192643</v>
      </c>
      <c r="G12" s="34"/>
      <c r="H12" s="33"/>
      <c r="I12" s="33"/>
      <c r="J12" s="40">
        <f>C34*'E Balans VL '!D22/100/3.6*1000000+C34*'E Balans VL '!E22/100/3.6*1000000</f>
        <v>4.3493609961914368</v>
      </c>
      <c r="K12" s="33"/>
      <c r="L12" s="33"/>
      <c r="M12" s="33"/>
      <c r="N12" s="33">
        <f>C34*'E Balans VL '!Y22/100/3.6*1000000</f>
        <v>0</v>
      </c>
      <c r="O12" s="33"/>
      <c r="P12" s="33"/>
      <c r="R12" s="32"/>
    </row>
    <row r="13" spans="1:18">
      <c r="A13" s="6" t="s">
        <v>39</v>
      </c>
      <c r="B13" s="37">
        <f t="shared" si="0"/>
        <v>50.7614711171314</v>
      </c>
      <c r="C13" s="33"/>
      <c r="D13" s="37">
        <f>IF( ISERROR(IND_papier_gas_kWh/1000),0,IND_papier_gas_kWh/1000)*0.902</f>
        <v>130.65256233891597</v>
      </c>
      <c r="E13" s="33">
        <f>C35*'E Balans VL '!I23/100/3.6*1000000</f>
        <v>1.5617979906331296</v>
      </c>
      <c r="F13" s="33">
        <f>C35*'E Balans VL '!L23/100/3.6*1000000+C35*'E Balans VL '!N23/100/3.6*1000000</f>
        <v>10.778434326769876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859.85066103753002</v>
      </c>
      <c r="C14" s="33"/>
      <c r="D14" s="37">
        <f>IF( ISERROR(IND_chemie_gas_kWh/1000),0,IND_chemie_gas_kWh/1000)*0.902</f>
        <v>887.09068840301211</v>
      </c>
      <c r="E14" s="33">
        <f>C36*'E Balans VL '!I24/100/3.6*1000000</f>
        <v>2.915485977415091</v>
      </c>
      <c r="F14" s="33">
        <f>C36*'E Balans VL '!L24/100/3.6*1000000+C36*'E Balans VL '!N24/100/3.6*1000000</f>
        <v>2.7594691011233352</v>
      </c>
      <c r="G14" s="34"/>
      <c r="H14" s="33"/>
      <c r="I14" s="33"/>
      <c r="J14" s="40">
        <f>C36*'E Balans VL '!D24/100/3.6*1000000+C36*'E Balans VL '!E24/100/3.6*1000000</f>
        <v>0</v>
      </c>
      <c r="K14" s="33"/>
      <c r="L14" s="33"/>
      <c r="M14" s="33"/>
      <c r="N14" s="33">
        <f>C36*'E Balans VL '!Y24/100/3.6*1000000</f>
        <v>4.0204286673362288</v>
      </c>
      <c r="O14" s="33"/>
      <c r="P14" s="33"/>
      <c r="R14" s="32"/>
    </row>
    <row r="15" spans="1:18">
      <c r="A15" s="6" t="s">
        <v>270</v>
      </c>
      <c r="B15" s="37">
        <f t="shared" si="0"/>
        <v>34861.724891494203</v>
      </c>
      <c r="C15" s="33"/>
      <c r="D15" s="37">
        <f>IF( ISERROR(IND_rest_gas_kWh/1000),0,IND_rest_gas_kWh/1000)*0.902</f>
        <v>45688.676724702731</v>
      </c>
      <c r="E15" s="33">
        <f>C37*'E Balans VL '!I15/100/3.6*1000000</f>
        <v>314.61882242321002</v>
      </c>
      <c r="F15" s="33">
        <f>C37*'E Balans VL '!L15/100/3.6*1000000+C37*'E Balans VL '!N15/100/3.6*1000000</f>
        <v>6969.1387402428936</v>
      </c>
      <c r="G15" s="34"/>
      <c r="H15" s="33"/>
      <c r="I15" s="33"/>
      <c r="J15" s="40">
        <f>C37*'E Balans VL '!D15/100/3.6*1000000+C37*'E Balans VL '!E15/100/3.6*1000000</f>
        <v>234.73627279213872</v>
      </c>
      <c r="K15" s="33"/>
      <c r="L15" s="33"/>
      <c r="M15" s="33"/>
      <c r="N15" s="33">
        <f>C37*'E Balans VL '!Y15/100/3.6*1000000</f>
        <v>627.36661334527662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62002.28418135523</v>
      </c>
      <c r="C18" s="21">
        <f>C5+C16</f>
        <v>0</v>
      </c>
      <c r="D18" s="21">
        <f>MAX((D5+D16),0)</f>
        <v>50467.490871764472</v>
      </c>
      <c r="E18" s="21">
        <f>MAX((E5+E16),0)</f>
        <v>637.48714299775395</v>
      </c>
      <c r="F18" s="21">
        <f>MAX((F5+F16),0)</f>
        <v>17210.453918858759</v>
      </c>
      <c r="G18" s="21"/>
      <c r="H18" s="21"/>
      <c r="I18" s="21"/>
      <c r="J18" s="21">
        <f>MAX((J5+J16),0)</f>
        <v>389.00964912452105</v>
      </c>
      <c r="K18" s="21"/>
      <c r="L18" s="21">
        <f>MAX((L5+L16),0)</f>
        <v>0</v>
      </c>
      <c r="M18" s="21"/>
      <c r="N18" s="21">
        <f>MAX((N5+N16),0)</f>
        <v>1551.9412560361347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0.1882765231853388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11673.574495214893</v>
      </c>
      <c r="C22" s="23">
        <f ca="1">C18*C20</f>
        <v>0</v>
      </c>
      <c r="D22" s="23">
        <f>D18*D20</f>
        <v>10194.433156096424</v>
      </c>
      <c r="E22" s="23">
        <f>E18*E20</f>
        <v>144.70958146049014</v>
      </c>
      <c r="F22" s="23">
        <f>F18*F20</f>
        <v>4595.1911963352886</v>
      </c>
      <c r="G22" s="23"/>
      <c r="H22" s="23"/>
      <c r="I22" s="23"/>
      <c r="J22" s="23">
        <f>J18*J20</f>
        <v>137.70941579008044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5207.5908278688703</v>
      </c>
      <c r="C30" s="39">
        <f>IF(ISERROR(B30*3.6/1000000/'E Balans VL '!Z18*100),0,B30*3.6/1000000/'E Balans VL '!Z18*100)</f>
        <v>0.34667250143267037</v>
      </c>
      <c r="D30" s="238" t="s">
        <v>719</v>
      </c>
    </row>
    <row r="31" spans="1:18">
      <c r="A31" s="6" t="s">
        <v>33</v>
      </c>
      <c r="B31" s="37">
        <f>IF( ISERROR(IND_ander_ele_kWh/1000),0,IND_ander_ele_kWh/1000)</f>
        <v>10165.210975293099</v>
      </c>
      <c r="C31" s="39">
        <f>IF(ISERROR(B31*3.6/1000000/'E Balans VL '!Z19*100),0,B31*3.6/1000000/'E Balans VL '!Z19*100)</f>
        <v>0.45058351834391075</v>
      </c>
      <c r="D31" s="238" t="s">
        <v>719</v>
      </c>
    </row>
    <row r="32" spans="1:18">
      <c r="A32" s="172" t="s">
        <v>41</v>
      </c>
      <c r="B32" s="37">
        <f>IF( ISERROR(IND_voed_ele_kWh/1000),0,IND_voed_ele_kWh/1000)</f>
        <v>10091.491879249999</v>
      </c>
      <c r="C32" s="39">
        <f>IF(ISERROR(B32*3.6/1000000/'E Balans VL '!Z20*100),0,B32*3.6/1000000/'E Balans VL '!Z20*100)</f>
        <v>0.33708477751045196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765.65347529439998</v>
      </c>
      <c r="C34" s="39">
        <f>IF(ISERROR(B34*3.6/1000000/'E Balans VL '!Z22*100),0,B34*3.6/1000000/'E Balans VL '!Z22*100)</f>
        <v>0.14891119071940082</v>
      </c>
      <c r="D34" s="238" t="s">
        <v>719</v>
      </c>
    </row>
    <row r="35" spans="1:5">
      <c r="A35" s="172" t="s">
        <v>39</v>
      </c>
      <c r="B35" s="37">
        <f>IF( ISERROR(IND_papier_ele_kWh/1000),0,IND_papier_ele_kWh/1000)</f>
        <v>50.7614711171314</v>
      </c>
      <c r="C35" s="39">
        <f>IF(ISERROR(B35*3.6/1000000/'E Balans VL '!Z22*100),0,B35*3.6/1000000/'E Balans VL '!Z22*100)</f>
        <v>9.8725485492167728E-3</v>
      </c>
      <c r="D35" s="238" t="s">
        <v>719</v>
      </c>
    </row>
    <row r="36" spans="1:5">
      <c r="A36" s="172" t="s">
        <v>34</v>
      </c>
      <c r="B36" s="37">
        <f>IF( ISERROR(IND_chemie_ele_kWh/1000),0,IND_chemie_ele_kWh/1000)</f>
        <v>859.85066103753002</v>
      </c>
      <c r="C36" s="39">
        <f>IF(ISERROR(B36*3.6/1000000/'E Balans VL '!Z24*100),0,B36*3.6/1000000/'E Balans VL '!Z24*100)</f>
        <v>2.0191609441550847E-2</v>
      </c>
      <c r="D36" s="238" t="s">
        <v>719</v>
      </c>
    </row>
    <row r="37" spans="1:5">
      <c r="A37" s="172" t="s">
        <v>270</v>
      </c>
      <c r="B37" s="37">
        <f>IF( ISERROR(IND_rest_ele_kWh/1000),0,IND_rest_ele_kWh/1000)</f>
        <v>34861.724891494203</v>
      </c>
      <c r="C37" s="39">
        <f>IF(ISERROR(B37*3.6/1000000/'E Balans VL '!Z15*100),0,B37*3.6/1000000/'E Balans VL '!Z15*100)</f>
        <v>0.25931443858470077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1577.3031056771379</v>
      </c>
      <c r="C5" s="17">
        <f>'Eigen informatie GS &amp; warmtenet'!B60</f>
        <v>0</v>
      </c>
      <c r="D5" s="30">
        <f>IF(ISERROR(SUM(LB_lb_gas_kWh,LB_rest_gas_kWh)/1000),0,SUM(LB_lb_gas_kWh,LB_rest_gas_kWh)/1000)*0.902</f>
        <v>4573.7081897029793</v>
      </c>
      <c r="E5" s="17">
        <f>B17*'E Balans VL '!I25/3.6*1000000/100</f>
        <v>16.517859594848208</v>
      </c>
      <c r="F5" s="17">
        <f>B17*('E Balans VL '!L25/3.6*1000000+'E Balans VL '!N25/3.6*1000000)/100</f>
        <v>6752.0557881227551</v>
      </c>
      <c r="G5" s="18"/>
      <c r="H5" s="17"/>
      <c r="I5" s="17"/>
      <c r="J5" s="17">
        <f>('E Balans VL '!D25+'E Balans VL '!E25)/3.6*1000000*landbouw!B17/100</f>
        <v>140.86730494588738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1577.3031056771379</v>
      </c>
      <c r="C8" s="21">
        <f>C5+C6</f>
        <v>0</v>
      </c>
      <c r="D8" s="21">
        <f>MAX((D5+D6),0)</f>
        <v>4573.7081897029793</v>
      </c>
      <c r="E8" s="21">
        <f>MAX((E5+E6),0)</f>
        <v>16.517859594848208</v>
      </c>
      <c r="F8" s="21">
        <f>MAX((F5+F6),0)</f>
        <v>6752.0557881227551</v>
      </c>
      <c r="G8" s="21"/>
      <c r="H8" s="21"/>
      <c r="I8" s="21"/>
      <c r="J8" s="21">
        <f>MAX((J5+J6),0)</f>
        <v>140.86730494588738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0.1882765231853388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296.96914474632854</v>
      </c>
      <c r="C12" s="23">
        <f ca="1">C8*C10</f>
        <v>0</v>
      </c>
      <c r="D12" s="23">
        <f>D8*D10</f>
        <v>923.88905432000183</v>
      </c>
      <c r="E12" s="23">
        <f>E8*E10</f>
        <v>3.7495541280305433</v>
      </c>
      <c r="F12" s="23">
        <f>F8*F10</f>
        <v>1802.7988954287757</v>
      </c>
      <c r="G12" s="23"/>
      <c r="H12" s="23"/>
      <c r="I12" s="23"/>
      <c r="J12" s="23">
        <f>J8*J10</f>
        <v>49.86702595084413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0.24277739554031566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467.91693146718495</v>
      </c>
      <c r="C26" s="248">
        <f>B26*'GWP N2O_CH4'!B5</f>
        <v>9826.2555608108833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132.61465522925729</v>
      </c>
      <c r="C27" s="248">
        <f>B27*'GWP N2O_CH4'!B5</f>
        <v>2784.9077598144031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6.2909817545158084</v>
      </c>
      <c r="C28" s="248">
        <f>B28*'GWP N2O_CH4'!B4</f>
        <v>1950.2043438999006</v>
      </c>
      <c r="D28" s="50"/>
    </row>
    <row r="29" spans="1:4">
      <c r="A29" s="41" t="s">
        <v>277</v>
      </c>
      <c r="B29" s="248">
        <f>B34*'ha_N2O bodem landbouw'!B4</f>
        <v>21.673923239233481</v>
      </c>
      <c r="C29" s="248">
        <f>B29*'GWP N2O_CH4'!B4</f>
        <v>6718.9162041623795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3.5819004740182112E-3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3.0212417059167492E-6</v>
      </c>
      <c r="C5" s="446" t="s">
        <v>211</v>
      </c>
      <c r="D5" s="431">
        <f>SUM(D6:D11)</f>
        <v>1.4100346740144442E-5</v>
      </c>
      <c r="E5" s="431">
        <f>SUM(E6:E11)</f>
        <v>1.4626894335020466E-3</v>
      </c>
      <c r="F5" s="444" t="s">
        <v>211</v>
      </c>
      <c r="G5" s="431">
        <f>SUM(G6:G11)</f>
        <v>0.2632005322001546</v>
      </c>
      <c r="H5" s="431">
        <f>SUM(H6:H11)</f>
        <v>4.729609115303398E-2</v>
      </c>
      <c r="I5" s="446" t="s">
        <v>211</v>
      </c>
      <c r="J5" s="446" t="s">
        <v>211</v>
      </c>
      <c r="K5" s="446" t="s">
        <v>211</v>
      </c>
      <c r="L5" s="446" t="s">
        <v>211</v>
      </c>
      <c r="M5" s="431">
        <f>SUM(M6:M11)</f>
        <v>1.3553761800765243E-2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2.5669509130448947E-6</v>
      </c>
      <c r="C6" s="432"/>
      <c r="D6" s="432">
        <f>vkm_2011_GW_PW*SUMIFS(TableVerdeelsleutelVkm[CNG],TableVerdeelsleutelVkm[Voertuigtype],"Lichte voertuigen")*SUMIFS(TableECFTransport[EnergieConsumptieFactor (PJ per km)],TableECFTransport[Index],CONCATENATE($A6,"_CNG_CNG"))</f>
        <v>1.1065827004091854E-5</v>
      </c>
      <c r="E6" s="434">
        <f>vkm_2011_GW_PW*SUMIFS(TableVerdeelsleutelVkm[LPG],TableVerdeelsleutelVkm[Voertuigtype],"Lichte voertuigen")*SUMIFS(TableECFTransport[EnergieConsumptieFactor (PJ per km)],TableECFTransport[Index],CONCATENATE($A6,"_LPG_LPG"))</f>
        <v>1.1513314012863217E-3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0.14161692308400495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3.7284801117678901E-2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7.8403312422520612E-3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7.2874773106773663E-2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2.4987749825412742E-5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3.1480536545659475E-3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3.0772696948904546E-7</v>
      </c>
      <c r="C8" s="432"/>
      <c r="D8" s="434">
        <f>vkm_2011_NGW_PW*SUMIFS(TableVerdeelsleutelVkm[CNG],TableVerdeelsleutelVkm[Voertuigtype],"Lichte voertuigen")*SUMIFS(TableECFTransport[EnergieConsumptieFactor (PJ per km)],TableECFTransport[Index],CONCATENATE($A8,"_CNG_CNG"))</f>
        <v>2.3799082118016672E-6</v>
      </c>
      <c r="E8" s="434">
        <f>vkm_2011_NGW_PW*SUMIFS(TableVerdeelsleutelVkm[LPG],TableVerdeelsleutelVkm[Voertuigtype],"Lichte voertuigen")*SUMIFS(TableECFTransport[EnergieConsumptieFactor (PJ per km)],TableECFTransport[Index],CONCATENATE($A8,"_LPG_LPG"))</f>
        <v>2.2609072045165542E-4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2.637694244696508E-2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7.6544700200904909E-3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1.493152319263272E-3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1.8798205866129795E-3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5.5994916783702978E-7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8.1200812419200688E-5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1.4656382338280898E-7</v>
      </c>
      <c r="C10" s="432"/>
      <c r="D10" s="434">
        <f>vkm_2011_SW_PW*SUMIFS(TableVerdeelsleutelVkm[CNG],TableVerdeelsleutelVkm[Voertuigtype],"Lichte voertuigen")*SUMIFS(TableECFTransport[EnergieConsumptieFactor (PJ per km)],TableECFTransport[Index],CONCATENATE($A10,"_CNG_CNG"))</f>
        <v>6.5461152425092063E-7</v>
      </c>
      <c r="E10" s="434">
        <f>vkm_2011_SW_PW*SUMIFS(TableVerdeelsleutelVkm[LPG],TableVerdeelsleutelVkm[Voertuigtype],"Lichte voertuigen")*SUMIFS(TableECFTransport[EnergieConsumptieFactor (PJ per km)],TableECFTransport[Index],CONCATENATE($A10,"_LPG_LPG"))</f>
        <v>8.5267311764069647E-5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9.6421470259746549E-3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2.3273175525726068E-3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5.2404374294441429E-4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1.0809925949823294E-2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3.9547636987268373E-6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4.6698002932034685E-4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0.83923380719909701</v>
      </c>
      <c r="C14" s="21"/>
      <c r="D14" s="21">
        <f t="shared" ref="D14:M14" si="0">((D5)*10^9/3600)+D12</f>
        <v>3.9167629833734559</v>
      </c>
      <c r="E14" s="21">
        <f t="shared" si="0"/>
        <v>406.30262041723518</v>
      </c>
      <c r="F14" s="21"/>
      <c r="G14" s="21">
        <f t="shared" si="0"/>
        <v>73111.258944487388</v>
      </c>
      <c r="H14" s="21">
        <f t="shared" si="0"/>
        <v>13137.803098064995</v>
      </c>
      <c r="I14" s="21"/>
      <c r="J14" s="21"/>
      <c r="K14" s="21"/>
      <c r="L14" s="21"/>
      <c r="M14" s="21">
        <f t="shared" si="0"/>
        <v>3764.9338335459006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0.1882765231853388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0.15800802335904093</v>
      </c>
      <c r="C18" s="23"/>
      <c r="D18" s="23">
        <f t="shared" ref="D18:M18" si="1">D14*D16</f>
        <v>0.79118612264143817</v>
      </c>
      <c r="E18" s="23">
        <f t="shared" si="1"/>
        <v>92.230694834712381</v>
      </c>
      <c r="F18" s="23"/>
      <c r="G18" s="23">
        <f t="shared" si="1"/>
        <v>19520.706138178135</v>
      </c>
      <c r="H18" s="23">
        <f t="shared" si="1"/>
        <v>3271.3129714181837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1.1114748674040919E-2</v>
      </c>
      <c r="H50" s="322">
        <f t="shared" si="2"/>
        <v>0</v>
      </c>
      <c r="I50" s="322">
        <f t="shared" si="2"/>
        <v>0</v>
      </c>
      <c r="J50" s="322">
        <f t="shared" si="2"/>
        <v>0</v>
      </c>
      <c r="K50" s="322">
        <f t="shared" si="2"/>
        <v>0</v>
      </c>
      <c r="L50" s="322">
        <f t="shared" si="2"/>
        <v>0</v>
      </c>
      <c r="M50" s="322">
        <f t="shared" si="2"/>
        <v>4.7377344820920427E-4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1.1114748674040919E-2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4.7377344820920427E-4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3087.4301872335886</v>
      </c>
      <c r="H54" s="21">
        <f t="shared" si="3"/>
        <v>0</v>
      </c>
      <c r="I54" s="21">
        <f t="shared" si="3"/>
        <v>0</v>
      </c>
      <c r="J54" s="21">
        <f t="shared" si="3"/>
        <v>0</v>
      </c>
      <c r="K54" s="21">
        <f t="shared" si="3"/>
        <v>0</v>
      </c>
      <c r="L54" s="21">
        <f t="shared" si="3"/>
        <v>0</v>
      </c>
      <c r="M54" s="21">
        <f t="shared" si="3"/>
        <v>131.60373561366785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0.1882765231853388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824.34385999136816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3633.5512270718245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15961.5</v>
      </c>
      <c r="C8" s="557">
        <f>B101</f>
        <v>0</v>
      </c>
      <c r="D8" s="985"/>
      <c r="E8" s="985">
        <f>E101</f>
        <v>0</v>
      </c>
      <c r="F8" s="986"/>
      <c r="G8" s="558"/>
      <c r="H8" s="985">
        <f>I101</f>
        <v>0</v>
      </c>
      <c r="I8" s="985">
        <f>G101+F101</f>
        <v>0</v>
      </c>
      <c r="J8" s="985">
        <f>H101+D101+C101</f>
        <v>18778.23529411765</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19595.051227071825</v>
      </c>
      <c r="C10" s="569">
        <f t="shared" ref="C10:L10" si="0">SUM(C8:C9)</f>
        <v>0</v>
      </c>
      <c r="D10" s="569">
        <f t="shared" si="0"/>
        <v>0</v>
      </c>
      <c r="E10" s="569">
        <f t="shared" si="0"/>
        <v>0</v>
      </c>
      <c r="F10" s="569">
        <f t="shared" si="0"/>
        <v>0</v>
      </c>
      <c r="G10" s="569">
        <f t="shared" si="0"/>
        <v>0</v>
      </c>
      <c r="H10" s="569">
        <f t="shared" si="0"/>
        <v>0</v>
      </c>
      <c r="I10" s="569">
        <f t="shared" si="0"/>
        <v>0</v>
      </c>
      <c r="J10" s="569">
        <f t="shared" si="0"/>
        <v>18778.23529411765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22802.142857142859</v>
      </c>
      <c r="C17" s="581">
        <f>B102</f>
        <v>0</v>
      </c>
      <c r="D17" s="582"/>
      <c r="E17" s="582">
        <f>E102</f>
        <v>0</v>
      </c>
      <c r="F17" s="583"/>
      <c r="G17" s="584"/>
      <c r="H17" s="581">
        <f>I102</f>
        <v>0</v>
      </c>
      <c r="I17" s="582">
        <f>G102+F102</f>
        <v>0</v>
      </c>
      <c r="J17" s="582">
        <f>H102+D102+C102</f>
        <v>26826.050420168071</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22802.142857142859</v>
      </c>
      <c r="C20" s="568">
        <f>SUM(C17:C19)</f>
        <v>0</v>
      </c>
      <c r="D20" s="568">
        <f t="shared" ref="D20:L20" si="1">SUM(D17:D19)</f>
        <v>0</v>
      </c>
      <c r="E20" s="568">
        <f t="shared" si="1"/>
        <v>0</v>
      </c>
      <c r="F20" s="568">
        <f t="shared" si="1"/>
        <v>0</v>
      </c>
      <c r="G20" s="568">
        <f t="shared" si="1"/>
        <v>0</v>
      </c>
      <c r="H20" s="568">
        <f t="shared" si="1"/>
        <v>0</v>
      </c>
      <c r="I20" s="568">
        <f t="shared" si="1"/>
        <v>0</v>
      </c>
      <c r="J20" s="568">
        <f t="shared" si="1"/>
        <v>26826.050420168071</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11057</v>
      </c>
      <c r="C28" s="788">
        <v>2390</v>
      </c>
      <c r="D28" s="641" t="s">
        <v>963</v>
      </c>
      <c r="E28" s="640" t="s">
        <v>964</v>
      </c>
      <c r="F28" s="640" t="s">
        <v>965</v>
      </c>
      <c r="G28" s="640" t="s">
        <v>966</v>
      </c>
      <c r="H28" s="640" t="s">
        <v>967</v>
      </c>
      <c r="I28" s="640" t="s">
        <v>964</v>
      </c>
      <c r="J28" s="787">
        <v>40029</v>
      </c>
      <c r="K28" s="787">
        <v>39022</v>
      </c>
      <c r="L28" s="640" t="s">
        <v>968</v>
      </c>
      <c r="M28" s="640">
        <v>3547</v>
      </c>
      <c r="N28" s="640">
        <v>15961.5</v>
      </c>
      <c r="O28" s="640">
        <v>22802.142857142859</v>
      </c>
      <c r="P28" s="640">
        <v>0</v>
      </c>
      <c r="Q28" s="640">
        <v>45604.285714285717</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3547</v>
      </c>
      <c r="N58" s="598">
        <f>SUM(N28:N57)</f>
        <v>15961.5</v>
      </c>
      <c r="O58" s="598">
        <f t="shared" ref="O58:W58" si="2">SUM(O28:O57)</f>
        <v>22802.142857142859</v>
      </c>
      <c r="P58" s="598">
        <f t="shared" si="2"/>
        <v>0</v>
      </c>
      <c r="Q58" s="598">
        <f t="shared" si="2"/>
        <v>45604.285714285717</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3547</v>
      </c>
      <c r="N60" s="598">
        <f ca="1">SUMIF($Z$28:AD57,"tertiair",N28:N57)</f>
        <v>15961.5</v>
      </c>
      <c r="O60" s="598">
        <f ca="1">SUMIF($Z$28:AE57,"tertiair",O28:O57)</f>
        <v>22802.142857142859</v>
      </c>
      <c r="P60" s="598">
        <f ca="1">SUMIF($Z$28:AF57,"tertiair",P28:P57)</f>
        <v>0</v>
      </c>
      <c r="Q60" s="598">
        <f ca="1">SUMIF($Z$28:AG57,"tertiair",Q28:Q57)</f>
        <v>45604.285714285717</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18778.23529411765</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26826.050420168071</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2019-06-29T16:03:34Z</dcterms:modified>
</cp:coreProperties>
</file>