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B101"/>
  <c r="C8" s="1"/>
  <c r="D76" i="14" s="1"/>
  <c r="I102" i="18"/>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Q76" i="14" l="1"/>
  <c r="P8" i="55" s="1"/>
  <c r="D8"/>
  <c r="D10" s="1"/>
  <c r="H10" i="18"/>
  <c r="M76" i="14"/>
  <c r="M8" i="55" s="1"/>
  <c r="M10" s="1"/>
  <c r="L78" i="14"/>
  <c r="L8" i="55"/>
  <c r="L10" s="1"/>
  <c r="G78" i="14"/>
  <c r="G9" i="55"/>
  <c r="G10" s="1"/>
  <c r="C77" i="14"/>
  <c r="C9" i="55" s="1"/>
  <c r="F9"/>
  <c r="M90" i="14"/>
  <c r="M17" i="55"/>
  <c r="M20" s="1"/>
  <c r="L90" i="14"/>
  <c r="O20" i="55"/>
  <c r="H90" i="14"/>
  <c r="P32" i="48"/>
  <c r="K22" i="14"/>
  <c r="D22"/>
  <c r="L22"/>
  <c r="L20" i="55"/>
  <c r="P31" i="48"/>
  <c r="D14"/>
  <c r="F76" i="14"/>
  <c r="K20" i="55"/>
  <c r="B14" i="48"/>
  <c r="F101" i="18"/>
  <c r="I8" s="1"/>
  <c r="O78" i="14"/>
  <c r="O9" i="55"/>
  <c r="N78" i="14"/>
  <c r="N9" i="55"/>
  <c r="F90" i="14"/>
  <c r="F18" i="55"/>
  <c r="N90" i="14"/>
  <c r="N18" i="55"/>
  <c r="N20" s="1"/>
  <c r="E90" i="14"/>
  <c r="E18" i="55"/>
  <c r="E20" s="1"/>
  <c r="F20"/>
  <c r="R9" i="14"/>
  <c r="O10" i="55"/>
  <c r="H20"/>
  <c r="P24" i="48"/>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F8" i="55" l="1"/>
  <c r="F10" s="1"/>
  <c r="F78" i="14"/>
  <c r="Q78"/>
  <c r="B9" i="6" s="1"/>
  <c r="P9" i="55"/>
  <c r="P10" s="1"/>
  <c r="Q14" i="48"/>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90" i="14" l="1"/>
  <c r="B17" i="55"/>
  <c r="B20" s="1"/>
  <c r="C90" i="14"/>
  <c r="C17" i="55"/>
  <c r="C20" s="1"/>
  <c r="H5" i="48"/>
  <c r="I10" i="14"/>
  <c r="I16" s="1"/>
  <c r="G5" i="48"/>
  <c r="H10" i="14"/>
  <c r="H16" s="1"/>
  <c r="B78"/>
  <c r="B4" i="6" s="1"/>
  <c r="B8" i="55"/>
  <c r="B1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27"/>
  <c r="N31"/>
  <c r="N30"/>
  <c r="N28"/>
  <c r="D24"/>
  <c r="D30"/>
  <c r="D29"/>
  <c r="D31"/>
  <c r="D28"/>
  <c r="D32"/>
  <c r="L32"/>
  <c r="L30"/>
  <c r="L24"/>
  <c r="L22"/>
  <c r="L28"/>
  <c r="L29"/>
  <c r="L27"/>
  <c r="L31"/>
  <c r="B10"/>
  <c r="C19" i="14"/>
  <c r="P11"/>
  <c r="O4" i="48"/>
  <c r="I30"/>
  <c r="I26"/>
  <c r="I32"/>
  <c r="I28"/>
  <c r="I24"/>
  <c r="I31"/>
  <c r="I27"/>
  <c r="I29"/>
  <c r="I22"/>
  <c r="I25"/>
  <c r="B8" i="9"/>
  <c r="B6" i="48" s="1"/>
  <c r="Q6" s="1"/>
  <c r="N10" i="14"/>
  <c r="N16" s="1"/>
  <c r="M5" i="48"/>
  <c r="F32"/>
  <c r="F27"/>
  <c r="F30"/>
  <c r="F28"/>
  <c r="F29"/>
  <c r="F24"/>
  <c r="F31"/>
  <c r="L10" i="14"/>
  <c r="L16" s="1"/>
  <c r="L27" s="1"/>
  <c r="K5" i="48"/>
  <c r="J32"/>
  <c r="J29"/>
  <c r="J27"/>
  <c r="J28"/>
  <c r="J31"/>
  <c r="J24"/>
  <c r="J30"/>
  <c r="H12" i="22"/>
  <c r="I18" i="14"/>
  <c r="H13" i="48"/>
  <c r="H31" s="1"/>
  <c r="D4"/>
  <c r="D22" s="1"/>
  <c r="E11" i="14"/>
  <c r="H30" i="48"/>
  <c r="H32"/>
  <c r="H22"/>
  <c r="H25"/>
  <c r="H24"/>
  <c r="H29"/>
  <c r="H28"/>
  <c r="H26"/>
  <c r="H23"/>
  <c r="C18" i="16"/>
  <c r="B7" i="48"/>
  <c r="C24" i="14"/>
  <c r="C26" s="1"/>
  <c r="E30" i="48"/>
  <c r="E24"/>
  <c r="E32"/>
  <c r="E28"/>
  <c r="E29"/>
  <c r="E31"/>
  <c r="M30"/>
  <c r="M24"/>
  <c r="M32"/>
  <c r="M26"/>
  <c r="M25"/>
  <c r="M22"/>
  <c r="M29"/>
  <c r="Q10" i="14"/>
  <c r="P5" i="48"/>
  <c r="P23" s="1"/>
  <c r="K30"/>
  <c r="K32"/>
  <c r="K29"/>
  <c r="K25"/>
  <c r="K27"/>
  <c r="K31"/>
  <c r="K26"/>
  <c r="K28"/>
  <c r="K24"/>
  <c r="K22"/>
  <c r="J10" i="14"/>
  <c r="J16" s="1"/>
  <c r="J27" s="1"/>
  <c r="I5" i="48"/>
  <c r="Q11" i="14"/>
  <c r="P4" i="48"/>
  <c r="D11" i="14"/>
  <c r="C4" i="48"/>
  <c r="G30"/>
  <c r="G32"/>
  <c r="G29"/>
  <c r="G24"/>
  <c r="G22"/>
  <c r="G26"/>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K15"/>
  <c r="K23"/>
  <c r="K33" s="1"/>
  <c r="P10" i="14"/>
  <c r="O5" i="48"/>
  <c r="O23" s="1"/>
  <c r="M13"/>
  <c r="M31" s="1"/>
  <c r="N18" i="14"/>
  <c r="I22"/>
  <c r="I27" s="1"/>
  <c r="I20"/>
  <c r="H9" i="48"/>
  <c r="O22"/>
  <c r="F4"/>
  <c r="F22" s="1"/>
  <c r="G11" i="14"/>
  <c r="I15" i="48"/>
  <c r="I23"/>
  <c r="I33" s="1"/>
  <c r="G12" i="22"/>
  <c r="G13" i="48"/>
  <c r="H18" i="14"/>
  <c r="J63"/>
  <c r="D16" i="15"/>
  <c r="E10" i="14" s="1"/>
  <c r="L46"/>
  <c r="L61" s="1"/>
  <c r="L63" s="1"/>
  <c r="P22" i="16"/>
  <c r="Q43" i="14" s="1"/>
  <c r="Q13"/>
  <c r="Q16" s="1"/>
  <c r="Q27" s="1"/>
  <c r="P8" i="48"/>
  <c r="P26" s="1"/>
  <c r="P22"/>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J4" i="48"/>
  <c r="J22" s="1"/>
  <c r="K11" i="14"/>
  <c r="G31" i="48"/>
  <c r="Q13"/>
  <c r="H27"/>
  <c r="H33" s="1"/>
  <c r="H15"/>
  <c r="C20" i="14"/>
  <c r="B9" i="48"/>
  <c r="F20" i="14"/>
  <c r="F22" s="1"/>
  <c r="E9" i="48"/>
  <c r="E27" s="1"/>
  <c r="D9"/>
  <c r="D27" s="1"/>
  <c r="E20" i="14"/>
  <c r="E22" s="1"/>
  <c r="P13"/>
  <c r="O8" i="48"/>
  <c r="P16" i="14"/>
  <c r="P27" s="1"/>
  <c r="P15" i="48"/>
  <c r="G14" i="22"/>
  <c r="P33" i="48"/>
  <c r="R18" i="14"/>
  <c r="P46"/>
  <c r="P61" s="1"/>
  <c r="P63" s="1"/>
  <c r="C15" i="48"/>
  <c r="Q46" i="14"/>
  <c r="Q61" s="1"/>
  <c r="Q63" s="1"/>
  <c r="N4" i="48"/>
  <c r="N22" s="1"/>
  <c r="O11" i="14"/>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G28" i="48" l="1"/>
  <c r="Q10"/>
  <c r="B15"/>
  <c r="M18" i="22"/>
  <c r="N50" i="14" s="1"/>
  <c r="N52" s="1"/>
  <c r="N61" s="1"/>
  <c r="M9" i="48"/>
  <c r="N20" i="14"/>
  <c r="N22" s="1"/>
  <c r="N27" s="1"/>
  <c r="N63" s="1"/>
  <c r="O26" i="48"/>
  <c r="O33" s="1"/>
  <c r="O15"/>
  <c r="R20" i="14"/>
  <c r="R22" s="1"/>
  <c r="C22"/>
  <c r="E22" i="48"/>
  <c r="Q4"/>
  <c r="H52" i="14"/>
  <c r="H61" s="1"/>
  <c r="D15" i="48"/>
  <c r="Q9"/>
  <c r="R11" i="14"/>
  <c r="G9" i="48"/>
  <c r="H20" i="14"/>
  <c r="H22" s="1"/>
  <c r="H27" s="1"/>
  <c r="H63" s="1"/>
  <c r="J5" i="48"/>
  <c r="K10" i="14"/>
  <c r="E20" i="15"/>
  <c r="F40" i="14" s="1"/>
  <c r="E5" i="48"/>
  <c r="F10" i="14"/>
  <c r="L15" i="48"/>
  <c r="Q7"/>
  <c r="R24" i="14"/>
  <c r="R26" s="1"/>
  <c r="J18" i="16"/>
  <c r="N18"/>
  <c r="E18"/>
  <c r="F18"/>
  <c r="F22" s="1"/>
  <c r="G43" i="14" s="1"/>
  <c r="G27" i="48" l="1"/>
  <c r="G33" s="1"/>
  <c r="G15"/>
  <c r="M27"/>
  <c r="M33" s="1"/>
  <c r="M15"/>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<sst xmlns="http://schemas.openxmlformats.org/spreadsheetml/2006/main" count="2520" uniqueCount="976">
  <si>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</si>
  <si>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</si>
  <si>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</si>
  <si>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</si>
  <si>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</si>
  <si>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</si>
  <si>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</si>
  <si>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</si>
  <si>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</si>
  <si>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</si>
  <si>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</si>
  <si>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</si>
  <si>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</si>
  <si>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</si>
  <si>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</si>
  <si>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</si>
  <si>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</si>
  <si>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</si>
  <si>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</si>
  <si>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</si>
  <si>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</si>
  <si>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</si>
  <si>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</si>
  <si>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</si>
  <si>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</si>
  <si>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</si>
  <si>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</si>
  <si>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</si>
  <si>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</si>
  <si>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</si>
  <si>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</si>
  <si>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</si>
  <si>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</si>
  <si>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</si>
  <si>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</si>
  <si>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</si>
  <si>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</si>
  <si>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</si>
  <si>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</si>
  <si>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</si>
  <si>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</si>
  <si>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</si>
  <si>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</si>
  <si>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</si>
  <si>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</si>
  <si>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</si>
  <si>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</si>
  <si>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</si>
  <si>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</si>
  <si>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</si>
  <si>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</si>
  <si>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</si>
  <si>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</si>
  <si>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</si>
  <si>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</si>
  <si>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</si>
  <si>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</si>
  <si>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</si>
  <si>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</si>
  <si>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</si>
  <si>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</si>
  <si>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</si>
  <si>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</si>
  <si>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</si>
  <si>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</si>
  <si>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</si>
  <si>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</si>
  <si>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</si>
  <si>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</si>
  <si>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</si>
  <si>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</si>
  <si>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</si>
  <si>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</si>
  <si>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</si>
  <si>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</si>
  <si>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</si>
  <si>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</si>
  <si>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</si>
  <si>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</si>
  <si>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</si>
  <si>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</si>
  <si>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</si>
  <si>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</si>
  <si>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</si>
  <si>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</si>
  <si>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</si>
  <si>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</si>
  <si>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</si>
  <si>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</si>
  <si>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</si>
  <si>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</si>
  <si>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</si>
  <si>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</si>
  <si>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</si>
  <si>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</si>
  <si>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</si>
  <si>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</si>
  <si>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</si>
  <si>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</si>
  <si>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</si>
  <si>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</si>
  <si>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</si>
  <si>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</si>
  <si>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</si>
  <si>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</si>
  <si>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</si>
  <si>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</si>
  <si>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</si>
  <si>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</si>
  <si>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</si>
  <si>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</si>
  <si>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</si>
  <si>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</si>
  <si>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</si>
  <si>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</si>
  <si>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</si>
  <si>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</si>
  <si>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</si>
  <si>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</si>
  <si>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</si>
  <si>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</si>
  <si>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</si>
  <si>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</si>
  <si>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</si>
  <si>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</si>
  <si>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</si>
  <si>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</si>
  <si>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</si>
  <si>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</si>
  <si>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</si>
  <si>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</si>
  <si>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</si>
  <si>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</si>
  <si>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</si>
  <si>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</si>
  <si>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</si>
  <si>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</si>
  <si>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</si>
  <si>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</si>
  <si>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</si>
  <si>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</si>
  <si>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</si>
  <si>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</si>
  <si>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</si>
  <si>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</si>
  <si>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</si>
  <si>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</si>
  <si>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</si>
  <si>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</si>
  <si>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</si>
  <si>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</si>
  <si>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</si>
  <si>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</si>
  <si>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</si>
  <si>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</si>
  <si>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</si>
  <si>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</si>
  <si>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</si>
  <si>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</si>
  <si>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</si>
  <si>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</si>
  <si>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</si>
  <si>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</si>
  <si>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</si>
  <si>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</si>
  <si>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</si>
  <si>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</si>
  <si>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</si>
  <si>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</si>
  <si>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</si>
  <si>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</si>
  <si>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</si>
  <si>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</si>
  <si>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</si>
  <si>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</si>
  <si>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</si>
  <si>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</si>
  <si>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</si>
  <si>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</si>
  <si>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</si>
  <si>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</si>
  <si>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</si>
  <si>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</si>
  <si>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</si>
  <si>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</si>
  <si>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</si>
  <si>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</si>
  <si>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</si>
  <si>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</si>
  <si>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</si>
  <si>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</si>
  <si>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</si>
  <si>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</si>
  <si>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</si>
  <si>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</si>
  <si>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</si>
  <si>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</si>
  <si>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</si>
  <si>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</si>
  <si>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</si>
  <si>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</si>
  <si>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</si>
  <si>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</si>
  <si>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</si>
  <si>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</si>
  <si>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</si>
  <si>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</si>
  <si>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</si>
  <si>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</si>
  <si>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</si>
  <si>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</si>
  <si>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</si>
  <si>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</si>
  <si>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</si>
  <si>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</si>
  <si>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</si>
  <si>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</si>
  <si>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</si>
  <si>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</si>
  <si>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</si>
  <si>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</si>
  <si>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</si>
  <si>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</si>
  <si>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</si>
  <si>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</si>
  <si>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</si>
  <si>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</si>
  <si>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</si>
  <si>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</si>
  <si>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</si>
  <si>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</si>
  <si>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</si>
  <si>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</si>
  <si>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</si>
  <si>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</si>
  <si>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</si>
  <si>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</si>
  <si>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</si>
  <si>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</si>
  <si>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</si>
  <si>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</si>
  <si>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</si>
  <si>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</si>
  <si>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</si>
  <si>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</si>
  <si>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</si>
  <si>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</si>
  <si>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</si>
  <si>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</si>
  <si>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</si>
  <si>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</si>
  <si>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</si>
  <si>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</si>
  <si>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</si>
  <si>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</si>
  <si>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</si>
  <si>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</si>
  <si>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</si>
  <si>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</si>
  <si>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</si>
  <si>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</si>
  <si>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</si>
  <si>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</si>
  <si>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</si>
  <si>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</si>
  <si>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</si>
  <si>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</si>
  <si>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</si>
  <si>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</si>
  <si>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</si>
  <si>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</si>
  <si>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</si>
  <si>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</si>
  <si>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</si>
  <si>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</si>
  <si>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</si>
  <si>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</si>
  <si>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</si>
  <si>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</si>
  <si>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</si>
  <si>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</si>
  <si>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</si>
  <si>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</si>
  <si>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</si>
  <si>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</si>
  <si>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</si>
  <si>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</si>
  <si>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</si>
  <si>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</si>
  <si>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</si>
  <si>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</si>
  <si>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</si>
  <si>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</si>
  <si>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</si>
  <si>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</si>
  <si>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</si>
  <si>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</si>
  <si>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</si>
  <si>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</si>
  <si>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</si>
  <si>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</si>
  <si>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</si>
  <si>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</si>
  <si>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</si>
  <si>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</si>
  <si>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</si>
  <si>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</si>
  <si>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</si>
  <si>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</si>
  <si>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</si>
  <si>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</si>
  <si>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</si>
  <si>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</si>
  <si>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</si>
  <si>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</si>
  <si>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</si>
  <si>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</si>
  <si>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</si>
  <si>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</si>
  <si>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</si>
  <si>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</si>
  <si>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</si>
  <si>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</si>
  <si>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</si>
  <si>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</si>
  <si>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</si>
  <si>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</si>
  <si>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</si>
  <si>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</si>
  <si>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</si>
  <si>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</si>
  <si>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</si>
  <si>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</si>
  <si>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</si>
  <si>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</si>
  <si>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</si>
  <si>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</si>
  <si>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</si>
  <si>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</si>
  <si>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</si>
  <si>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</si>
  <si>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</si>
  <si>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</si>
  <si>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</si>
  <si>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</si>
  <si>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</si>
  <si>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</si>
  <si>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</si>
  <si>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</si>
  <si>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</si>
  <si>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</si>
  <si>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</si>
  <si>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</si>
  <si>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</si>
  <si>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</si>
  <si>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</si>
  <si>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</si>
  <si>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</si>
  <si>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</si>
  <si>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</si>
  <si>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</si>
  <si>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</si>
  <si>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</si>
  <si>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</si>
  <si>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</si>
  <si>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</si>
  <si>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</si>
  <si>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</si>
  <si>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</si>
  <si>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</si>
  <si>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</si>
  <si>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</si>
  <si>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</si>
  <si>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</si>
  <si>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</si>
  <si>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</si>
  <si>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</si>
  <si>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</si>
  <si>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</si>
  <si>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</si>
  <si>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</si>
  <si>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</si>
  <si>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</si>
  <si>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</si>
  <si>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</si>
  <si>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</si>
  <si>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</si>
  <si>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</si>
  <si>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</si>
  <si>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</si>
  <si>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</si>
  <si>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</si>
  <si>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</si>
  <si>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</si>
  <si>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</si>
  <si>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</si>
  <si>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</si>
  <si>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</si>
  <si>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</si>
  <si>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</si>
  <si>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</si>
  <si>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</si>
  <si>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</si>
  <si>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</si>
  <si>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</si>
  <si>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</si>
  <si>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</si>
  <si>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</si>
  <si>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</si>
  <si>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</si>
  <si>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</si>
  <si>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</si>
  <si>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</si>
  <si>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</si>
  <si>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</si>
  <si>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</si>
  <si>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</si>
  <si>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</si>
  <si>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</si>
  <si>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</si>
  <si>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</si>
  <si>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</si>
  <si>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</si>
  <si>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</si>
  <si>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</si>
  <si>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</si>
  <si>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</si>
  <si>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</si>
  <si>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</si>
  <si>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</si>
  <si>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</si>
  <si>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</si>
  <si>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</si>
  <si>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</si>
  <si>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</si>
  <si>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</si>
  <si>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</si>
  <si>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</si>
  <si>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</si>
  <si>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</si>
  <si>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</si>
  <si>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</si>
  <si>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</si>
  <si>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</si>
  <si>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</si>
  <si>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</si>
  <si>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</si>
  <si>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</si>
  <si>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</si>
  <si>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</si>
  <si>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</si>
  <si>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</si>
  <si>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</si>
  <si>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</si>
  <si>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</si>
  <si>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</si>
  <si>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</si>
  <si>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</si>
  <si>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</si>
  <si>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</si>
  <si>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</si>
  <si>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</si>
  <si>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</si>
  <si>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</si>
  <si>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</si>
  <si>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</si>
  <si>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</si>
  <si>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</si>
  <si>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</si>
  <si>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</si>
  <si>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</si>
  <si>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</si>
  <si>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</si>
  <si>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</si>
  <si>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</si>
  <si>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</si>
  <si>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</si>
  <si>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</si>
  <si>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</si>
  <si>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</si>
  <si>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</si>
  <si>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</si>
  <si>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</si>
  <si>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</si>
  <si>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</si>
  <si>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</si>
  <si>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</si>
  <si>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</si>
  <si>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</si>
  <si>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</si>
  <si>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</si>
  <si>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</si>
  <si>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</si>
  <si>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</si>
  <si>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</si>
  <si>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</si>
  <si>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</si>
  <si>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</si>
  <si>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</si>
  <si>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</si>
  <si>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</si>
  <si>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</si>
  <si>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</si>
  <si>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</si>
  <si>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</si>
  <si>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</si>
  <si>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</si>
  <si>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</si>
  <si>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</si>
  <si>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</si>
  <si>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</si>
  <si>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</si>
  <si>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</si>
  <si>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</si>
  <si>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</si>
  <si>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</si>
  <si>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</si>
  <si>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</si>
  <si>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</si>
  <si>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</si>
  <si>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</si>
  <si>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</si>
  <si>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</si>
  <si>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</si>
  <si>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</si>
  <si>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</si>
  <si>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</si>
  <si>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</si>
  <si>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</si>
  <si>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</si>
  <si>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</si>
  <si>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</si>
  <si>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</si>
  <si>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</si>
  <si>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</si>
  <si>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</si>
  <si>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</si>
  <si>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</si>
  <si>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</si>
  <si>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</si>
  <si>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</si>
  <si>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</si>
  <si>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</si>
  <si>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</si>
  <si>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</si>
  <si>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</si>
  <si>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</si>
  <si>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</si>
  <si>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</si>
  <si>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</si>
  <si>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</si>
  <si>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</si>
  <si>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</si>
  <si>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</si>
  <si>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</si>
  <si>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</si>
  <si>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</si>
  <si>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</si>
  <si>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</si>
  <si>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</si>
  <si>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</si>
  <si>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</si>
  <si>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</si>
  <si>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</si>
  <si>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</si>
  <si>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</si>
  <si>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</si>
  <si>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</si>
  <si>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</si>
  <si>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</si>
  <si>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</si>
  <si>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</si>
  <si>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</si>
  <si>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</si>
  <si>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</si>
  <si>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</si>
  <si>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</si>
  <si>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</si>
  <si>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</si>
  <si>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</si>
  <si>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</si>
  <si>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</si>
  <si>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</si>
  <si>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</si>
  <si>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</si>
  <si>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</si>
  <si>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</si>
  <si>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</si>
  <si>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</si>
  <si>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</si>
  <si>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</si>
  <si>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</si>
  <si>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</si>
  <si>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</si>
  <si>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</si>
  <si>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</si>
  <si>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</si>
  <si>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</si>
  <si>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</si>
  <si>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</si>
  <si>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</si>
  <si>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</si>
  <si>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</si>
  <si>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</si>
  <si>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</si>
  <si>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</si>
  <si>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</si>
  <si>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</si>
  <si>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</si>
  <si>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</si>
  <si>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</si>
  <si>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</si>
  <si>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</si>
  <si>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</si>
  <si>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</si>
  <si>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</si>
  <si>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</si>
  <si>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</si>
  <si>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</si>
  <si>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</si>
  <si>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</si>
  <si>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</si>
  <si>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</si>
  <si>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</si>
  <si>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</si>
  <si>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</si>
  <si>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</si>
  <si>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</si>
  <si>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</si>
  <si>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</si>
  <si>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</si>
  <si>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</si>
  <si>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</si>
  <si>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</si>
  <si>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</si>
  <si>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</si>
  <si>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</si>
  <si>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</si>
  <si>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</si>
  <si>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</si>
  <si>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</si>
  <si>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</si>
  <si>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</si>
  <si>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</si>
  <si>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</si>
  <si>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</si>
  <si>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</si>
  <si>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</si>
  <si>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</si>
  <si>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</si>
  <si>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</si>
  <si>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</si>
  <si>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</si>
  <si>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</si>
  <si>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</si>
  <si>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</si>
  <si>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</si>
  <si>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</si>
  <si>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</si>
  <si>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</si>
  <si>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</si>
  <si>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</si>
  <si>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</si>
  <si>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</si>
  <si>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</si>
  <si>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</si>
  <si>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</si>
  <si>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</si>
  <si>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</si>
  <si>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</si>
  <si>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</si>
  <si>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</si>
  <si>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</si>
  <si>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</si>
  <si>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</si>
  <si>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</si>
  <si>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</si>
  <si>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</si>
  <si>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</si>
  <si>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</si>
  <si>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</si>
  <si>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</si>
  <si>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</si>
  <si>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</si>
  <si>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</si>
  <si>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</si>
  <si>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</si>
  <si>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</si>
  <si>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</si>
  <si>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</si>
  <si>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</si>
  <si>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</si>
  <si>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</si>
  <si>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</si>
  <si>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</si>
  <si>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</si>
  <si>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</si>
  <si>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</si>
  <si>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</si>
  <si>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</si>
  <si>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</si>
  <si>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</si>
  <si>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</si>
  <si>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</si>
  <si>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</si>
  <si>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</si>
  <si>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</si>
  <si>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</si>
  <si>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</si>
  <si>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</si>
  <si>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</si>
  <si>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</si>
  <si>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</si>
  <si>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</si>
  <si>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</si>
  <si>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</si>
  <si>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</si>
  <si>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</si>
  <si>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</si>
  <si>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</si>
  <si>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</si>
  <si>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</si>
  <si>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</si>
  <si>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</si>
  <si>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</si>
  <si>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</si>
  <si>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</si>
  <si>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</si>
  <si>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</si>
  <si>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</si>
  <si>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</si>
  <si>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</si>
  <si>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</si>
  <si>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</si>
  <si>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</si>
  <si>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</si>
  <si>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</si>
  <si>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</si>
  <si>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</si>
  <si>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</si>
  <si>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</si>
  <si>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</si>
  <si>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</si>
  <si>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</si>
  <si>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</si>
  <si>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</si>
  <si>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</si>
  <si>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</si>
  <si>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</si>
  <si>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</si>
  <si>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</si>
  <si>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</si>
  <si>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</si>
  <si>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</si>
  <si>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</si>
  <si>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</si>
  <si>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</si>
  <si>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</si>
  <si>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</si>
  <si>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</si>
  <si>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</si>
  <si>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</si>
  <si>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</si>
  <si>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</si>
  <si>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</si>
  <si>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</si>
  <si>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</si>
  <si>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</si>
  <si>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</si>
  <si>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</si>
  <si>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</si>
  <si>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</si>
  <si>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</si>
  <si>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</si>
  <si>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</si>
  <si>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</si>
  <si>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</si>
  <si>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</si>
  <si>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</si>
  <si>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</si>
  <si>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</si>
  <si>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</si>
  <si>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</si>
  <si>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</si>
  <si>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</si>
  <si>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</si>
  <si>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</si>
  <si>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</si>
  <si>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</si>
  <si>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</si>
  <si>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</si>
  <si>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</si>
  <si>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</si>
  <si>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</si>
  <si>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</si>
  <si>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</si>
  <si>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</si>
  <si>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</si>
  <si>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</si>
  <si>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</si>
  <si>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</si>
  <si>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</si>
  <si>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</si>
  <si>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</si>
  <si>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</si>
  <si>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</si>
  <si>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</si>
  <si>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</si>
  <si>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</si>
  <si>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</si>
  <si>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</si>
  <si>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</si>
  <si>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</si>
  <si>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</si>
  <si>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</si>
  <si>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</si>
  <si>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</si>
  <si>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</si>
  <si>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</si>
  <si>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</si>
  <si>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</si>
  <si>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</si>
  <si>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</si>
  <si>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</si>
  <si>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</si>
  <si>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</si>
  <si>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</si>
  <si>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</si>
  <si>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</si>
  <si>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</si>
  <si>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</si>
  <si>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</si>
  <si>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</si>
  <si>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</si>
  <si>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</si>
  <si>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</si>
  <si>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</si>
  <si>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</si>
  <si>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</si>
  <si>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</si>
  <si>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</si>
  <si>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</si>
  <si>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</si>
  <si>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</si>
  <si>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</si>
  <si>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</si>
  <si>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</si>
  <si>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</si>
  <si>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</si>
  <si>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</si>
  <si>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</si>
  <si>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</si>
  <si>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</si>
  <si>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</si>
  <si>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</si>
  <si>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</si>
  <si>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</si>
  <si>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</si>
  <si>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</si>
  <si>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</si>
  <si>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</si>
  <si>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</si>
  <si>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</si>
  <si>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</si>
  <si>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</si>
  <si>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</si>
  <si>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</si>
  <si>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</si>
  <si>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</si>
  <si>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</si>
  <si>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</si>
  <si>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</si>
  <si>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</si>
  <si>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</si>
  <si>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</si>
  <si>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</si>
  <si>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</si>
  <si>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</si>
  <si>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</si>
  <si>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</si>
  <si>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</si>
  <si>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</si>
  <si>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</si>
  <si>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</si>
  <si>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</si>
  <si>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</si>
  <si>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</si>
  <si>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</si>
  <si>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</si>
  <si>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</si>
  <si>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</si>
  <si>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</si>
  <si>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</si>
  <si>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</si>
  <si>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</si>
  <si>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</si>
  <si>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</si>
  <si>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</si>
  <si>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</si>
  <si>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</si>
  <si>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</si>
  <si>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</si>
  <si>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</si>
  <si>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</si>
  <si>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</si>
  <si>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</si>
  <si>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</si>
  <si>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</si>
  <si>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</si>
  <si>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</si>
  <si>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</si>
  <si>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</si>
  <si>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</si>
  <si>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</si>
  <si>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</si>
  <si>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</si>
  <si>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</si>
  <si>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</si>
  <si>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</si>
  <si>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</si>
  <si>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</si>
  <si>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</si>
  <si>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</si>
  <si>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</si>
  <si>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</si>
  <si>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</si>
  <si>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</si>
  <si>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</si>
  <si>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</si>
  <si>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</si>
  <si>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</si>
  <si>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</si>
  <si>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</si>
  <si>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</si>
  <si>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</si>
  <si>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</si>
  <si>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</si>
  <si>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</si>
  <si>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</si>
  <si>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</si>
  <si>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</si>
  <si>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</si>
  <si>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</si>
  <si>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</si>
  <si>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</si>
  <si>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</si>
  <si>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</si>
  <si>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</si>
  <si>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</si>
  <si>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</si>
  <si>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</si>
  <si>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</si>
  <si>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</si>
  <si>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</si>
  <si>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11056</t>
  </si>
  <si>
    <t>ZWIJNDRECHT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</si>
  <si>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</si>
  <si>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</si>
  <si>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</si>
  <si>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</si>
  <si>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</si>
  <si>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</si>
  <si>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</si>
  <si>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Keeponrunning bvba</t>
  </si>
  <si>
    <t>Westpoort 68 , 2070 Zwijndrecht</t>
  </si>
  <si>
    <t>WKK-0365 Keeponrunning</t>
  </si>
  <si>
    <t>interne verbrandingsmotor</t>
  </si>
  <si>
    <t>WKK interne verbrandinsgmotor (gas)</t>
  </si>
  <si>
    <t>IMEA</t>
  </si>
  <si>
    <t>Vitaetom bvba</t>
  </si>
  <si>
    <t>Krijgsbaan 151 , 2070 Zwijndrecht</t>
  </si>
  <si>
    <t>WKK-0246 Vitaetom</t>
  </si>
  <si>
    <t>Herdi BVBA</t>
  </si>
  <si>
    <t>Blauwe Hoevestraat 17 , 2070 Zwijndrecht</t>
  </si>
  <si>
    <t>WKK-0044 De Langhe</t>
  </si>
  <si>
    <t>Blauwe Hoevestraat 15, 2070 Zwijndrecht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</si>
</sst>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11056</v>
      </c>
      <c r="B6" s="396"/>
      <c r="C6" s="397"/>
    </row>
    <row r="7" spans="1:7" s="394" customFormat="1" ht="15.75" customHeight="1">
      <c r="A7" s="398" t="str">
        <f>txtMunicipality</f>
        <v>ZWIJNDRECHT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0.28696167107282616</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0.28696167107282616</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7932</v>
      </c>
      <c r="C9" s="336">
        <v>8568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362</v>
      </c>
    </row>
    <row r="15" spans="1:6">
      <c r="A15" s="1277" t="s">
        <v>184</v>
      </c>
      <c r="B15" s="333">
        <v>0</v>
      </c>
    </row>
    <row r="16" spans="1:6">
      <c r="A16" s="1277" t="s">
        <v>6</v>
      </c>
      <c r="B16" s="333">
        <v>23</v>
      </c>
    </row>
    <row r="17" spans="1:6">
      <c r="A17" s="1277" t="s">
        <v>7</v>
      </c>
      <c r="B17" s="333">
        <v>21</v>
      </c>
    </row>
    <row r="18" spans="1:6">
      <c r="A18" s="1277" t="s">
        <v>8</v>
      </c>
      <c r="B18" s="333">
        <v>23</v>
      </c>
    </row>
    <row r="19" spans="1:6">
      <c r="A19" s="1277" t="s">
        <v>9</v>
      </c>
      <c r="B19" s="333">
        <v>25</v>
      </c>
    </row>
    <row r="20" spans="1:6">
      <c r="A20" s="1277" t="s">
        <v>10</v>
      </c>
      <c r="B20" s="333">
        <v>35</v>
      </c>
    </row>
    <row r="21" spans="1:6">
      <c r="A21" s="1277" t="s">
        <v>11</v>
      </c>
      <c r="B21" s="333">
        <v>72</v>
      </c>
    </row>
    <row r="22" spans="1:6">
      <c r="A22" s="1277" t="s">
        <v>12</v>
      </c>
      <c r="B22" s="333">
        <v>700</v>
      </c>
    </row>
    <row r="23" spans="1:6">
      <c r="A23" s="1277" t="s">
        <v>13</v>
      </c>
      <c r="B23" s="333">
        <v>4</v>
      </c>
    </row>
    <row r="24" spans="1:6">
      <c r="A24" s="1277" t="s">
        <v>14</v>
      </c>
      <c r="B24" s="333">
        <v>2</v>
      </c>
    </row>
    <row r="25" spans="1:6">
      <c r="A25" s="1277" t="s">
        <v>15</v>
      </c>
      <c r="B25" s="333">
        <v>34</v>
      </c>
    </row>
    <row r="26" spans="1:6">
      <c r="A26" s="1277" t="s">
        <v>16</v>
      </c>
      <c r="B26" s="333">
        <v>0</v>
      </c>
    </row>
    <row r="27" spans="1:6">
      <c r="A27" s="1277" t="s">
        <v>17</v>
      </c>
      <c r="B27" s="333">
        <v>0</v>
      </c>
    </row>
    <row r="28" spans="1:6">
      <c r="A28" s="1277" t="s">
        <v>18</v>
      </c>
      <c r="B28" s="333">
        <v>0</v>
      </c>
    </row>
    <row r="29" spans="1:6">
      <c r="A29" s="1277" t="s">
        <v>957</v>
      </c>
      <c r="B29" s="333">
        <v>2</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4</v>
      </c>
      <c r="D36" s="333">
        <v>42648223.100703798</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9267.5194841119992</v>
      </c>
    </row>
    <row r="39" spans="1:6">
      <c r="A39" s="1277" t="s">
        <v>30</v>
      </c>
      <c r="B39" s="1277" t="s">
        <v>31</v>
      </c>
      <c r="C39" s="333">
        <v>6273</v>
      </c>
      <c r="D39" s="333">
        <v>96335259.278748497</v>
      </c>
      <c r="E39" s="333">
        <v>7836</v>
      </c>
      <c r="F39" s="333">
        <v>32954691.6061063</v>
      </c>
    </row>
    <row r="40" spans="1:6">
      <c r="A40" s="1277" t="s">
        <v>30</v>
      </c>
      <c r="B40" s="1277" t="s">
        <v>29</v>
      </c>
      <c r="C40" s="333">
        <v>0</v>
      </c>
      <c r="D40" s="333">
        <v>0</v>
      </c>
      <c r="E40" s="333">
        <v>0</v>
      </c>
      <c r="F40" s="333">
        <v>0</v>
      </c>
    </row>
    <row r="41" spans="1:6">
      <c r="A41" s="1277" t="s">
        <v>32</v>
      </c>
      <c r="B41" s="1277" t="s">
        <v>33</v>
      </c>
      <c r="C41" s="333">
        <v>21</v>
      </c>
      <c r="D41" s="333">
        <v>2376451.8869955898</v>
      </c>
      <c r="E41" s="333">
        <v>61</v>
      </c>
      <c r="F41" s="333">
        <v>1810873.3917385801</v>
      </c>
    </row>
    <row r="42" spans="1:6">
      <c r="A42" s="1277" t="s">
        <v>32</v>
      </c>
      <c r="B42" s="1277" t="s">
        <v>34</v>
      </c>
      <c r="C42" s="333">
        <v>0</v>
      </c>
      <c r="D42" s="333">
        <v>0</v>
      </c>
      <c r="E42" s="333">
        <v>4</v>
      </c>
      <c r="F42" s="333">
        <v>3319051.2746397499</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3</v>
      </c>
      <c r="D45" s="333">
        <v>41839.143587936902</v>
      </c>
      <c r="E45" s="333">
        <v>4</v>
      </c>
      <c r="F45" s="333">
        <v>48433.065977079401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23</v>
      </c>
      <c r="D48" s="333">
        <v>8515273.0694107693</v>
      </c>
      <c r="E48" s="333">
        <v>35</v>
      </c>
      <c r="F48" s="333">
        <v>33950359.866920702</v>
      </c>
    </row>
    <row r="49" spans="1:6">
      <c r="A49" s="1277" t="s">
        <v>32</v>
      </c>
      <c r="B49" s="1277" t="s">
        <v>40</v>
      </c>
      <c r="C49" s="333">
        <v>0</v>
      </c>
      <c r="D49" s="333">
        <v>0</v>
      </c>
      <c r="E49" s="333">
        <v>0</v>
      </c>
      <c r="F49" s="333">
        <v>0</v>
      </c>
    </row>
    <row r="50" spans="1:6">
      <c r="A50" s="1277" t="s">
        <v>32</v>
      </c>
      <c r="B50" s="1277" t="s">
        <v>41</v>
      </c>
      <c r="C50" s="333">
        <v>3</v>
      </c>
      <c r="D50" s="333">
        <v>496798.50823179301</v>
      </c>
      <c r="E50" s="333">
        <v>4</v>
      </c>
      <c r="F50" s="333">
        <v>218288.74009917199</v>
      </c>
    </row>
    <row r="51" spans="1:6">
      <c r="A51" s="1277" t="s">
        <v>42</v>
      </c>
      <c r="B51" s="1277" t="s">
        <v>43</v>
      </c>
      <c r="C51" s="333">
        <v>12</v>
      </c>
      <c r="D51" s="333">
        <v>233743.05794878301</v>
      </c>
      <c r="E51" s="333">
        <v>34</v>
      </c>
      <c r="F51" s="333">
        <v>996142.35005239304</v>
      </c>
    </row>
    <row r="52" spans="1:6">
      <c r="A52" s="1277" t="s">
        <v>42</v>
      </c>
      <c r="B52" s="1277" t="s">
        <v>29</v>
      </c>
      <c r="C52" s="333">
        <v>4</v>
      </c>
      <c r="D52" s="333">
        <v>54430194.619408198</v>
      </c>
      <c r="E52" s="333">
        <v>2</v>
      </c>
      <c r="F52" s="333">
        <v>19003.716192297499</v>
      </c>
    </row>
    <row r="53" spans="1:6">
      <c r="A53" s="1277" t="s">
        <v>44</v>
      </c>
      <c r="B53" s="1277" t="s">
        <v>45</v>
      </c>
      <c r="C53" s="333">
        <v>249</v>
      </c>
      <c r="D53" s="333">
        <v>4131086.53723642</v>
      </c>
      <c r="E53" s="333">
        <v>384</v>
      </c>
      <c r="F53" s="333">
        <v>1906102.8087484101</v>
      </c>
    </row>
    <row r="54" spans="1:6">
      <c r="A54" s="1277" t="s">
        <v>46</v>
      </c>
      <c r="B54" s="1277" t="s">
        <v>47</v>
      </c>
      <c r="C54" s="333">
        <v>0</v>
      </c>
      <c r="D54" s="333">
        <v>0</v>
      </c>
      <c r="E54" s="333">
        <v>4</v>
      </c>
      <c r="F54" s="333">
        <v>1024711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44</v>
      </c>
      <c r="D57" s="333">
        <v>2348828.8107586</v>
      </c>
      <c r="E57" s="333">
        <v>83</v>
      </c>
      <c r="F57" s="333">
        <v>3360934.6416252698</v>
      </c>
    </row>
    <row r="58" spans="1:6">
      <c r="A58" s="1277" t="s">
        <v>49</v>
      </c>
      <c r="B58" s="1277" t="s">
        <v>51</v>
      </c>
      <c r="C58" s="333">
        <v>6</v>
      </c>
      <c r="D58" s="333">
        <v>150387.05512726601</v>
      </c>
      <c r="E58" s="333">
        <v>11</v>
      </c>
      <c r="F58" s="333">
        <v>53308.505095340901</v>
      </c>
    </row>
    <row r="59" spans="1:6">
      <c r="A59" s="1277" t="s">
        <v>49</v>
      </c>
      <c r="B59" s="1277" t="s">
        <v>52</v>
      </c>
      <c r="C59" s="333">
        <v>88</v>
      </c>
      <c r="D59" s="333">
        <v>4903563.89562329</v>
      </c>
      <c r="E59" s="333">
        <v>162</v>
      </c>
      <c r="F59" s="333">
        <v>7741105.9027162502</v>
      </c>
    </row>
    <row r="60" spans="1:6">
      <c r="A60" s="1277" t="s">
        <v>49</v>
      </c>
      <c r="B60" s="1277" t="s">
        <v>53</v>
      </c>
      <c r="C60" s="333">
        <v>45</v>
      </c>
      <c r="D60" s="333">
        <v>1613941.5958462399</v>
      </c>
      <c r="E60" s="333">
        <v>52</v>
      </c>
      <c r="F60" s="333">
        <v>937342.22726242198</v>
      </c>
    </row>
    <row r="61" spans="1:6">
      <c r="A61" s="1277" t="s">
        <v>49</v>
      </c>
      <c r="B61" s="1277" t="s">
        <v>54</v>
      </c>
      <c r="C61" s="333">
        <v>99</v>
      </c>
      <c r="D61" s="333">
        <v>8648394.2340488899</v>
      </c>
      <c r="E61" s="333">
        <v>322</v>
      </c>
      <c r="F61" s="333">
        <v>8093286.5754447002</v>
      </c>
    </row>
    <row r="62" spans="1:6">
      <c r="A62" s="1277" t="s">
        <v>49</v>
      </c>
      <c r="B62" s="1277" t="s">
        <v>55</v>
      </c>
      <c r="C62" s="333">
        <v>4</v>
      </c>
      <c r="D62" s="333">
        <v>975925.98025614</v>
      </c>
      <c r="E62" s="333">
        <v>4</v>
      </c>
      <c r="F62" s="333">
        <v>150589.5617779</v>
      </c>
    </row>
    <row r="63" spans="1:6">
      <c r="A63" s="1277" t="s">
        <v>49</v>
      </c>
      <c r="B63" s="1277" t="s">
        <v>29</v>
      </c>
      <c r="C63" s="333">
        <v>108</v>
      </c>
      <c r="D63" s="333">
        <v>8464823.1125653591</v>
      </c>
      <c r="E63" s="333">
        <v>101</v>
      </c>
      <c r="F63" s="333">
        <v>5328983.8294920102</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250075.01554668599</v>
      </c>
      <c r="E68" s="333">
        <v>10</v>
      </c>
      <c r="F68" s="333">
        <v>1236107.48199774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36126366</v>
      </c>
      <c r="E73" s="333">
        <v>41783638.994203873</v>
      </c>
      <c r="F73" s="333">
        <v>41855479</v>
      </c>
    </row>
    <row r="74" spans="1:6">
      <c r="A74" s="1277" t="s">
        <v>64</v>
      </c>
      <c r="B74" s="1277" t="s">
        <v>774</v>
      </c>
      <c r="C74" s="1288" t="s">
        <v>775</v>
      </c>
      <c r="D74" s="333">
        <v>3101830.5798343066</v>
      </c>
      <c r="E74" s="333">
        <v>3934699.6679136986</v>
      </c>
      <c r="F74" s="333">
        <v>3650426.7632148489</v>
      </c>
    </row>
    <row r="75" spans="1:6">
      <c r="A75" s="1277" t="s">
        <v>65</v>
      </c>
      <c r="B75" s="1277" t="s">
        <v>772</v>
      </c>
      <c r="C75" s="1288" t="s">
        <v>776</v>
      </c>
      <c r="D75" s="333">
        <v>12235926</v>
      </c>
      <c r="E75" s="333">
        <v>14165060.656913327</v>
      </c>
      <c r="F75" s="333">
        <v>14164463</v>
      </c>
    </row>
    <row r="76" spans="1:6">
      <c r="A76" s="1277" t="s">
        <v>65</v>
      </c>
      <c r="B76" s="1277" t="s">
        <v>774</v>
      </c>
      <c r="C76" s="1288" t="s">
        <v>777</v>
      </c>
      <c r="D76" s="333">
        <v>1632549.5798343066</v>
      </c>
      <c r="E76" s="333">
        <v>2093004.4511186422</v>
      </c>
      <c r="F76" s="333">
        <v>1935976.7632148487</v>
      </c>
    </row>
    <row r="77" spans="1:6">
      <c r="A77" s="1277" t="s">
        <v>66</v>
      </c>
      <c r="B77" s="1277" t="s">
        <v>772</v>
      </c>
      <c r="C77" s="1288" t="s">
        <v>778</v>
      </c>
      <c r="D77" s="333">
        <v>135832686</v>
      </c>
      <c r="E77" s="333">
        <v>143421803.81750351</v>
      </c>
      <c r="F77" s="333">
        <v>135866400</v>
      </c>
    </row>
    <row r="78" spans="1:6">
      <c r="A78" s="1273" t="s">
        <v>66</v>
      </c>
      <c r="B78" s="1273" t="s">
        <v>774</v>
      </c>
      <c r="C78" s="1273" t="s">
        <v>779</v>
      </c>
      <c r="D78" s="1273">
        <v>31041418</v>
      </c>
      <c r="E78" s="1273">
        <v>33945113.097169653</v>
      </c>
      <c r="F78" s="336">
        <v>31561624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323716.84033138683</v>
      </c>
      <c r="C83" s="333">
        <v>298412.68644304917</v>
      </c>
      <c r="D83" s="333">
        <v>301832.47357030259</v>
      </c>
    </row>
    <row r="84" spans="1:6">
      <c r="A84" s="1273" t="s">
        <v>337</v>
      </c>
      <c r="B84" s="336">
        <v>295545.54966676631</v>
      </c>
      <c r="C84" s="336">
        <v>335006.33841962682</v>
      </c>
      <c r="D84" s="336">
        <v>327112.65868993173</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980.72012004711132</v>
      </c>
    </row>
    <row r="92" spans="1:6">
      <c r="A92" s="1273" t="s">
        <v>69</v>
      </c>
      <c r="B92" s="336">
        <v>1227.8827784708417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5156</v>
      </c>
    </row>
    <row r="98" spans="1:6">
      <c r="A98" s="1277" t="s">
        <v>72</v>
      </c>
      <c r="B98" s="333">
        <v>14</v>
      </c>
    </row>
    <row r="99" spans="1:6">
      <c r="A99" s="1277" t="s">
        <v>73</v>
      </c>
      <c r="B99" s="333">
        <v>13</v>
      </c>
    </row>
    <row r="100" spans="1:6">
      <c r="A100" s="1277" t="s">
        <v>74</v>
      </c>
      <c r="B100" s="333">
        <v>969</v>
      </c>
    </row>
    <row r="101" spans="1:6">
      <c r="A101" s="1277" t="s">
        <v>75</v>
      </c>
      <c r="B101" s="333">
        <v>49</v>
      </c>
    </row>
    <row r="102" spans="1:6">
      <c r="A102" s="1277" t="s">
        <v>76</v>
      </c>
      <c r="B102" s="333">
        <v>101</v>
      </c>
    </row>
    <row r="103" spans="1:6">
      <c r="A103" s="1277" t="s">
        <v>77</v>
      </c>
      <c r="B103" s="333">
        <v>138</v>
      </c>
    </row>
    <row r="104" spans="1:6">
      <c r="A104" s="1277" t="s">
        <v>78</v>
      </c>
      <c r="B104" s="333">
        <v>696</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2</v>
      </c>
    </row>
    <row r="124" spans="1:6">
      <c r="A124" s="1273" t="s">
        <v>89</v>
      </c>
      <c r="B124" s="333">
        <v>1</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35</v>
      </c>
    </row>
    <row r="130" spans="1:6">
      <c r="A130" s="1277" t="s">
        <v>295</v>
      </c>
      <c r="B130" s="333">
        <v>0</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103939.07286443123</v>
      </c>
      <c r="C3" s="43" t="s">
        <v>170</v>
      </c>
      <c r="D3" s="43"/>
      <c r="E3" s="156"/>
      <c r="F3" s="43"/>
      <c r="G3" s="43"/>
      <c r="H3" s="43"/>
      <c r="I3" s="43"/>
      <c r="J3" s="43"/>
      <c r="K3" s="96"/>
    </row>
    <row r="4" spans="1:11">
      <c r="A4" s="364" t="s">
        <v>171</v>
      </c>
      <c r="B4" s="49">
        <f>IF(ISERROR('SEAP template'!B78),0,'SEAP template'!B78)</f>
        <v>2208.6028985179528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7344.096176470588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0.28696167107282616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10491.565966386555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44147.678571428572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1024.711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1024.711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0.28696167107282616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294.05278092670676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32954.691606106302</v>
      </c>
      <c r="C5" s="17">
        <f>IF(ISERROR('Eigen informatie GS &amp; warmtenet'!B57),0,'Eigen informatie GS &amp; warmtenet'!B57)</f>
        <v>0</v>
      </c>
      <c r="D5" s="30">
        <f>(SUM(HH_hh_gas_kWh,HH_rest_gas_kWh)/1000)*0.902</f>
        <v>86894.40386943116</v>
      </c>
      <c r="E5" s="17">
        <f>B46*B57</f>
        <v>422.42863546957943</v>
      </c>
      <c r="F5" s="17">
        <f>B51*B62</f>
        <v>0</v>
      </c>
      <c r="G5" s="18"/>
      <c r="H5" s="17"/>
      <c r="I5" s="17"/>
      <c r="J5" s="17">
        <f>B50*B61+C50*C61</f>
        <v>754.44307180324392</v>
      </c>
      <c r="K5" s="17"/>
      <c r="L5" s="17"/>
      <c r="M5" s="17"/>
      <c r="N5" s="17">
        <f>B48*B59+C48*C59</f>
        <v>4606.8702312655842</v>
      </c>
      <c r="O5" s="17">
        <f>B69*B70*B71</f>
        <v>59.406666666666666</v>
      </c>
      <c r="P5" s="17">
        <f>B77*B78*B79/1000-B77*B78*B79/1000/B80</f>
        <v>76.266666666666666</v>
      </c>
    </row>
    <row r="6" spans="1:16">
      <c r="A6" s="16" t="s">
        <v>632</v>
      </c>
      <c r="B6" s="779">
        <f>kWh_PV_kleiner_dan_10kW</f>
        <v>980.72012004711132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33935.411726153412</v>
      </c>
      <c r="C8" s="21">
        <f>C5</f>
        <v>0</v>
      </c>
      <c r="D8" s="21">
        <f>D5</f>
        <v>86894.40386943116</v>
      </c>
      <c r="E8" s="21">
        <f>E5</f>
        <v>422.42863546957943</v>
      </c>
      <c r="F8" s="21">
        <f>F5</f>
        <v>0</v>
      </c>
      <c r="G8" s="21"/>
      <c r="H8" s="21"/>
      <c r="I8" s="21"/>
      <c r="J8" s="21">
        <f>J5</f>
        <v>754.44307180324392</v>
      </c>
      <c r="K8" s="21"/>
      <c r="L8" s="21">
        <f>L5</f>
        <v>0</v>
      </c>
      <c r="M8" s="21">
        <f>M5</f>
        <v>0</v>
      </c>
      <c r="N8" s="21">
        <f>N5</f>
        <v>4606.8702312655842</v>
      </c>
      <c r="O8" s="21">
        <f>O5</f>
        <v>59.406666666666666</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0.28696167107282616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9738.1624574813632</v>
      </c>
      <c r="C12" s="23">
        <f ca="1">C10*C8</f>
        <v>0</v>
      </c>
      <c r="D12" s="23">
        <f>D8*D10</f>
        <v>17552.669581625094</v>
      </c>
      <c r="E12" s="23">
        <f>E10*E8</f>
        <v>95.891300251594529</v>
      </c>
      <c r="F12" s="23">
        <f>F10*F8</f>
        <v>0</v>
      </c>
      <c r="G12" s="23"/>
      <c r="H12" s="23"/>
      <c r="I12" s="23"/>
      <c r="J12" s="23">
        <f>J10*J8</f>
        <v>267.07284741834832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5156</v>
      </c>
      <c r="C18" s="167" t="s">
        <v>111</v>
      </c>
      <c r="D18" s="229"/>
      <c r="E18" s="15"/>
    </row>
    <row r="19" spans="1:7">
      <c r="A19" s="172" t="s">
        <v>72</v>
      </c>
      <c r="B19" s="37">
        <f>aantalw2001_ander</f>
        <v>14</v>
      </c>
      <c r="C19" s="167" t="s">
        <v>111</v>
      </c>
      <c r="D19" s="230"/>
      <c r="E19" s="15"/>
    </row>
    <row r="20" spans="1:7">
      <c r="A20" s="172" t="s">
        <v>73</v>
      </c>
      <c r="B20" s="37">
        <f>aantalw2001_propaan</f>
        <v>13</v>
      </c>
      <c r="C20" s="168">
        <f>IF(ISERROR(B20/SUM($B$20,$B$21,$B$22)*100),0,B20/SUM($B$20,$B$21,$B$22)*100)</f>
        <v>1.2609117361784674</v>
      </c>
      <c r="D20" s="230"/>
      <c r="E20" s="15"/>
    </row>
    <row r="21" spans="1:7">
      <c r="A21" s="172" t="s">
        <v>74</v>
      </c>
      <c r="B21" s="37">
        <f>aantalw2001_elektriciteit</f>
        <v>969</v>
      </c>
      <c r="C21" s="168">
        <f>IF(ISERROR(B21/SUM($B$20,$B$21,$B$22)*100),0,B21/SUM($B$20,$B$21,$B$22)*100)</f>
        <v>93.986420950533471</v>
      </c>
      <c r="D21" s="230"/>
      <c r="E21" s="15"/>
    </row>
    <row r="22" spans="1:7">
      <c r="A22" s="172" t="s">
        <v>75</v>
      </c>
      <c r="B22" s="37">
        <f>aantalw2001_hout</f>
        <v>49</v>
      </c>
      <c r="C22" s="168">
        <f>IF(ISERROR(B22/SUM($B$20,$B$21,$B$22)*100),0,B22/SUM($B$20,$B$21,$B$22)*100)</f>
        <v>4.7526673132880699</v>
      </c>
      <c r="D22" s="230"/>
      <c r="E22" s="15"/>
    </row>
    <row r="23" spans="1:7">
      <c r="A23" s="172" t="s">
        <v>76</v>
      </c>
      <c r="B23" s="37">
        <f>aantalw2001_niet_gespec</f>
        <v>101</v>
      </c>
      <c r="C23" s="167" t="s">
        <v>111</v>
      </c>
      <c r="D23" s="229"/>
      <c r="E23" s="15"/>
    </row>
    <row r="24" spans="1:7">
      <c r="A24" s="172" t="s">
        <v>77</v>
      </c>
      <c r="B24" s="37">
        <f>aantalw2001_steenkool</f>
        <v>138</v>
      </c>
      <c r="C24" s="167" t="s">
        <v>111</v>
      </c>
      <c r="D24" s="230"/>
      <c r="E24" s="15"/>
    </row>
    <row r="25" spans="1:7">
      <c r="A25" s="172" t="s">
        <v>78</v>
      </c>
      <c r="B25" s="37">
        <f>aantalw2001_stookolie</f>
        <v>696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7932</v>
      </c>
      <c r="C28" s="36"/>
      <c r="D28" s="229"/>
    </row>
    <row r="29" spans="1:7" s="15" customFormat="1">
      <c r="A29" s="231" t="s">
        <v>713</v>
      </c>
      <c r="B29" s="37">
        <f>SUM(HH_hh_gas_aantal,HH_rest_gas_aantal)</f>
        <v>6273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6273</v>
      </c>
      <c r="C32" s="168">
        <f>IF(ISERROR(B32/SUM($B$32,$B$34,$B$35,$B$36,$B$38,$B$39)*100),0,B32/SUM($B$32,$B$34,$B$35,$B$36,$B$38,$B$39)*100)</f>
        <v>79.124621594349136</v>
      </c>
      <c r="D32" s="234"/>
      <c r="G32" s="15"/>
    </row>
    <row r="33" spans="1:7">
      <c r="A33" s="172" t="s">
        <v>72</v>
      </c>
      <c r="B33" s="34" t="s">
        <v>111</v>
      </c>
      <c r="C33" s="168"/>
      <c r="D33" s="234"/>
      <c r="G33" s="15"/>
    </row>
    <row r="34" spans="1:7">
      <c r="A34" s="172" t="s">
        <v>73</v>
      </c>
      <c r="B34" s="33">
        <f>IF((($B$28-$B$32-$B$39-$B$77-$B$38)*C20/100)&lt;0,0,($B$28-$B$32-$B$39-$B$77-$B$38)*C20/100)</f>
        <v>20.536469447138696</v>
      </c>
      <c r="C34" s="168">
        <f>IF(ISERROR(B34/SUM($B$32,$B$34,$B$35,$B$36,$B$38,$B$39)*100),0,B34/SUM($B$32,$B$34,$B$35,$B$36,$B$38,$B$39)*100)</f>
        <v>0.25903720291547294</v>
      </c>
      <c r="D34" s="234"/>
      <c r="G34" s="15"/>
    </row>
    <row r="35" spans="1:7">
      <c r="A35" s="172" t="s">
        <v>74</v>
      </c>
      <c r="B35" s="33">
        <f>IF((($B$28-$B$32-$B$39-$B$77-$B$38)*C21/100)&lt;0,0,($B$28-$B$32-$B$39-$B$77-$B$38)*C21/100)</f>
        <v>1530.7568380213386</v>
      </c>
      <c r="C35" s="168">
        <f>IF(ISERROR(B35/SUM($B$32,$B$34,$B$35,$B$36,$B$38,$B$39)*100),0,B35/SUM($B$32,$B$34,$B$35,$B$36,$B$38,$B$39)*100)</f>
        <v>19.308234586545641</v>
      </c>
      <c r="D35" s="234"/>
      <c r="G35" s="15"/>
    </row>
    <row r="36" spans="1:7">
      <c r="A36" s="172" t="s">
        <v>75</v>
      </c>
      <c r="B36" s="33">
        <f>IF((($B$28-$B$32-$B$39-$B$77-$B$38)*C22/100)&lt;0,0,($B$28-$B$32-$B$39-$B$77-$B$38)*C22/100)</f>
        <v>77.406692531522793</v>
      </c>
      <c r="C36" s="168">
        <f>IF(ISERROR(B36/SUM($B$32,$B$34,$B$35,$B$36,$B$38,$B$39)*100),0,B36/SUM($B$32,$B$34,$B$35,$B$36,$B$38,$B$39)*100)</f>
        <v>0.97637099560447504</v>
      </c>
      <c r="D36" s="234"/>
      <c r="G36" s="15"/>
    </row>
    <row r="37" spans="1:7">
      <c r="A37" s="172" t="s">
        <v>76</v>
      </c>
      <c r="B37" s="34" t="s">
        <v>111</v>
      </c>
      <c r="C37" s="168"/>
      <c r="D37" s="174"/>
      <c r="G37" s="15"/>
    </row>
    <row r="38" spans="1:7">
      <c r="A38" s="172" t="s">
        <v>77</v>
      </c>
      <c r="B38" s="33">
        <f>IF((B24-(B29-B18)*0.1)&lt;0,0,B24-(B29-B18)*0.1)</f>
        <v>26.299999999999997</v>
      </c>
      <c r="C38" s="168">
        <f>IF(ISERROR(B38/SUM($B$32,$B$34,$B$35,$B$36,$B$38,$B$39)*100),0,B38/SUM($B$32,$B$34,$B$35,$B$36,$B$38,$B$39)*100)</f>
        <v>0.33173562058526734</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6273</v>
      </c>
      <c r="C44" s="34" t="s">
        <v>111</v>
      </c>
      <c r="D44" s="175"/>
    </row>
    <row r="45" spans="1:7">
      <c r="A45" s="172" t="s">
        <v>72</v>
      </c>
      <c r="B45" s="33" t="str">
        <f t="shared" si="0"/>
        <v>-</v>
      </c>
      <c r="C45" s="34" t="s">
        <v>111</v>
      </c>
      <c r="D45" s="175"/>
    </row>
    <row r="46" spans="1:7">
      <c r="A46" s="172" t="s">
        <v>73</v>
      </c>
      <c r="B46" s="33">
        <f t="shared" si="0"/>
        <v>20.536469447138696</v>
      </c>
      <c r="C46" s="34" t="s">
        <v>111</v>
      </c>
      <c r="D46" s="175"/>
    </row>
    <row r="47" spans="1:7">
      <c r="A47" s="172" t="s">
        <v>74</v>
      </c>
      <c r="B47" s="33">
        <f t="shared" si="0"/>
        <v>1530.7568380213386</v>
      </c>
      <c r="C47" s="34" t="s">
        <v>111</v>
      </c>
      <c r="D47" s="175"/>
    </row>
    <row r="48" spans="1:7">
      <c r="A48" s="172" t="s">
        <v>75</v>
      </c>
      <c r="B48" s="33">
        <f t="shared" si="0"/>
        <v>77.406692531522793</v>
      </c>
      <c r="C48" s="33">
        <f>B48*10</f>
        <v>774.06692531522799</v>
      </c>
      <c r="D48" s="235"/>
    </row>
    <row r="49" spans="1:6">
      <c r="A49" s="172" t="s">
        <v>76</v>
      </c>
      <c r="B49" s="33" t="str">
        <f t="shared" si="0"/>
        <v>-</v>
      </c>
      <c r="C49" s="34" t="s">
        <v>111</v>
      </c>
      <c r="D49" s="235"/>
    </row>
    <row r="50" spans="1:6">
      <c r="A50" s="172" t="s">
        <v>77</v>
      </c>
      <c r="B50" s="33">
        <f t="shared" si="0"/>
        <v>26.299999999999997</v>
      </c>
      <c r="C50" s="33">
        <f>B50*2</f>
        <v>52.599999999999994</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25665.551243413895</v>
      </c>
      <c r="C5" s="17">
        <f>IF(ISERROR('Eigen informatie GS &amp; warmtenet'!B58),0,'Eigen informatie GS &amp; warmtenet'!B58)</f>
        <v>0</v>
      </c>
      <c r="D5" s="30">
        <f>SUM(D6:D12)</f>
        <v>24449.489945171656</v>
      </c>
      <c r="E5" s="17">
        <f>SUM(E6:E12)</f>
        <v>510.83367936430579</v>
      </c>
      <c r="F5" s="17">
        <f>SUM(F6:F12)</f>
        <v>4648.6020421371368</v>
      </c>
      <c r="G5" s="18"/>
      <c r="H5" s="17"/>
      <c r="I5" s="17"/>
      <c r="J5" s="17">
        <f>SUM(J6:J12)</f>
        <v>0</v>
      </c>
      <c r="K5" s="17"/>
      <c r="L5" s="17"/>
      <c r="M5" s="17"/>
      <c r="N5" s="17">
        <f>SUM(N6:N12)</f>
        <v>992.85103342150865</v>
      </c>
      <c r="O5" s="17">
        <f>B38*B39*B40</f>
        <v>0</v>
      </c>
      <c r="P5" s="17">
        <f>B46*B47*B48/1000-B46*B47*B48/1000/B49</f>
        <v>19.066666666666666</v>
      </c>
      <c r="R5" s="32"/>
    </row>
    <row r="6" spans="1:18">
      <c r="A6" s="32" t="s">
        <v>54</v>
      </c>
      <c r="B6" s="37">
        <f>B26</f>
        <v>8093.2865754447002</v>
      </c>
      <c r="C6" s="33"/>
      <c r="D6" s="37">
        <f>IF(ISERROR(TER_kantoor_gas_kWh/1000),0,TER_kantoor_gas_kWh/1000)*0.902</f>
        <v>7800.8515991120994</v>
      </c>
      <c r="E6" s="33">
        <f>$C$26*'E Balans VL '!I12/100/3.6*1000000</f>
        <v>283.29686707939874</v>
      </c>
      <c r="F6" s="33">
        <f>$C$26*('E Balans VL '!L12+'E Balans VL '!N12)/100/3.6*1000000</f>
        <v>1227.1160059974879</v>
      </c>
      <c r="G6" s="34"/>
      <c r="H6" s="33"/>
      <c r="I6" s="33"/>
      <c r="J6" s="33">
        <f>$C$26*('E Balans VL '!D12+'E Balans VL '!E12)/100/3.6*1000000</f>
        <v>0</v>
      </c>
      <c r="K6" s="33"/>
      <c r="L6" s="33"/>
      <c r="M6" s="33"/>
      <c r="N6" s="33">
        <f>$C$26*'E Balans VL '!Y12/100/3.6*1000000</f>
        <v>62.55857209920427</v>
      </c>
      <c r="O6" s="33"/>
      <c r="P6" s="33"/>
      <c r="R6" s="32"/>
    </row>
    <row r="7" spans="1:18">
      <c r="A7" s="32" t="s">
        <v>53</v>
      </c>
      <c r="B7" s="37">
        <f t="shared" ref="B7:B12" si="0">B27</f>
        <v>937.34222726242194</v>
      </c>
      <c r="C7" s="33"/>
      <c r="D7" s="37">
        <f>IF(ISERROR(TER_horeca_gas_kWh/1000),0,TER_horeca_gas_kWh/1000)*0.902</f>
        <v>1455.7753194533086</v>
      </c>
      <c r="E7" s="33">
        <f>$C$27*'E Balans VL '!I9/100/3.6*1000000</f>
        <v>52.878565233818321</v>
      </c>
      <c r="F7" s="33">
        <f>$C$27*('E Balans VL '!L9+'E Balans VL '!N9)/100/3.6*1000000</f>
        <v>163.29020330760159</v>
      </c>
      <c r="G7" s="34"/>
      <c r="H7" s="33"/>
      <c r="I7" s="33"/>
      <c r="J7" s="33">
        <f>$C$27*('E Balans VL '!D9+'E Balans VL '!E9)/100/3.6*1000000</f>
        <v>0</v>
      </c>
      <c r="K7" s="33"/>
      <c r="L7" s="33"/>
      <c r="M7" s="33"/>
      <c r="N7" s="33">
        <f>$C$27*'E Balans VL '!Y9/100/3.6*1000000</f>
        <v>0</v>
      </c>
      <c r="O7" s="33"/>
      <c r="P7" s="33"/>
      <c r="R7" s="32"/>
    </row>
    <row r="8" spans="1:18">
      <c r="A8" s="6" t="s">
        <v>52</v>
      </c>
      <c r="B8" s="37">
        <f t="shared" si="0"/>
        <v>7741.1059027162501</v>
      </c>
      <c r="C8" s="33"/>
      <c r="D8" s="37">
        <f>IF(ISERROR(TER_handel_gas_kWh/1000),0,TER_handel_gas_kWh/1000)*0.902</f>
        <v>4423.0146338522072</v>
      </c>
      <c r="E8" s="33">
        <f>$C$28*'E Balans VL '!I13/100/3.6*1000000</f>
        <v>39.742051219592199</v>
      </c>
      <c r="F8" s="33">
        <f>$C$28*('E Balans VL '!L13+'E Balans VL '!N13)/100/3.6*1000000</f>
        <v>1193.5589178339037</v>
      </c>
      <c r="G8" s="34"/>
      <c r="H8" s="33"/>
      <c r="I8" s="33"/>
      <c r="J8" s="33">
        <f>$C$28*('E Balans VL '!D13+'E Balans VL '!E13)/100/3.6*1000000</f>
        <v>0</v>
      </c>
      <c r="K8" s="33"/>
      <c r="L8" s="33"/>
      <c r="M8" s="33"/>
      <c r="N8" s="33">
        <f>$C$28*'E Balans VL '!Y13/100/3.6*1000000</f>
        <v>3.6206097236170338</v>
      </c>
      <c r="O8" s="33"/>
      <c r="P8" s="33"/>
      <c r="R8" s="32"/>
    </row>
    <row r="9" spans="1:18">
      <c r="A9" s="32" t="s">
        <v>51</v>
      </c>
      <c r="B9" s="37">
        <f t="shared" si="0"/>
        <v>53.308505095340898</v>
      </c>
      <c r="C9" s="33"/>
      <c r="D9" s="37">
        <f>IF(ISERROR(TER_gezond_gas_kWh/1000),0,TER_gezond_gas_kWh/1000)*0.902</f>
        <v>135.64912372479392</v>
      </c>
      <c r="E9" s="33">
        <f>$C$29*'E Balans VL '!I10/100/3.6*1000000</f>
        <v>2.209599571245207E-2</v>
      </c>
      <c r="F9" s="33">
        <f>$C$29*('E Balans VL '!L10+'E Balans VL '!N10)/100/3.6*1000000</f>
        <v>13.129120259034678</v>
      </c>
      <c r="G9" s="34"/>
      <c r="H9" s="33"/>
      <c r="I9" s="33"/>
      <c r="J9" s="33">
        <f>$C$29*('E Balans VL '!D10+'E Balans VL '!E10)/100/3.6*1000000</f>
        <v>0</v>
      </c>
      <c r="K9" s="33"/>
      <c r="L9" s="33"/>
      <c r="M9" s="33"/>
      <c r="N9" s="33">
        <f>$C$29*'E Balans VL '!Y10/100/3.6*1000000</f>
        <v>0.46071742924370163</v>
      </c>
      <c r="O9" s="33"/>
      <c r="P9" s="33"/>
      <c r="R9" s="32"/>
    </row>
    <row r="10" spans="1:18">
      <c r="A10" s="32" t="s">
        <v>50</v>
      </c>
      <c r="B10" s="37">
        <f t="shared" si="0"/>
        <v>3360.9346416252697</v>
      </c>
      <c r="C10" s="33"/>
      <c r="D10" s="37">
        <f>IF(ISERROR(TER_ander_gas_kWh/1000),0,TER_ander_gas_kWh/1000)*0.902</f>
        <v>2118.6435873042574</v>
      </c>
      <c r="E10" s="33">
        <f>$C$30*'E Balans VL '!I14/100/3.6*1000000</f>
        <v>20.48834049867121</v>
      </c>
      <c r="F10" s="33">
        <f>$C$30*('E Balans VL '!L14+'E Balans VL '!N14)/100/3.6*1000000</f>
        <v>891.02981307695268</v>
      </c>
      <c r="G10" s="34"/>
      <c r="H10" s="33"/>
      <c r="I10" s="33"/>
      <c r="J10" s="33">
        <f>$C$30*('E Balans VL '!D14+'E Balans VL '!E14)/100/3.6*1000000</f>
        <v>0</v>
      </c>
      <c r="K10" s="33"/>
      <c r="L10" s="33"/>
      <c r="M10" s="33"/>
      <c r="N10" s="33">
        <f>$C$30*'E Balans VL '!Y14/100/3.6*1000000</f>
        <v>774.62281044248516</v>
      </c>
      <c r="O10" s="33"/>
      <c r="P10" s="33"/>
      <c r="R10" s="32"/>
    </row>
    <row r="11" spans="1:18">
      <c r="A11" s="32" t="s">
        <v>55</v>
      </c>
      <c r="B11" s="37">
        <f t="shared" si="0"/>
        <v>150.5895617779</v>
      </c>
      <c r="C11" s="33"/>
      <c r="D11" s="37">
        <f>IF(ISERROR(TER_onderwijs_gas_kWh/1000),0,TER_onderwijs_gas_kWh/1000)*0.902</f>
        <v>880.28523419103828</v>
      </c>
      <c r="E11" s="33">
        <f>$C$31*'E Balans VL '!I11/100/3.6*1000000</f>
        <v>0.11475708735607948</v>
      </c>
      <c r="F11" s="33">
        <f>$C$31*('E Balans VL '!L11+'E Balans VL '!N11)/100/3.6*1000000</f>
        <v>108.97485955384875</v>
      </c>
      <c r="G11" s="34"/>
      <c r="H11" s="33"/>
      <c r="I11" s="33"/>
      <c r="J11" s="33">
        <f>$C$31*('E Balans VL '!D11+'E Balans VL '!E11)/100/3.6*1000000</f>
        <v>0</v>
      </c>
      <c r="K11" s="33"/>
      <c r="L11" s="33"/>
      <c r="M11" s="33"/>
      <c r="N11" s="33">
        <f>$C$31*'E Balans VL '!Y11/100/3.6*1000000</f>
        <v>0.44382342880892306</v>
      </c>
      <c r="O11" s="33"/>
      <c r="P11" s="33"/>
      <c r="R11" s="32"/>
    </row>
    <row r="12" spans="1:18">
      <c r="A12" s="32" t="s">
        <v>260</v>
      </c>
      <c r="B12" s="37">
        <f t="shared" si="0"/>
        <v>5328.98382949201</v>
      </c>
      <c r="C12" s="33"/>
      <c r="D12" s="37">
        <f>IF(ISERROR(TER_rest_gas_kWh/1000),0,TER_rest_gas_kWh/1000)*0.902</f>
        <v>7635.2704475339533</v>
      </c>
      <c r="E12" s="33">
        <f>$C$32*'E Balans VL '!I8/100/3.6*1000000</f>
        <v>114.2910022497568</v>
      </c>
      <c r="F12" s="33">
        <f>$C$32*('E Balans VL '!L8+'E Balans VL '!N8)/100/3.6*1000000</f>
        <v>1051.5031221083084</v>
      </c>
      <c r="G12" s="34"/>
      <c r="H12" s="33"/>
      <c r="I12" s="33"/>
      <c r="J12" s="33">
        <f>$C$32*('E Balans VL '!D8+'E Balans VL '!E8)/100/3.6*1000000</f>
        <v>0</v>
      </c>
      <c r="K12" s="33"/>
      <c r="L12" s="33"/>
      <c r="M12" s="33"/>
      <c r="N12" s="33">
        <f>$C$32*'E Balans VL '!Y8/100/3.6*1000000</f>
        <v>151.14450029814955</v>
      </c>
      <c r="O12" s="33"/>
      <c r="P12" s="33"/>
      <c r="R12" s="32"/>
    </row>
    <row r="13" spans="1:18">
      <c r="A13" s="16" t="s">
        <v>496</v>
      </c>
      <c r="B13" s="248">
        <f ca="1">'lokale energieproductie'!N91+'lokale energieproductie'!N60</f>
        <v>1.875</v>
      </c>
      <c r="C13" s="248">
        <f ca="1">'lokale energieproductie'!O91+'lokale energieproductie'!O60</f>
        <v>2.6785714285714288</v>
      </c>
      <c r="D13" s="311">
        <f ca="1">('lokale energieproductie'!P60+'lokale energieproductie'!P91)*(-1)</f>
        <v>-5.3571428571428577</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25667.426243413895</v>
      </c>
      <c r="C16" s="21">
        <f ca="1">C5+C13+C14</f>
        <v>2.6785714285714288</v>
      </c>
      <c r="D16" s="21">
        <f t="shared" ref="D16:N16" ca="1" si="1">MAX((D5+D13+D14),0)</f>
        <v>24444.132802314514</v>
      </c>
      <c r="E16" s="21">
        <f t="shared" si="1"/>
        <v>510.83367936430579</v>
      </c>
      <c r="F16" s="21">
        <f t="shared" ca="1" si="1"/>
        <v>4648.6020421371368</v>
      </c>
      <c r="G16" s="21">
        <f t="shared" si="1"/>
        <v>0</v>
      </c>
      <c r="H16" s="21">
        <f t="shared" si="1"/>
        <v>0</v>
      </c>
      <c r="I16" s="21">
        <f t="shared" si="1"/>
        <v>0</v>
      </c>
      <c r="J16" s="21">
        <f t="shared" si="1"/>
        <v>0</v>
      </c>
      <c r="K16" s="21">
        <f t="shared" si="1"/>
        <v>0</v>
      </c>
      <c r="L16" s="21">
        <f t="shared" ca="1" si="1"/>
        <v>0</v>
      </c>
      <c r="M16" s="21">
        <f t="shared" si="1"/>
        <v>0</v>
      </c>
      <c r="N16" s="21">
        <f t="shared" ca="1" si="1"/>
        <v>992.85103342150865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0.28696167107282616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7365.5675269485637</v>
      </c>
      <c r="C20" s="23">
        <f t="shared" ref="C20:P20" ca="1" si="2">C16*C18</f>
        <v>0.63655462184873957</v>
      </c>
      <c r="D20" s="23">
        <f t="shared" ca="1" si="2"/>
        <v>4937.7148260675322</v>
      </c>
      <c r="E20" s="23">
        <f t="shared" si="2"/>
        <v>115.95924521569742</v>
      </c>
      <c r="F20" s="23">
        <f t="shared" ca="1" si="2"/>
        <v>1241.1767452506156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8093.2865754447002</v>
      </c>
      <c r="C26" s="39">
        <f>IF(ISERROR(B26*3.6/1000000/'E Balans VL '!Z12*100),0,B26*3.6/1000000/'E Balans VL '!Z12*100)</f>
        <v>0.17030979427473253</v>
      </c>
      <c r="D26" s="238" t="s">
        <v>719</v>
      </c>
      <c r="F26" s="6"/>
    </row>
    <row r="27" spans="1:18">
      <c r="A27" s="232" t="s">
        <v>53</v>
      </c>
      <c r="B27" s="33">
        <f>IF(ISERROR(TER_horeca_ele_kWh/1000),0,TER_horeca_ele_kWh/1000)</f>
        <v>937.34222726242194</v>
      </c>
      <c r="C27" s="39">
        <f>IF(ISERROR(B27*3.6/1000000/'E Balans VL '!Z9*100),0,B27*3.6/1000000/'E Balans VL '!Z9*100)</f>
        <v>7.9362132475042299E-2</v>
      </c>
      <c r="D27" s="238" t="s">
        <v>719</v>
      </c>
      <c r="F27" s="6"/>
    </row>
    <row r="28" spans="1:18">
      <c r="A28" s="172" t="s">
        <v>52</v>
      </c>
      <c r="B28" s="33">
        <f>IF(ISERROR(TER_handel_ele_kWh/1000),0,TER_handel_ele_kWh/1000)</f>
        <v>7741.1059027162501</v>
      </c>
      <c r="C28" s="39">
        <f>IF(ISERROR(B28*3.6/1000000/'E Balans VL '!Z13*100),0,B28*3.6/1000000/'E Balans VL '!Z13*100)</f>
        <v>0.21431144648396244</v>
      </c>
      <c r="D28" s="238" t="s">
        <v>719</v>
      </c>
      <c r="F28" s="6"/>
    </row>
    <row r="29" spans="1:18">
      <c r="A29" s="232" t="s">
        <v>51</v>
      </c>
      <c r="B29" s="33">
        <f>IF(ISERROR(TER_gezond_ele_kWh/1000),0,TER_gezond_ele_kWh/1000)</f>
        <v>53.308505095340898</v>
      </c>
      <c r="C29" s="39">
        <f>IF(ISERROR(B29*3.6/1000000/'E Balans VL '!Z10*100),0,B29*3.6/1000000/'E Balans VL '!Z10*100)</f>
        <v>6.9295146687115465E-3</v>
      </c>
      <c r="D29" s="238" t="s">
        <v>719</v>
      </c>
      <c r="F29" s="6"/>
    </row>
    <row r="30" spans="1:18">
      <c r="A30" s="232" t="s">
        <v>50</v>
      </c>
      <c r="B30" s="33">
        <f>IF(ISERROR(TER_ander_ele_kWh/1000),0,TER_ander_ele_kWh/1000)</f>
        <v>3360.9346416252697</v>
      </c>
      <c r="C30" s="39">
        <f>IF(ISERROR(B30*3.6/1000000/'E Balans VL '!Z14*100),0,B30*3.6/1000000/'E Balans VL '!Z14*100)</f>
        <v>0.26050325685115566</v>
      </c>
      <c r="D30" s="238" t="s">
        <v>719</v>
      </c>
      <c r="F30" s="6"/>
    </row>
    <row r="31" spans="1:18">
      <c r="A31" s="232" t="s">
        <v>55</v>
      </c>
      <c r="B31" s="33">
        <f>IF(ISERROR(TER_onderwijs_ele_kWh/1000),0,TER_onderwijs_ele_kWh/1000)</f>
        <v>150.5895617779</v>
      </c>
      <c r="C31" s="39">
        <f>IF(ISERROR(B31*3.6/1000000/'E Balans VL '!Z11*100),0,B31*3.6/1000000/'E Balans VL '!Z11*100)</f>
        <v>2.8810349159943075E-2</v>
      </c>
      <c r="D31" s="238" t="s">
        <v>719</v>
      </c>
    </row>
    <row r="32" spans="1:18">
      <c r="A32" s="232" t="s">
        <v>260</v>
      </c>
      <c r="B32" s="33">
        <f>IF(ISERROR(TER_rest_ele_kWh/1000),0,TER_rest_ele_kWh/1000)</f>
        <v>5328.98382949201</v>
      </c>
      <c r="C32" s="39">
        <f>IF(ISERROR(B32*3.6/1000000/'E Balans VL '!Z8*100),0,B32*3.6/1000000/'E Balans VL '!Z8*100)</f>
        <v>4.3941563883780566E-2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39347.006339375279</v>
      </c>
      <c r="C5" s="17">
        <f>IF(ISERROR('Eigen informatie GS &amp; warmtenet'!B59),0,'Eigen informatie GS &amp; warmtenet'!B59)</f>
        <v>0</v>
      </c>
      <c r="D5" s="30">
        <f>SUM(D6:D15)</f>
        <v>10310.187072619932</v>
      </c>
      <c r="E5" s="17">
        <f>SUM(E6:E15)</f>
        <v>351.25654873953226</v>
      </c>
      <c r="F5" s="17">
        <f>SUM(F6:F15)</f>
        <v>8253.6021498769005</v>
      </c>
      <c r="G5" s="18"/>
      <c r="H5" s="17"/>
      <c r="I5" s="17"/>
      <c r="J5" s="17">
        <f>SUM(J6:J15)</f>
        <v>229.93724025491144</v>
      </c>
      <c r="K5" s="17"/>
      <c r="L5" s="17"/>
      <c r="M5" s="17"/>
      <c r="N5" s="17">
        <f>SUM(N6:N15)</f>
        <v>763.89296641270198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1810.87339173858</v>
      </c>
      <c r="C9" s="33"/>
      <c r="D9" s="37">
        <f>IF( ISERROR(IND_andere_gas_kWh/1000),0,IND_andere_gas_kWh/1000)*0.902</f>
        <v>2143.5596020700223</v>
      </c>
      <c r="E9" s="33">
        <f>C31*'E Balans VL '!I19/100/3.6*1000000</f>
        <v>30.415837004983601</v>
      </c>
      <c r="F9" s="33">
        <f>C31*'E Balans VL '!L19/100/3.6*1000000+C31*'E Balans VL '!N19/100/3.6*1000000</f>
        <v>1415.637678014016</v>
      </c>
      <c r="G9" s="34"/>
      <c r="H9" s="33"/>
      <c r="I9" s="33"/>
      <c r="J9" s="40">
        <f>C31*'E Balans VL '!D19/100/3.6*1000000+C31*'E Balans VL '!E19/100/3.6*1000000</f>
        <v>0.16332479465836103</v>
      </c>
      <c r="K9" s="33"/>
      <c r="L9" s="33"/>
      <c r="M9" s="33"/>
      <c r="N9" s="33">
        <f>C31*'E Balans VL '!Y19/100/3.6*1000000</f>
        <v>134.21477123366077</v>
      </c>
      <c r="O9" s="33"/>
      <c r="P9" s="33"/>
      <c r="R9" s="32"/>
    </row>
    <row r="10" spans="1:18">
      <c r="A10" s="6" t="s">
        <v>41</v>
      </c>
      <c r="B10" s="37">
        <f t="shared" si="0"/>
        <v>218.288740099172</v>
      </c>
      <c r="C10" s="33"/>
      <c r="D10" s="37">
        <f>IF( ISERROR(IND_voed_gas_kWh/1000),0,IND_voed_gas_kWh/1000)*0.902</f>
        <v>448.11225442507731</v>
      </c>
      <c r="E10" s="33">
        <f>C32*'E Balans VL '!I20/100/3.6*1000000</f>
        <v>1.9915757547832587</v>
      </c>
      <c r="F10" s="33">
        <f>C32*'E Balans VL '!L20/100/3.6*1000000+C32*'E Balans VL '!N20/100/3.6*1000000</f>
        <v>35.216801450217467</v>
      </c>
      <c r="G10" s="34"/>
      <c r="H10" s="33"/>
      <c r="I10" s="33"/>
      <c r="J10" s="40">
        <f>C32*'E Balans VL '!D20/100/3.6*1000000+C32*'E Balans VL '!E20/100/3.6*1000000</f>
        <v>0.89905614875399065</v>
      </c>
      <c r="K10" s="33"/>
      <c r="L10" s="33"/>
      <c r="M10" s="33"/>
      <c r="N10" s="33">
        <f>C32*'E Balans VL '!Y20/100/3.6*1000000</f>
        <v>3.1933921421484328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48.433065977079401</v>
      </c>
      <c r="C12" s="33"/>
      <c r="D12" s="37">
        <f>IF( ISERROR(IND_min_gas_kWh/1000),0,IND_min_gas_kWh/1000)*0.902</f>
        <v>37.738907516319088</v>
      </c>
      <c r="E12" s="33">
        <f>C34*'E Balans VL '!I22/100/3.6*1000000</f>
        <v>1.2012974944691515</v>
      </c>
      <c r="F12" s="33">
        <f>C34*'E Balans VL '!L22/100/3.6*1000000+C34*'E Balans VL '!N22/100/3.6*1000000</f>
        <v>5.1464770064902945</v>
      </c>
      <c r="G12" s="34"/>
      <c r="H12" s="33"/>
      <c r="I12" s="33"/>
      <c r="J12" s="40">
        <f>C34*'E Balans VL '!D22/100/3.6*1000000+C34*'E Balans VL '!E22/100/3.6*1000000</f>
        <v>0.27512823344226039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3319.0512746397499</v>
      </c>
      <c r="C14" s="33"/>
      <c r="D14" s="37">
        <f>IF( ISERROR(IND_chemie_gas_kWh/1000),0,IND_chemie_gas_kWh/1000)*0.902</f>
        <v>0</v>
      </c>
      <c r="E14" s="33">
        <f>C36*'E Balans VL '!I24/100/3.6*1000000</f>
        <v>11.253869873005209</v>
      </c>
      <c r="F14" s="33">
        <f>C36*'E Balans VL '!L24/100/3.6*1000000+C36*'E Balans VL '!N24/100/3.6*1000000</f>
        <v>10.651639700271922</v>
      </c>
      <c r="G14" s="34"/>
      <c r="H14" s="33"/>
      <c r="I14" s="33"/>
      <c r="J14" s="40">
        <f>C36*'E Balans VL '!D24/100/3.6*1000000+C36*'E Balans VL '!E24/100/3.6*1000000</f>
        <v>0</v>
      </c>
      <c r="K14" s="33"/>
      <c r="L14" s="33"/>
      <c r="M14" s="33"/>
      <c r="N14" s="33">
        <f>C36*'E Balans VL '!Y24/100/3.6*1000000</f>
        <v>15.518984281315882</v>
      </c>
      <c r="O14" s="33"/>
      <c r="P14" s="33"/>
      <c r="R14" s="32"/>
    </row>
    <row r="15" spans="1:18">
      <c r="A15" s="6" t="s">
        <v>270</v>
      </c>
      <c r="B15" s="37">
        <f t="shared" si="0"/>
        <v>33950.359866920699</v>
      </c>
      <c r="C15" s="33"/>
      <c r="D15" s="37">
        <f>IF( ISERROR(IND_rest_gas_kWh/1000),0,IND_rest_gas_kWh/1000)*0.902</f>
        <v>7680.7763086085133</v>
      </c>
      <c r="E15" s="33">
        <f>C37*'E Balans VL '!I15/100/3.6*1000000</f>
        <v>306.39396861229102</v>
      </c>
      <c r="F15" s="33">
        <f>C37*'E Balans VL '!L15/100/3.6*1000000+C37*'E Balans VL '!N15/100/3.6*1000000</f>
        <v>6786.9495537059047</v>
      </c>
      <c r="G15" s="34"/>
      <c r="H15" s="33"/>
      <c r="I15" s="33"/>
      <c r="J15" s="40">
        <f>C37*'E Balans VL '!D15/100/3.6*1000000+C37*'E Balans VL '!E15/100/3.6*1000000</f>
        <v>228.59973107805683</v>
      </c>
      <c r="K15" s="33"/>
      <c r="L15" s="33"/>
      <c r="M15" s="33"/>
      <c r="N15" s="33">
        <f>C37*'E Balans VL '!Y15/100/3.6*1000000</f>
        <v>610.96581875557683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39347.006339375279</v>
      </c>
      <c r="C18" s="21">
        <f>C5+C16</f>
        <v>0</v>
      </c>
      <c r="D18" s="21">
        <f>MAX((D5+D16),0)</f>
        <v>10310.187072619932</v>
      </c>
      <c r="E18" s="21">
        <f>MAX((E5+E16),0)</f>
        <v>351.25654873953226</v>
      </c>
      <c r="F18" s="21">
        <f>MAX((F5+F16),0)</f>
        <v>8253.6021498769005</v>
      </c>
      <c r="G18" s="21"/>
      <c r="H18" s="21"/>
      <c r="I18" s="21"/>
      <c r="J18" s="21">
        <f>MAX((J5+J16),0)</f>
        <v>229.93724025491144</v>
      </c>
      <c r="K18" s="21"/>
      <c r="L18" s="21">
        <f>MAX((L5+L16),0)</f>
        <v>0</v>
      </c>
      <c r="M18" s="21"/>
      <c r="N18" s="21">
        <f>MAX((N5+N16),0)</f>
        <v>763.89296641270198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0.28696167107282616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11291.082690860214</v>
      </c>
      <c r="C22" s="23">
        <f ca="1">C18*C20</f>
        <v>0</v>
      </c>
      <c r="D22" s="23">
        <f>D18*D20</f>
        <v>2082.6577886692266</v>
      </c>
      <c r="E22" s="23">
        <f>E18*E20</f>
        <v>79.735236563873826</v>
      </c>
      <c r="F22" s="23">
        <f>F18*F20</f>
        <v>2203.7117740171325</v>
      </c>
      <c r="G22" s="23"/>
      <c r="H22" s="23"/>
      <c r="I22" s="23"/>
      <c r="J22" s="23">
        <f>J18*J20</f>
        <v>81.397783050238644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1810.87339173858</v>
      </c>
      <c r="C31" s="39">
        <f>IF(ISERROR(B31*3.6/1000000/'E Balans VL '!Z19*100),0,B31*3.6/1000000/'E Balans VL '!Z19*100)</f>
        <v>8.026884106076447E-2</v>
      </c>
      <c r="D31" s="238" t="s">
        <v>719</v>
      </c>
    </row>
    <row r="32" spans="1:18">
      <c r="A32" s="172" t="s">
        <v>41</v>
      </c>
      <c r="B32" s="37">
        <f>IF( ISERROR(IND_voed_ele_kWh/1000),0,IND_voed_ele_kWh/1000)</f>
        <v>218.288740099172</v>
      </c>
      <c r="C32" s="39">
        <f>IF(ISERROR(B32*3.6/1000000/'E Balans VL '!Z20*100),0,B32*3.6/1000000/'E Balans VL '!Z20*100)</f>
        <v>7.2914701086629497E-3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48.433065977079401</v>
      </c>
      <c r="C34" s="39">
        <f>IF(ISERROR(B34*3.6/1000000/'E Balans VL '!Z22*100),0,B34*3.6/1000000/'E Balans VL '!Z22*100)</f>
        <v>9.4196993255532928E-3</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3319.0512746397499</v>
      </c>
      <c r="C36" s="39">
        <f>IF(ISERROR(B36*3.6/1000000/'E Balans VL '!Z24*100),0,B36*3.6/1000000/'E Balans VL '!Z24*100)</f>
        <v>7.794026345591451E-2</v>
      </c>
      <c r="D36" s="238" t="s">
        <v>719</v>
      </c>
    </row>
    <row r="37" spans="1:5">
      <c r="A37" s="172" t="s">
        <v>270</v>
      </c>
      <c r="B37" s="37">
        <f>IF( ISERROR(IND_rest_ele_kWh/1000),0,IND_rest_ele_kWh/1000)</f>
        <v>33950.359866920699</v>
      </c>
      <c r="C37" s="39">
        <f>IF(ISERROR(B37*3.6/1000000/'E Balans VL '!Z15*100),0,B37*3.6/1000000/'E Balans VL '!Z15*100)</f>
        <v>0.2525353675425025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1015.1460662446906</v>
      </c>
      <c r="C5" s="17">
        <f>'Eigen informatie GS &amp; warmtenet'!B60</f>
        <v>0</v>
      </c>
      <c r="D5" s="30">
        <f>IF(ISERROR(SUM(LB_lb_gas_kWh,LB_rest_gas_kWh)/1000),0,SUM(LB_lb_gas_kWh,LB_rest_gas_kWh)/1000)*0.902</f>
        <v>49306.871784976</v>
      </c>
      <c r="E5" s="17">
        <f>B17*'E Balans VL '!I25/3.6*1000000/100</f>
        <v>10.630829375875564</v>
      </c>
      <c r="F5" s="17">
        <f>B17*('E Balans VL '!L25/3.6*1000000+'E Balans VL '!N25/3.6*1000000)/100</f>
        <v>4345.5965107194415</v>
      </c>
      <c r="G5" s="18"/>
      <c r="H5" s="17"/>
      <c r="I5" s="17"/>
      <c r="J5" s="17">
        <f>('E Balans VL '!D25+'E Balans VL '!E25)/3.6*1000000*landbouw!B17/100</f>
        <v>90.661642625066918</v>
      </c>
      <c r="K5" s="17"/>
      <c r="L5" s="17">
        <f>L6*(-1)</f>
        <v>0</v>
      </c>
      <c r="M5" s="17"/>
      <c r="N5" s="17">
        <f>N6*(-1)</f>
        <v>0</v>
      </c>
      <c r="O5" s="17"/>
      <c r="P5" s="17"/>
      <c r="R5" s="32"/>
    </row>
    <row r="6" spans="1:18">
      <c r="A6" s="16" t="s">
        <v>496</v>
      </c>
      <c r="B6" s="17" t="s">
        <v>211</v>
      </c>
      <c r="C6" s="17">
        <f>'lokale energieproductie'!O92+'lokale energieproductie'!O61</f>
        <v>44145</v>
      </c>
      <c r="D6" s="311">
        <f>('lokale energieproductie'!P61+'lokale energieproductie'!P92)*(-1)</f>
        <v>-88290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1015.1460662446906</v>
      </c>
      <c r="C8" s="21">
        <f>C5+C6</f>
        <v>44145</v>
      </c>
      <c r="D8" s="21">
        <f>MAX((D5+D6),0)</f>
        <v>0</v>
      </c>
      <c r="E8" s="21">
        <f>MAX((E5+E6),0)</f>
        <v>10.630829375875564</v>
      </c>
      <c r="F8" s="21">
        <f>MAX((F5+F6),0)</f>
        <v>4345.5965107194415</v>
      </c>
      <c r="G8" s="21"/>
      <c r="H8" s="21"/>
      <c r="I8" s="21"/>
      <c r="J8" s="21">
        <f>MAX((J5+J6),0)</f>
        <v>90.661642625066918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0.28696167107282616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291.30801155258229</v>
      </c>
      <c r="C12" s="23">
        <f ca="1">C8*C10</f>
        <v>10490.929411764706</v>
      </c>
      <c r="D12" s="23">
        <f>D8*D10</f>
        <v>0</v>
      </c>
      <c r="E12" s="23">
        <f>E8*E10</f>
        <v>2.4131982683237529</v>
      </c>
      <c r="F12" s="23">
        <f>F8*F10</f>
        <v>1160.2742683620909</v>
      </c>
      <c r="G12" s="23"/>
      <c r="H12" s="23"/>
      <c r="I12" s="23"/>
      <c r="J12" s="23">
        <f>J8*J10</f>
        <v>32.094221489273686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0.15625057553543556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10.154754187305223</v>
      </c>
      <c r="C26" s="248">
        <f>B26*'GWP N2O_CH4'!B5</f>
        <v>213.24983793340968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5.2549759082354583</v>
      </c>
      <c r="C27" s="248">
        <f>B27*'GWP N2O_CH4'!B5</f>
        <v>110.35449407294462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0.1438441910661549</v>
      </c>
      <c r="C28" s="248">
        <f>B28*'GWP N2O_CH4'!B4</f>
        <v>44.59169923050802</v>
      </c>
      <c r="D28" s="50"/>
    </row>
    <row r="29" spans="1:4">
      <c r="A29" s="41" t="s">
        <v>277</v>
      </c>
      <c r="B29" s="248">
        <f>B34*'ha_N2O bodem landbouw'!B4</f>
        <v>3.2569365764227975</v>
      </c>
      <c r="C29" s="248">
        <f>B29*'GWP N2O_CH4'!B4</f>
        <v>1009.6503386910672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5.3825154487114669E-4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5.2942245126967677E-6</v>
      </c>
      <c r="C5" s="446" t="s">
        <v>211</v>
      </c>
      <c r="D5" s="431">
        <f>SUM(D6:D11)</f>
        <v>2.4633738215129755E-5</v>
      </c>
      <c r="E5" s="431">
        <f>SUM(E6:E11)</f>
        <v>2.9954719937286059E-3</v>
      </c>
      <c r="F5" s="444" t="s">
        <v>211</v>
      </c>
      <c r="G5" s="431">
        <f>SUM(G6:G11)</f>
        <v>0.67451268647985996</v>
      </c>
      <c r="H5" s="431">
        <f>SUM(H6:H11)</f>
        <v>8.5944046366597512E-2</v>
      </c>
      <c r="I5" s="446" t="s">
        <v>211</v>
      </c>
      <c r="J5" s="446" t="s">
        <v>211</v>
      </c>
      <c r="K5" s="446" t="s">
        <v>211</v>
      </c>
      <c r="L5" s="446" t="s">
        <v>211</v>
      </c>
      <c r="M5" s="431">
        <f>SUM(M6:M11)</f>
        <v>3.3103210055649937E-2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1.0383621448781034E-6</v>
      </c>
      <c r="C6" s="432"/>
      <c r="D6" s="432">
        <f>vkm_2011_GW_PW*SUMIFS(TableVerdeelsleutelVkm[CNG],TableVerdeelsleutelVkm[Voertuigtype],"Lichte voertuigen")*SUMIFS(TableECFTransport[EnergieConsumptieFactor (PJ per km)],TableECFTransport[Index],CONCATENATE($A6,"_CNG_CNG"))</f>
        <v>4.4762585074870475E-6</v>
      </c>
      <c r="E6" s="434">
        <f>vkm_2011_GW_PW*SUMIFS(TableVerdeelsleutelVkm[LPG],TableVerdeelsleutelVkm[Voertuigtype],"Lichte voertuigen")*SUMIFS(TableECFTransport[EnergieConsumptieFactor (PJ per km)],TableECFTransport[Index],CONCATENATE($A6,"_LPG_LPG"))</f>
        <v>4.6572723195827977E-4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5.7285728082005188E-2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1.5082145070699084E-2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3.1715071464310748E-3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2.9007433256228562E-2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9.946246888782758E-6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1.2530667661641097E-3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3.5169112680555121E-7</v>
      </c>
      <c r="C8" s="432"/>
      <c r="D8" s="434">
        <f>vkm_2011_NGW_PW*SUMIFS(TableVerdeelsleutelVkm[CNG],TableVerdeelsleutelVkm[Voertuigtype],"Lichte voertuigen")*SUMIFS(TableECFTransport[EnergieConsumptieFactor (PJ per km)],TableECFTransport[Index],CONCATENATE($A8,"_CNG_CNG"))</f>
        <v>2.7199195510619946E-6</v>
      </c>
      <c r="E8" s="434">
        <f>vkm_2011_NGW_PW*SUMIFS(TableVerdeelsleutelVkm[LPG],TableVerdeelsleutelVkm[Voertuigtype],"Lichte voertuigen")*SUMIFS(TableECFTransport[EnergieConsumptieFactor (PJ per km)],TableECFTransport[Index],CONCATENATE($A8,"_LPG_LPG"))</f>
        <v>2.5839171772285024E-4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3.0145348086523659E-2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8.7480443814683777E-3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1.7064751345192573E-3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2.1214185626208189E-2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6.3191485785027175E-6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9.1636889175875807E-4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3.9041712410131129E-6</v>
      </c>
      <c r="C10" s="432"/>
      <c r="D10" s="434">
        <f>vkm_2011_SW_PW*SUMIFS(TableVerdeelsleutelVkm[CNG],TableVerdeelsleutelVkm[Voertuigtype],"Lichte voertuigen")*SUMIFS(TableECFTransport[EnergieConsumptieFactor (PJ per km)],TableECFTransport[Index],CONCATENATE($A10,"_CNG_CNG"))</f>
        <v>1.7437560156580713E-5</v>
      </c>
      <c r="E10" s="434">
        <f>vkm_2011_SW_PW*SUMIFS(TableVerdeelsleutelVkm[LPG],TableVerdeelsleutelVkm[Voertuigtype],"Lichte voertuigen")*SUMIFS(TableECFTransport[EnergieConsumptieFactor (PJ per km)],TableECFTransport[Index],CONCATENATE($A10,"_LPG_LPG"))</f>
        <v>2.271353044047476E-3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0.25684778311293599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6.1995150288394814E-2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1.3959491933371801E-2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0.28001220831595836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1.0244123056794773E-4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1.2096300183404938E-2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1.4706179201935465</v>
      </c>
      <c r="C14" s="21"/>
      <c r="D14" s="21">
        <f t="shared" ref="D14:M14" si="0">((D5)*10^9/3600)+D12</f>
        <v>6.8427050597582646</v>
      </c>
      <c r="E14" s="21">
        <f t="shared" si="0"/>
        <v>832.07555381350164</v>
      </c>
      <c r="F14" s="21"/>
      <c r="G14" s="21">
        <f t="shared" si="0"/>
        <v>187364.63513329442</v>
      </c>
      <c r="H14" s="21">
        <f t="shared" si="0"/>
        <v>23873.346212943754</v>
      </c>
      <c r="I14" s="21"/>
      <c r="J14" s="21"/>
      <c r="K14" s="21"/>
      <c r="L14" s="21"/>
      <c r="M14" s="21">
        <f t="shared" si="0"/>
        <v>9195.3361265694275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0.28696167107282616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0.42201097588838421</v>
      </c>
      <c r="C18" s="23"/>
      <c r="D18" s="23">
        <f t="shared" ref="D18:M18" si="1">D14*D16</f>
        <v>1.3822264220711695</v>
      </c>
      <c r="E18" s="23">
        <f t="shared" si="1"/>
        <v>188.88115071566489</v>
      </c>
      <c r="F18" s="23"/>
      <c r="G18" s="23">
        <f t="shared" si="1"/>
        <v>50026.357580589611</v>
      </c>
      <c r="H18" s="23">
        <f t="shared" si="1"/>
        <v>5944.4632070229945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3.7504730252712645E-3</v>
      </c>
      <c r="C50" s="322">
        <f t="shared" ref="C50:P50" si="2">SUM(C51:C52)</f>
        <v>0</v>
      </c>
      <c r="D50" s="322">
        <f t="shared" si="2"/>
        <v>0</v>
      </c>
      <c r="E50" s="322">
        <f t="shared" si="2"/>
        <v>0</v>
      </c>
      <c r="F50" s="322">
        <f t="shared" si="2"/>
        <v>0</v>
      </c>
      <c r="G50" s="322">
        <f t="shared" si="2"/>
        <v>4.2505266995382695E-3</v>
      </c>
      <c r="H50" s="322">
        <f t="shared" si="2"/>
        <v>0</v>
      </c>
      <c r="I50" s="322">
        <f t="shared" si="2"/>
        <v>0</v>
      </c>
      <c r="J50" s="322">
        <f t="shared" si="2"/>
        <v>0</v>
      </c>
      <c r="K50" s="322">
        <f t="shared" si="2"/>
        <v>0</v>
      </c>
      <c r="L50" s="322">
        <f t="shared" si="2"/>
        <v>0</v>
      </c>
      <c r="M50" s="322">
        <f t="shared" si="2"/>
        <v>1.8118148688767375E-4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4.2505266995382695E-3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1.8118148688767375E-4</v>
      </c>
      <c r="N51" s="324"/>
      <c r="O51" s="324"/>
      <c r="P51" s="327"/>
    </row>
    <row r="52" spans="1:18">
      <c r="A52" s="4" t="s">
        <v>330</v>
      </c>
      <c r="B52" s="328">
        <f>vkm_2011_tram*SUMIFS(TableECFTransport[EnergieConsumptieFactor (PJ per km)],TableECFTransport[Index],"Tram_gemiddeld_Electric_Electric")</f>
        <v>3.7504730252712645E-3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1041.7980625753512</v>
      </c>
      <c r="C54" s="21">
        <f t="shared" ref="C54:P54" si="3">(C50)*10^9/3600</f>
        <v>0</v>
      </c>
      <c r="D54" s="21">
        <f t="shared" si="3"/>
        <v>0</v>
      </c>
      <c r="E54" s="21">
        <f t="shared" si="3"/>
        <v>0</v>
      </c>
      <c r="F54" s="21">
        <f t="shared" si="3"/>
        <v>0</v>
      </c>
      <c r="G54" s="21">
        <f t="shared" si="3"/>
        <v>1180.7018609828526</v>
      </c>
      <c r="H54" s="21">
        <f t="shared" si="3"/>
        <v>0</v>
      </c>
      <c r="I54" s="21">
        <f t="shared" si="3"/>
        <v>0</v>
      </c>
      <c r="J54" s="21">
        <f t="shared" si="3"/>
        <v>0</v>
      </c>
      <c r="K54" s="21">
        <f t="shared" si="3"/>
        <v>0</v>
      </c>
      <c r="L54" s="21">
        <f t="shared" si="3"/>
        <v>0</v>
      </c>
      <c r="M54" s="21">
        <f t="shared" si="3"/>
        <v>50.328190802131601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0.28696167107282616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298.9561129570555</v>
      </c>
      <c r="C58" s="23">
        <f t="shared" ref="C58:P58" ca="1" si="4">C54*C56</f>
        <v>0</v>
      </c>
      <c r="D58" s="23">
        <f t="shared" si="4"/>
        <v>0</v>
      </c>
      <c r="E58" s="23">
        <f t="shared" si="4"/>
        <v>0</v>
      </c>
      <c r="F58" s="23">
        <f t="shared" si="4"/>
        <v>0</v>
      </c>
      <c r="G58" s="23">
        <f t="shared" si="4"/>
        <v>315.24739688242164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26692.137243413894</v>
      </c>
      <c r="D10" s="687">
        <f ca="1">tertiair!C16</f>
        <v>2.6785714285714288</v>
      </c>
      <c r="E10" s="687">
        <f ca="1">tertiair!D16</f>
        <v>24444.132802314514</v>
      </c>
      <c r="F10" s="687">
        <f>tertiair!E16</f>
        <v>510.83367936430579</v>
      </c>
      <c r="G10" s="687">
        <f ca="1">tertiair!F16</f>
        <v>4648.6020421371368</v>
      </c>
      <c r="H10" s="687">
        <f>tertiair!G16</f>
        <v>0</v>
      </c>
      <c r="I10" s="687">
        <f>tertiair!H16</f>
        <v>0</v>
      </c>
      <c r="J10" s="687">
        <f>tertiair!I16</f>
        <v>0</v>
      </c>
      <c r="K10" s="687">
        <f>tertiair!J16</f>
        <v>0</v>
      </c>
      <c r="L10" s="687">
        <f>tertiair!K16</f>
        <v>0</v>
      </c>
      <c r="M10" s="687">
        <f ca="1">tertiair!L16</f>
        <v>0</v>
      </c>
      <c r="N10" s="687">
        <f>tertiair!M16</f>
        <v>0</v>
      </c>
      <c r="O10" s="687">
        <f ca="1">tertiair!N16</f>
        <v>992.85103342150865</v>
      </c>
      <c r="P10" s="687">
        <f>tertiair!O16</f>
        <v>0</v>
      </c>
      <c r="Q10" s="688">
        <f>tertiair!P16</f>
        <v>19.066666666666666</v>
      </c>
      <c r="R10" s="690">
        <f ca="1">SUM(C10:Q10)</f>
        <v>57310.302038746595</v>
      </c>
      <c r="S10" s="67"/>
    </row>
    <row r="11" spans="1:19" s="456" customFormat="1">
      <c r="A11" s="802" t="s">
        <v>225</v>
      </c>
      <c r="B11" s="807"/>
      <c r="C11" s="687">
        <f>huishoudens!B8</f>
        <v>33935.411726153412</v>
      </c>
      <c r="D11" s="687">
        <f>huishoudens!C8</f>
        <v>0</v>
      </c>
      <c r="E11" s="687">
        <f>huishoudens!D8</f>
        <v>86894.40386943116</v>
      </c>
      <c r="F11" s="687">
        <f>huishoudens!E8</f>
        <v>422.42863546957943</v>
      </c>
      <c r="G11" s="687">
        <f>huishoudens!F8</f>
        <v>0</v>
      </c>
      <c r="H11" s="687">
        <f>huishoudens!G8</f>
        <v>0</v>
      </c>
      <c r="I11" s="687">
        <f>huishoudens!H8</f>
        <v>0</v>
      </c>
      <c r="J11" s="687">
        <f>huishoudens!I8</f>
        <v>0</v>
      </c>
      <c r="K11" s="687">
        <f>huishoudens!J8</f>
        <v>754.44307180324392</v>
      </c>
      <c r="L11" s="687">
        <f>huishoudens!K8</f>
        <v>0</v>
      </c>
      <c r="M11" s="687">
        <f>huishoudens!L8</f>
        <v>0</v>
      </c>
      <c r="N11" s="687">
        <f>huishoudens!M8</f>
        <v>0</v>
      </c>
      <c r="O11" s="687">
        <f>huishoudens!N8</f>
        <v>4606.8702312655842</v>
      </c>
      <c r="P11" s="687">
        <f>huishoudens!O8</f>
        <v>59.406666666666666</v>
      </c>
      <c r="Q11" s="688">
        <f>huishoudens!P8</f>
        <v>76.266666666666666</v>
      </c>
      <c r="R11" s="690">
        <f>SUM(C11:Q11)</f>
        <v>126749.2308674563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39347.006339375279</v>
      </c>
      <c r="D13" s="687">
        <f>industrie!C18</f>
        <v>0</v>
      </c>
      <c r="E13" s="687">
        <f>industrie!D18</f>
        <v>10310.187072619932</v>
      </c>
      <c r="F13" s="687">
        <f>industrie!E18</f>
        <v>351.25654873953226</v>
      </c>
      <c r="G13" s="687">
        <f>industrie!F18</f>
        <v>8253.6021498769005</v>
      </c>
      <c r="H13" s="687">
        <f>industrie!G18</f>
        <v>0</v>
      </c>
      <c r="I13" s="687">
        <f>industrie!H18</f>
        <v>0</v>
      </c>
      <c r="J13" s="687">
        <f>industrie!I18</f>
        <v>0</v>
      </c>
      <c r="K13" s="687">
        <f>industrie!J18</f>
        <v>229.93724025491144</v>
      </c>
      <c r="L13" s="687">
        <f>industrie!K18</f>
        <v>0</v>
      </c>
      <c r="M13" s="687">
        <f>industrie!L18</f>
        <v>0</v>
      </c>
      <c r="N13" s="687">
        <f>industrie!M18</f>
        <v>0</v>
      </c>
      <c r="O13" s="687">
        <f>industrie!N18</f>
        <v>763.89296641270198</v>
      </c>
      <c r="P13" s="687">
        <f>industrie!O18</f>
        <v>0</v>
      </c>
      <c r="Q13" s="688">
        <f>industrie!P18</f>
        <v>0</v>
      </c>
      <c r="R13" s="690">
        <f>SUM(C13:Q13)</f>
        <v>59255.882317279262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99974.555308942581</v>
      </c>
      <c r="D16" s="720">
        <f t="shared" ref="D16:R16" ca="1" si="0">SUM(D9:D15)</f>
        <v>2.6785714285714288</v>
      </c>
      <c r="E16" s="720">
        <f t="shared" ca="1" si="0"/>
        <v>121648.7237443656</v>
      </c>
      <c r="F16" s="720">
        <f t="shared" si="0"/>
        <v>1284.5188635734175</v>
      </c>
      <c r="G16" s="720">
        <f t="shared" ca="1" si="0"/>
        <v>12902.204192014036</v>
      </c>
      <c r="H16" s="720">
        <f t="shared" si="0"/>
        <v>0</v>
      </c>
      <c r="I16" s="720">
        <f t="shared" si="0"/>
        <v>0</v>
      </c>
      <c r="J16" s="720">
        <f t="shared" si="0"/>
        <v>0</v>
      </c>
      <c r="K16" s="720">
        <f t="shared" si="0"/>
        <v>984.38031205815537</v>
      </c>
      <c r="L16" s="720">
        <f t="shared" si="0"/>
        <v>0</v>
      </c>
      <c r="M16" s="720">
        <f t="shared" ca="1" si="0"/>
        <v>0</v>
      </c>
      <c r="N16" s="720">
        <f t="shared" si="0"/>
        <v>0</v>
      </c>
      <c r="O16" s="720">
        <f t="shared" ca="1" si="0"/>
        <v>6363.6142310997948</v>
      </c>
      <c r="P16" s="720">
        <f t="shared" si="0"/>
        <v>59.406666666666666</v>
      </c>
      <c r="Q16" s="720">
        <f t="shared" si="0"/>
        <v>95.333333333333329</v>
      </c>
      <c r="R16" s="720">
        <f t="shared" ca="1" si="0"/>
        <v>243315.41522348215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1041.7980625753512</v>
      </c>
      <c r="D19" s="687">
        <f>transport!C54</f>
        <v>0</v>
      </c>
      <c r="E19" s="687">
        <f>transport!D54</f>
        <v>0</v>
      </c>
      <c r="F19" s="687">
        <f>transport!E54</f>
        <v>0</v>
      </c>
      <c r="G19" s="687">
        <f>transport!F54</f>
        <v>0</v>
      </c>
      <c r="H19" s="687">
        <f>transport!G54</f>
        <v>1180.7018609828526</v>
      </c>
      <c r="I19" s="687">
        <f>transport!H54</f>
        <v>0</v>
      </c>
      <c r="J19" s="687">
        <f>transport!I54</f>
        <v>0</v>
      </c>
      <c r="K19" s="687">
        <f>transport!J54</f>
        <v>0</v>
      </c>
      <c r="L19" s="687">
        <f>transport!K54</f>
        <v>0</v>
      </c>
      <c r="M19" s="687">
        <f>transport!L54</f>
        <v>0</v>
      </c>
      <c r="N19" s="687">
        <f>transport!M54</f>
        <v>50.328190802131601</v>
      </c>
      <c r="O19" s="687">
        <f>transport!N54</f>
        <v>0</v>
      </c>
      <c r="P19" s="687">
        <f>transport!O54</f>
        <v>0</v>
      </c>
      <c r="Q19" s="688">
        <f>transport!P54</f>
        <v>0</v>
      </c>
      <c r="R19" s="690">
        <f>SUM(C19:Q19)</f>
        <v>2272.8281143603353</v>
      </c>
      <c r="S19" s="67"/>
    </row>
    <row r="20" spans="1:19" s="456" customFormat="1">
      <c r="A20" s="802" t="s">
        <v>307</v>
      </c>
      <c r="B20" s="807"/>
      <c r="C20" s="687">
        <f>transport!B14</f>
        <v>1.4706179201935465</v>
      </c>
      <c r="D20" s="687">
        <f>transport!C14</f>
        <v>0</v>
      </c>
      <c r="E20" s="687">
        <f>transport!D14</f>
        <v>6.8427050597582646</v>
      </c>
      <c r="F20" s="687">
        <f>transport!E14</f>
        <v>832.07555381350164</v>
      </c>
      <c r="G20" s="687">
        <f>transport!F14</f>
        <v>0</v>
      </c>
      <c r="H20" s="687">
        <f>transport!G14</f>
        <v>187364.63513329442</v>
      </c>
      <c r="I20" s="687">
        <f>transport!H14</f>
        <v>23873.346212943754</v>
      </c>
      <c r="J20" s="687">
        <f>transport!I14</f>
        <v>0</v>
      </c>
      <c r="K20" s="687">
        <f>transport!J14</f>
        <v>0</v>
      </c>
      <c r="L20" s="687">
        <f>transport!K14</f>
        <v>0</v>
      </c>
      <c r="M20" s="687">
        <f>transport!L14</f>
        <v>0</v>
      </c>
      <c r="N20" s="687">
        <f>transport!M14</f>
        <v>9195.3361265694275</v>
      </c>
      <c r="O20" s="687">
        <f>transport!N14</f>
        <v>0</v>
      </c>
      <c r="P20" s="687">
        <f>transport!O14</f>
        <v>0</v>
      </c>
      <c r="Q20" s="688">
        <f>transport!P14</f>
        <v>0</v>
      </c>
      <c r="R20" s="690">
        <f>SUM(C20:Q20)</f>
        <v>221273.70634960104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1043.2686804955447</v>
      </c>
      <c r="D22" s="805">
        <f t="shared" ref="D22:R22" si="1">SUM(D18:D21)</f>
        <v>0</v>
      </c>
      <c r="E22" s="805">
        <f t="shared" si="1"/>
        <v>6.8427050597582646</v>
      </c>
      <c r="F22" s="805">
        <f t="shared" si="1"/>
        <v>832.07555381350164</v>
      </c>
      <c r="G22" s="805">
        <f t="shared" si="1"/>
        <v>0</v>
      </c>
      <c r="H22" s="805">
        <f t="shared" si="1"/>
        <v>188545.33699427728</v>
      </c>
      <c r="I22" s="805">
        <f t="shared" si="1"/>
        <v>23873.346212943754</v>
      </c>
      <c r="J22" s="805">
        <f t="shared" si="1"/>
        <v>0</v>
      </c>
      <c r="K22" s="805">
        <f t="shared" si="1"/>
        <v>0</v>
      </c>
      <c r="L22" s="805">
        <f t="shared" si="1"/>
        <v>0</v>
      </c>
      <c r="M22" s="805">
        <f t="shared" si="1"/>
        <v>0</v>
      </c>
      <c r="N22" s="805">
        <f t="shared" si="1"/>
        <v>9245.6643173715584</v>
      </c>
      <c r="O22" s="805">
        <f t="shared" si="1"/>
        <v>0</v>
      </c>
      <c r="P22" s="805">
        <f t="shared" si="1"/>
        <v>0</v>
      </c>
      <c r="Q22" s="805">
        <f t="shared" si="1"/>
        <v>0</v>
      </c>
      <c r="R22" s="805">
        <f t="shared" si="1"/>
        <v>223546.53446396138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1015.1460662446906</v>
      </c>
      <c r="D24" s="687">
        <f>+landbouw!C8</f>
        <v>44145</v>
      </c>
      <c r="E24" s="687">
        <f>+landbouw!D8</f>
        <v>0</v>
      </c>
      <c r="F24" s="687">
        <f>+landbouw!E8</f>
        <v>10.630829375875564</v>
      </c>
      <c r="G24" s="687">
        <f>+landbouw!F8</f>
        <v>4345.5965107194415</v>
      </c>
      <c r="H24" s="687">
        <f>+landbouw!G8</f>
        <v>0</v>
      </c>
      <c r="I24" s="687">
        <f>+landbouw!H8</f>
        <v>0</v>
      </c>
      <c r="J24" s="687">
        <f>+landbouw!I8</f>
        <v>0</v>
      </c>
      <c r="K24" s="687">
        <f>+landbouw!J8</f>
        <v>90.661642625066918</v>
      </c>
      <c r="L24" s="687">
        <f>+landbouw!K8</f>
        <v>0</v>
      </c>
      <c r="M24" s="687">
        <f>+landbouw!L8</f>
        <v>0</v>
      </c>
      <c r="N24" s="687">
        <f>+landbouw!M8</f>
        <v>0</v>
      </c>
      <c r="O24" s="687">
        <f>+landbouw!N8</f>
        <v>0</v>
      </c>
      <c r="P24" s="687">
        <f>+landbouw!O8</f>
        <v>0</v>
      </c>
      <c r="Q24" s="688">
        <f>+landbouw!P8</f>
        <v>0</v>
      </c>
      <c r="R24" s="690">
        <f>SUM(C24:Q24)</f>
        <v>49607.035048965081</v>
      </c>
      <c r="S24" s="67"/>
    </row>
    <row r="25" spans="1:19" s="456" customFormat="1" ht="15" thickBot="1">
      <c r="A25" s="824" t="s">
        <v>925</v>
      </c>
      <c r="B25" s="988"/>
      <c r="C25" s="989">
        <f>IF(Onbekend_ele_kWh="---",0,Onbekend_ele_kWh)/1000+IF(REST_rest_ele_kWh="---",0,REST_rest_ele_kWh)/1000</f>
        <v>1906.1028087484101</v>
      </c>
      <c r="D25" s="989"/>
      <c r="E25" s="989">
        <f>IF(onbekend_gas_kWh="---",0,onbekend_gas_kWh)/1000+IF(REST_rest_gas_kWh="---",0,REST_rest_gas_kWh)/1000</f>
        <v>4131.0865372364196</v>
      </c>
      <c r="F25" s="989"/>
      <c r="G25" s="989"/>
      <c r="H25" s="989"/>
      <c r="I25" s="989"/>
      <c r="J25" s="989"/>
      <c r="K25" s="989"/>
      <c r="L25" s="989"/>
      <c r="M25" s="989"/>
      <c r="N25" s="989"/>
      <c r="O25" s="989"/>
      <c r="P25" s="989"/>
      <c r="Q25" s="990"/>
      <c r="R25" s="690">
        <f>SUM(C25:Q25)</f>
        <v>6037.1893459848297</v>
      </c>
      <c r="S25" s="67"/>
    </row>
    <row r="26" spans="1:19" s="456" customFormat="1" ht="15.75" thickBot="1">
      <c r="A26" s="693" t="s">
        <v>926</v>
      </c>
      <c r="B26" s="810"/>
      <c r="C26" s="805">
        <f>SUM(C24:C25)</f>
        <v>2921.2488749931008</v>
      </c>
      <c r="D26" s="805">
        <f t="shared" ref="D26:R26" si="2">SUM(D24:D25)</f>
        <v>44145</v>
      </c>
      <c r="E26" s="805">
        <f t="shared" si="2"/>
        <v>4131.0865372364196</v>
      </c>
      <c r="F26" s="805">
        <f t="shared" si="2"/>
        <v>10.630829375875564</v>
      </c>
      <c r="G26" s="805">
        <f t="shared" si="2"/>
        <v>4345.5965107194415</v>
      </c>
      <c r="H26" s="805">
        <f t="shared" si="2"/>
        <v>0</v>
      </c>
      <c r="I26" s="805">
        <f t="shared" si="2"/>
        <v>0</v>
      </c>
      <c r="J26" s="805">
        <f t="shared" si="2"/>
        <v>0</v>
      </c>
      <c r="K26" s="805">
        <f t="shared" si="2"/>
        <v>90.661642625066918</v>
      </c>
      <c r="L26" s="805">
        <f t="shared" si="2"/>
        <v>0</v>
      </c>
      <c r="M26" s="805">
        <f t="shared" si="2"/>
        <v>0</v>
      </c>
      <c r="N26" s="805">
        <f t="shared" si="2"/>
        <v>0</v>
      </c>
      <c r="O26" s="805">
        <f t="shared" si="2"/>
        <v>0</v>
      </c>
      <c r="P26" s="805">
        <f t="shared" si="2"/>
        <v>0</v>
      </c>
      <c r="Q26" s="805">
        <f t="shared" si="2"/>
        <v>0</v>
      </c>
      <c r="R26" s="805">
        <f t="shared" si="2"/>
        <v>55644.22439494991</v>
      </c>
      <c r="S26" s="67"/>
    </row>
    <row r="27" spans="1:19" s="456" customFormat="1" ht="17.25" thickTop="1" thickBot="1">
      <c r="A27" s="694" t="s">
        <v>116</v>
      </c>
      <c r="B27" s="797"/>
      <c r="C27" s="695">
        <f ca="1">C22+C16+C26</f>
        <v>103939.07286443123</v>
      </c>
      <c r="D27" s="695">
        <f t="shared" ref="D27:R27" ca="1" si="3">D22+D16+D26</f>
        <v>44147.678571428572</v>
      </c>
      <c r="E27" s="695">
        <f t="shared" ca="1" si="3"/>
        <v>125786.65298666178</v>
      </c>
      <c r="F27" s="695">
        <f t="shared" si="3"/>
        <v>2127.225246762795</v>
      </c>
      <c r="G27" s="695">
        <f t="shared" ca="1" si="3"/>
        <v>17247.800702733479</v>
      </c>
      <c r="H27" s="695">
        <f t="shared" si="3"/>
        <v>188545.33699427728</v>
      </c>
      <c r="I27" s="695">
        <f t="shared" si="3"/>
        <v>23873.346212943754</v>
      </c>
      <c r="J27" s="695">
        <f t="shared" si="3"/>
        <v>0</v>
      </c>
      <c r="K27" s="695">
        <f t="shared" si="3"/>
        <v>1075.0419546832222</v>
      </c>
      <c r="L27" s="695">
        <f t="shared" si="3"/>
        <v>0</v>
      </c>
      <c r="M27" s="695">
        <f t="shared" ca="1" si="3"/>
        <v>0</v>
      </c>
      <c r="N27" s="695">
        <f t="shared" si="3"/>
        <v>9245.6643173715584</v>
      </c>
      <c r="O27" s="695">
        <f t="shared" ca="1" si="3"/>
        <v>6363.6142310997948</v>
      </c>
      <c r="P27" s="695">
        <f t="shared" si="3"/>
        <v>59.406666666666666</v>
      </c>
      <c r="Q27" s="695">
        <f t="shared" si="3"/>
        <v>95.333333333333329</v>
      </c>
      <c r="R27" s="695">
        <f t="shared" ca="1" si="3"/>
        <v>522506.17408239347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7659.6203078752706</v>
      </c>
      <c r="D40" s="687">
        <f ca="1">tertiair!C20</f>
        <v>0.63655462184873957</v>
      </c>
      <c r="E40" s="687">
        <f ca="1">tertiair!D20</f>
        <v>4937.7148260675322</v>
      </c>
      <c r="F40" s="687">
        <f>tertiair!E20</f>
        <v>115.95924521569742</v>
      </c>
      <c r="G40" s="687">
        <f ca="1">tertiair!F20</f>
        <v>1241.1767452506156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13955.107679030965</v>
      </c>
    </row>
    <row r="41" spans="1:18">
      <c r="A41" s="815" t="s">
        <v>225</v>
      </c>
      <c r="B41" s="822"/>
      <c r="C41" s="687">
        <f ca="1">huishoudens!B12</f>
        <v>9738.1624574813632</v>
      </c>
      <c r="D41" s="687">
        <f ca="1">huishoudens!C12</f>
        <v>0</v>
      </c>
      <c r="E41" s="687">
        <f>huishoudens!D12</f>
        <v>17552.669581625094</v>
      </c>
      <c r="F41" s="687">
        <f>huishoudens!E12</f>
        <v>95.891300251594529</v>
      </c>
      <c r="G41" s="687">
        <f>huishoudens!F12</f>
        <v>0</v>
      </c>
      <c r="H41" s="687">
        <f>huishoudens!G12</f>
        <v>0</v>
      </c>
      <c r="I41" s="687">
        <f>huishoudens!H12</f>
        <v>0</v>
      </c>
      <c r="J41" s="687">
        <f>huishoudens!I12</f>
        <v>0</v>
      </c>
      <c r="K41" s="687">
        <f>huishoudens!J12</f>
        <v>267.07284741834832</v>
      </c>
      <c r="L41" s="687">
        <f>huishoudens!K12</f>
        <v>0</v>
      </c>
      <c r="M41" s="687">
        <f>huishoudens!L12</f>
        <v>0</v>
      </c>
      <c r="N41" s="687">
        <f>huishoudens!M12</f>
        <v>0</v>
      </c>
      <c r="O41" s="687">
        <f>huishoudens!N12</f>
        <v>0</v>
      </c>
      <c r="P41" s="687">
        <f>huishoudens!O12</f>
        <v>0</v>
      </c>
      <c r="Q41" s="762">
        <f>huishoudens!P12</f>
        <v>0</v>
      </c>
      <c r="R41" s="843">
        <f t="shared" ca="1" si="4"/>
        <v>27653.796186776399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11291.082690860214</v>
      </c>
      <c r="D43" s="687">
        <f ca="1">industrie!C22</f>
        <v>0</v>
      </c>
      <c r="E43" s="687">
        <f>industrie!D22</f>
        <v>2082.6577886692266</v>
      </c>
      <c r="F43" s="687">
        <f>industrie!E22</f>
        <v>79.735236563873826</v>
      </c>
      <c r="G43" s="687">
        <f>industrie!F22</f>
        <v>2203.7117740171325</v>
      </c>
      <c r="H43" s="687">
        <f>industrie!G22</f>
        <v>0</v>
      </c>
      <c r="I43" s="687">
        <f>industrie!H22</f>
        <v>0</v>
      </c>
      <c r="J43" s="687">
        <f>industrie!I22</f>
        <v>0</v>
      </c>
      <c r="K43" s="687">
        <f>industrie!J22</f>
        <v>81.397783050238644</v>
      </c>
      <c r="L43" s="687">
        <f>industrie!K22</f>
        <v>0</v>
      </c>
      <c r="M43" s="687">
        <f>industrie!L22</f>
        <v>0</v>
      </c>
      <c r="N43" s="687">
        <f>industrie!M22</f>
        <v>0</v>
      </c>
      <c r="O43" s="687">
        <f>industrie!N22</f>
        <v>0</v>
      </c>
      <c r="P43" s="687">
        <f>industrie!O22</f>
        <v>0</v>
      </c>
      <c r="Q43" s="762">
        <f>industrie!P22</f>
        <v>0</v>
      </c>
      <c r="R43" s="842">
        <f t="shared" ca="1" si="4"/>
        <v>15738.585273160686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28688.865456216849</v>
      </c>
      <c r="D46" s="720">
        <f t="shared" ref="D46:Q46" ca="1" si="5">SUM(D39:D45)</f>
        <v>0.63655462184873957</v>
      </c>
      <c r="E46" s="720">
        <f t="shared" ca="1" si="5"/>
        <v>24573.04219636185</v>
      </c>
      <c r="F46" s="720">
        <f t="shared" si="5"/>
        <v>291.58578203116576</v>
      </c>
      <c r="G46" s="720">
        <f t="shared" ca="1" si="5"/>
        <v>3444.8885192677481</v>
      </c>
      <c r="H46" s="720">
        <f t="shared" si="5"/>
        <v>0</v>
      </c>
      <c r="I46" s="720">
        <f t="shared" si="5"/>
        <v>0</v>
      </c>
      <c r="J46" s="720">
        <f t="shared" si="5"/>
        <v>0</v>
      </c>
      <c r="K46" s="720">
        <f t="shared" si="5"/>
        <v>348.47063046858693</v>
      </c>
      <c r="L46" s="720">
        <f t="shared" si="5"/>
        <v>0</v>
      </c>
      <c r="M46" s="720">
        <f t="shared" ca="1" si="5"/>
        <v>0</v>
      </c>
      <c r="N46" s="720">
        <f t="shared" si="5"/>
        <v>0</v>
      </c>
      <c r="O46" s="720">
        <f t="shared" ca="1" si="5"/>
        <v>0</v>
      </c>
      <c r="P46" s="720">
        <f t="shared" si="5"/>
        <v>0</v>
      </c>
      <c r="Q46" s="720">
        <f t="shared" si="5"/>
        <v>0</v>
      </c>
      <c r="R46" s="720">
        <f ca="1">SUM(R39:R45)</f>
        <v>57347.489138968049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298.9561129570555</v>
      </c>
      <c r="D49" s="687">
        <f ca="1">transport!C58</f>
        <v>0</v>
      </c>
      <c r="E49" s="687">
        <f>transport!D58</f>
        <v>0</v>
      </c>
      <c r="F49" s="687">
        <f>transport!E58</f>
        <v>0</v>
      </c>
      <c r="G49" s="687">
        <f>transport!F58</f>
        <v>0</v>
      </c>
      <c r="H49" s="687">
        <f>transport!G58</f>
        <v>315.24739688242164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614.20350983947719</v>
      </c>
    </row>
    <row r="50" spans="1:18">
      <c r="A50" s="818" t="s">
        <v>307</v>
      </c>
      <c r="B50" s="828"/>
      <c r="C50" s="995">
        <f ca="1">transport!B18</f>
        <v>0.42201097588838421</v>
      </c>
      <c r="D50" s="995">
        <f>transport!C18</f>
        <v>0</v>
      </c>
      <c r="E50" s="995">
        <f>transport!D18</f>
        <v>1.3822264220711695</v>
      </c>
      <c r="F50" s="995">
        <f>transport!E18</f>
        <v>188.88115071566489</v>
      </c>
      <c r="G50" s="995">
        <f>transport!F18</f>
        <v>0</v>
      </c>
      <c r="H50" s="995">
        <f>transport!G18</f>
        <v>50026.357580589611</v>
      </c>
      <c r="I50" s="995">
        <f>transport!H18</f>
        <v>5944.4632070229945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56161.50617572623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299.37812393294388</v>
      </c>
      <c r="D52" s="720">
        <f t="shared" ref="D52:Q52" ca="1" si="6">SUM(D48:D51)</f>
        <v>0</v>
      </c>
      <c r="E52" s="720">
        <f t="shared" si="6"/>
        <v>1.3822264220711695</v>
      </c>
      <c r="F52" s="720">
        <f t="shared" si="6"/>
        <v>188.88115071566489</v>
      </c>
      <c r="G52" s="720">
        <f t="shared" si="6"/>
        <v>0</v>
      </c>
      <c r="H52" s="720">
        <f t="shared" si="6"/>
        <v>50341.60497747203</v>
      </c>
      <c r="I52" s="720">
        <f t="shared" si="6"/>
        <v>5944.4632070229945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56775.709685565707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291.30801155258229</v>
      </c>
      <c r="D54" s="995">
        <f ca="1">+landbouw!C12</f>
        <v>10490.929411764706</v>
      </c>
      <c r="E54" s="995">
        <f>+landbouw!D12</f>
        <v>0</v>
      </c>
      <c r="F54" s="995">
        <f>+landbouw!E12</f>
        <v>2.4131982683237529</v>
      </c>
      <c r="G54" s="995">
        <f>+landbouw!F12</f>
        <v>1160.2742683620909</v>
      </c>
      <c r="H54" s="995">
        <f>+landbouw!G12</f>
        <v>0</v>
      </c>
      <c r="I54" s="995">
        <f>+landbouw!H12</f>
        <v>0</v>
      </c>
      <c r="J54" s="995">
        <f>+landbouw!I12</f>
        <v>0</v>
      </c>
      <c r="K54" s="995">
        <f>+landbouw!J12</f>
        <v>32.094221489273686</v>
      </c>
      <c r="L54" s="995">
        <f>+landbouw!K12</f>
        <v>0</v>
      </c>
      <c r="M54" s="995">
        <f>+landbouw!L12</f>
        <v>0</v>
      </c>
      <c r="N54" s="995">
        <f>+landbouw!M12</f>
        <v>0</v>
      </c>
      <c r="O54" s="995">
        <f>+landbouw!N12</f>
        <v>0</v>
      </c>
      <c r="P54" s="995">
        <f>+landbouw!O12</f>
        <v>0</v>
      </c>
      <c r="Q54" s="996">
        <f>+landbouw!P12</f>
        <v>0</v>
      </c>
      <c r="R54" s="719">
        <f ca="1">SUM(C54:Q54)</f>
        <v>11977.019111436975</v>
      </c>
    </row>
    <row r="55" spans="1:18" ht="15" thickBot="1">
      <c r="A55" s="818" t="s">
        <v>925</v>
      </c>
      <c r="B55" s="828"/>
      <c r="C55" s="995">
        <f ca="1">C25*'EF ele_warmte'!B12</f>
        <v>546.97844723505136</v>
      </c>
      <c r="D55" s="995"/>
      <c r="E55" s="995">
        <f>E25*EF_CO2_aardgas</f>
        <v>834.47948052175684</v>
      </c>
      <c r="F55" s="995"/>
      <c r="G55" s="995"/>
      <c r="H55" s="995"/>
      <c r="I55" s="995"/>
      <c r="J55" s="995"/>
      <c r="K55" s="995"/>
      <c r="L55" s="995"/>
      <c r="M55" s="995"/>
      <c r="N55" s="995"/>
      <c r="O55" s="995"/>
      <c r="P55" s="995"/>
      <c r="Q55" s="996"/>
      <c r="R55" s="719">
        <f ca="1">SUM(C55:Q55)</f>
        <v>1381.4579277568082</v>
      </c>
    </row>
    <row r="56" spans="1:18" ht="15.75" thickBot="1">
      <c r="A56" s="816" t="s">
        <v>926</v>
      </c>
      <c r="B56" s="829"/>
      <c r="C56" s="720">
        <f ca="1">SUM(C54:C55)</f>
        <v>838.28645878763359</v>
      </c>
      <c r="D56" s="720">
        <f t="shared" ref="D56:Q56" ca="1" si="7">SUM(D54:D55)</f>
        <v>10490.929411764706</v>
      </c>
      <c r="E56" s="720">
        <f t="shared" si="7"/>
        <v>834.47948052175684</v>
      </c>
      <c r="F56" s="720">
        <f t="shared" si="7"/>
        <v>2.4131982683237529</v>
      </c>
      <c r="G56" s="720">
        <f t="shared" si="7"/>
        <v>1160.2742683620909</v>
      </c>
      <c r="H56" s="720">
        <f t="shared" si="7"/>
        <v>0</v>
      </c>
      <c r="I56" s="720">
        <f t="shared" si="7"/>
        <v>0</v>
      </c>
      <c r="J56" s="720">
        <f t="shared" si="7"/>
        <v>0</v>
      </c>
      <c r="K56" s="720">
        <f t="shared" si="7"/>
        <v>32.094221489273686</v>
      </c>
      <c r="L56" s="720">
        <f t="shared" si="7"/>
        <v>0</v>
      </c>
      <c r="M56" s="720">
        <f t="shared" si="7"/>
        <v>0</v>
      </c>
      <c r="N56" s="720">
        <f t="shared" si="7"/>
        <v>0</v>
      </c>
      <c r="O56" s="720">
        <f t="shared" si="7"/>
        <v>0</v>
      </c>
      <c r="P56" s="720">
        <f t="shared" si="7"/>
        <v>0</v>
      </c>
      <c r="Q56" s="721">
        <f t="shared" si="7"/>
        <v>0</v>
      </c>
      <c r="R56" s="722">
        <f ca="1">SUM(R54:R55)</f>
        <v>13358.477039193784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29826.530038937424</v>
      </c>
      <c r="D61" s="728">
        <f t="shared" ref="D61:Q61" ca="1" si="8">D46+D52+D56</f>
        <v>10491.565966386555</v>
      </c>
      <c r="E61" s="728">
        <f t="shared" ca="1" si="8"/>
        <v>25408.90390330568</v>
      </c>
      <c r="F61" s="728">
        <f t="shared" si="8"/>
        <v>482.8801310151544</v>
      </c>
      <c r="G61" s="728">
        <f t="shared" ca="1" si="8"/>
        <v>4605.1627876298389</v>
      </c>
      <c r="H61" s="728">
        <f t="shared" si="8"/>
        <v>50341.60497747203</v>
      </c>
      <c r="I61" s="728">
        <f t="shared" si="8"/>
        <v>5944.4632070229945</v>
      </c>
      <c r="J61" s="728">
        <f t="shared" si="8"/>
        <v>0</v>
      </c>
      <c r="K61" s="728">
        <f t="shared" si="8"/>
        <v>380.56485195786064</v>
      </c>
      <c r="L61" s="728">
        <f t="shared" si="8"/>
        <v>0</v>
      </c>
      <c r="M61" s="728">
        <f t="shared" ca="1" si="8"/>
        <v>0</v>
      </c>
      <c r="N61" s="728">
        <f t="shared" si="8"/>
        <v>0</v>
      </c>
      <c r="O61" s="728">
        <f t="shared" ca="1" si="8"/>
        <v>0</v>
      </c>
      <c r="P61" s="728">
        <f t="shared" si="8"/>
        <v>0</v>
      </c>
      <c r="Q61" s="728">
        <f t="shared" si="8"/>
        <v>0</v>
      </c>
      <c r="R61" s="728">
        <f ca="1">R46+R52+R56</f>
        <v>127481.67586372753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0.28696167107282616</v>
      </c>
      <c r="D63" s="772">
        <f t="shared" ca="1" si="9"/>
        <v>0.23764705882352943</v>
      </c>
      <c r="E63" s="997">
        <f t="shared" ca="1" si="9"/>
        <v>0.20200000000000001</v>
      </c>
      <c r="F63" s="772">
        <f t="shared" si="9"/>
        <v>0.22699999999999998</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2208.6028985179528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30903.375</v>
      </c>
      <c r="D76" s="1007">
        <f>'lokale energieproductie'!C8</f>
        <v>36356.911764705881</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7344.096176470588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2208.6028985179528</v>
      </c>
      <c r="C78" s="743">
        <f>SUM(C72:C77)</f>
        <v>30903.375</v>
      </c>
      <c r="D78" s="744">
        <f t="shared" ref="D78:H78" si="10">SUM(D76:D77)</f>
        <v>36356.911764705881</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7344.096176470588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44147.678571428572</v>
      </c>
      <c r="D87" s="765">
        <f>'lokale energieproductie'!C17</f>
        <v>51938.445378151257</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10491.565966386555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44147.678571428572</v>
      </c>
      <c r="D90" s="743">
        <f t="shared" ref="D90:H90" si="12">SUM(D87:D89)</f>
        <v>51938.445378151257</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10491.565966386555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2208.6028985179528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30903.375</v>
      </c>
      <c r="C8" s="557">
        <f>B101</f>
        <v>36356.911764705881</v>
      </c>
      <c r="D8" s="985"/>
      <c r="E8" s="985">
        <f>E101</f>
        <v>0</v>
      </c>
      <c r="F8" s="986"/>
      <c r="G8" s="558"/>
      <c r="H8" s="985">
        <f>I101</f>
        <v>0</v>
      </c>
      <c r="I8" s="985">
        <f>G101+F101</f>
        <v>0</v>
      </c>
      <c r="J8" s="985">
        <f>H101+D101+C101</f>
        <v>0</v>
      </c>
      <c r="K8" s="985"/>
      <c r="L8" s="985"/>
      <c r="M8" s="985"/>
      <c r="N8" s="559"/>
      <c r="O8" s="560">
        <f>C8*$C$12+D8*$D$12+E8*$E$12+F8*$F$12+G8*$G$12+H8*$H$12+I8*$I$12+J8*$J$12</f>
        <v>7344.096176470588</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33111.977898517951</v>
      </c>
      <c r="C10" s="569">
        <f t="shared" ref="C10:L10" si="0">SUM(C8:C9)</f>
        <v>36356.911764705881</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7344.096176470588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44147.678571428572</v>
      </c>
      <c r="C17" s="581">
        <f>B102</f>
        <v>51938.445378151257</v>
      </c>
      <c r="D17" s="582"/>
      <c r="E17" s="582">
        <f>E102</f>
        <v>0</v>
      </c>
      <c r="F17" s="583"/>
      <c r="G17" s="584"/>
      <c r="H17" s="581">
        <f>I102</f>
        <v>0</v>
      </c>
      <c r="I17" s="582">
        <f>G102+F102</f>
        <v>0</v>
      </c>
      <c r="J17" s="582">
        <f>H102+D102+C102</f>
        <v>0</v>
      </c>
      <c r="K17" s="582"/>
      <c r="L17" s="582"/>
      <c r="M17" s="582"/>
      <c r="N17" s="981"/>
      <c r="O17" s="585">
        <f>C17*$C$22+E17*$E$22+H17*$H$22+I17*$I$22+J17*$J$22+D17*$D$22+F17*$F$22+G17*$G$22+K17*$K$22+L17*$L$22</f>
        <v>10491.565966386555</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44147.678571428572</v>
      </c>
      <c r="C20" s="568">
        <f>SUM(C17:C19)</f>
        <v>51938.445378151257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10491.565966386555</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11056</v>
      </c>
      <c r="C28" s="788">
        <v>2070</v>
      </c>
      <c r="D28" s="641" t="s">
        <v>963</v>
      </c>
      <c r="E28" s="640" t="s">
        <v>964</v>
      </c>
      <c r="F28" s="640" t="s">
        <v>965</v>
      </c>
      <c r="G28" s="640" t="s">
        <v>966</v>
      </c>
      <c r="H28" s="640" t="s">
        <v>967</v>
      </c>
      <c r="I28" s="640" t="s">
        <v>964</v>
      </c>
      <c r="J28" s="787">
        <v>40735</v>
      </c>
      <c r="K28" s="787">
        <v>40848</v>
      </c>
      <c r="L28" s="640" t="s">
        <v>968</v>
      </c>
      <c r="M28" s="640">
        <v>5</v>
      </c>
      <c r="N28" s="640">
        <v>1.875</v>
      </c>
      <c r="O28" s="640">
        <v>2.6785714285714288</v>
      </c>
      <c r="P28" s="640">
        <v>5.3571428571428577</v>
      </c>
      <c r="Q28" s="640">
        <v>0</v>
      </c>
      <c r="R28" s="640">
        <v>0</v>
      </c>
      <c r="S28" s="640">
        <v>0</v>
      </c>
      <c r="T28" s="640">
        <v>0</v>
      </c>
      <c r="U28" s="640">
        <v>0</v>
      </c>
      <c r="V28" s="640">
        <v>0</v>
      </c>
      <c r="W28" s="640">
        <v>0</v>
      </c>
      <c r="X28" s="640">
        <v>1600</v>
      </c>
      <c r="Y28" s="640" t="s">
        <v>50</v>
      </c>
      <c r="Z28" s="642" t="s">
        <v>156</v>
      </c>
    </row>
    <row r="29" spans="1:26" s="594" customFormat="1" ht="25.5">
      <c r="A29" s="593"/>
      <c r="B29" s="788">
        <v>11056</v>
      </c>
      <c r="C29" s="788">
        <v>2070</v>
      </c>
      <c r="D29" s="641" t="s">
        <v>969</v>
      </c>
      <c r="E29" s="640" t="s">
        <v>970</v>
      </c>
      <c r="F29" s="640" t="s">
        <v>971</v>
      </c>
      <c r="G29" s="640" t="s">
        <v>966</v>
      </c>
      <c r="H29" s="640" t="s">
        <v>967</v>
      </c>
      <c r="I29" s="640" t="s">
        <v>970</v>
      </c>
      <c r="J29" s="787">
        <v>40267</v>
      </c>
      <c r="K29" s="787">
        <v>40269</v>
      </c>
      <c r="L29" s="640" t="s">
        <v>968</v>
      </c>
      <c r="M29" s="640">
        <v>2067</v>
      </c>
      <c r="N29" s="640">
        <v>9301.5</v>
      </c>
      <c r="O29" s="640">
        <v>13287.857142857143</v>
      </c>
      <c r="P29" s="640">
        <v>26575.714285714286</v>
      </c>
      <c r="Q29" s="640">
        <v>0</v>
      </c>
      <c r="R29" s="640">
        <v>0</v>
      </c>
      <c r="S29" s="640">
        <v>0</v>
      </c>
      <c r="T29" s="640">
        <v>0</v>
      </c>
      <c r="U29" s="640">
        <v>0</v>
      </c>
      <c r="V29" s="640">
        <v>0</v>
      </c>
      <c r="W29" s="640">
        <v>0</v>
      </c>
      <c r="X29" s="640">
        <v>10</v>
      </c>
      <c r="Y29" s="640" t="s">
        <v>112</v>
      </c>
      <c r="Z29" s="642" t="s">
        <v>112</v>
      </c>
    </row>
    <row r="30" spans="1:26" s="594" customFormat="1" ht="25.5">
      <c r="A30" s="593"/>
      <c r="B30" s="788">
        <v>11056</v>
      </c>
      <c r="C30" s="788">
        <v>2070</v>
      </c>
      <c r="D30" s="641" t="s">
        <v>972</v>
      </c>
      <c r="E30" s="640" t="s">
        <v>973</v>
      </c>
      <c r="F30" s="640" t="s">
        <v>974</v>
      </c>
      <c r="G30" s="640" t="s">
        <v>966</v>
      </c>
      <c r="H30" s="640" t="s">
        <v>967</v>
      </c>
      <c r="I30" s="640" t="s">
        <v>975</v>
      </c>
      <c r="J30" s="787">
        <v>40946</v>
      </c>
      <c r="K30" s="787">
        <v>39043</v>
      </c>
      <c r="L30" s="640" t="s">
        <v>968</v>
      </c>
      <c r="M30" s="640">
        <v>4800</v>
      </c>
      <c r="N30" s="640">
        <v>21600</v>
      </c>
      <c r="O30" s="640">
        <v>30857.142857142859</v>
      </c>
      <c r="P30" s="640">
        <v>61714.285714285717</v>
      </c>
      <c r="Q30" s="640">
        <v>0</v>
      </c>
      <c r="R30" s="640">
        <v>0</v>
      </c>
      <c r="S30" s="640">
        <v>0</v>
      </c>
      <c r="T30" s="640">
        <v>0</v>
      </c>
      <c r="U30" s="640">
        <v>0</v>
      </c>
      <c r="V30" s="640">
        <v>0</v>
      </c>
      <c r="W30" s="640">
        <v>0</v>
      </c>
      <c r="X30" s="640">
        <v>10</v>
      </c>
      <c r="Y30" s="640" t="s">
        <v>112</v>
      </c>
      <c r="Z30" s="642" t="s">
        <v>112</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6872</v>
      </c>
      <c r="N58" s="598">
        <f>SUM(N28:N57)</f>
        <v>30903.375</v>
      </c>
      <c r="O58" s="598">
        <f t="shared" ref="O58:W58" si="2">SUM(O28:O57)</f>
        <v>44147.678571428572</v>
      </c>
      <c r="P58" s="598">
        <f t="shared" si="2"/>
        <v>88295.357142857145</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v>
      </c>
      <c r="N60" s="598">
        <f ca="1">SUMIF($Z$28:AD57,"tertiair",N28:N57)</f>
        <v>1.875</v>
      </c>
      <c r="O60" s="598">
        <f ca="1">SUMIF($Z$28:AE57,"tertiair",O28:O57)</f>
        <v>2.6785714285714288</v>
      </c>
      <c r="P60" s="598">
        <f ca="1">SUMIF($Z$28:AF57,"tertiair",P28:P57)</f>
        <v>5.3571428571428577</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6867</v>
      </c>
      <c r="N61" s="603">
        <f t="shared" si="4"/>
        <v>30901.5</v>
      </c>
      <c r="O61" s="603">
        <f t="shared" si="4"/>
        <v>44145</v>
      </c>
      <c r="P61" s="603">
        <f t="shared" si="4"/>
        <v>88290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36356.911764705881</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51938.445378151257</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33935.411726153412</v>
      </c>
      <c r="C4" s="460">
        <f>huishoudens!C8</f>
        <v>0</v>
      </c>
      <c r="D4" s="460">
        <f>huishoudens!D8</f>
        <v>86894.40386943116</v>
      </c>
      <c r="E4" s="460">
        <f>huishoudens!E8</f>
        <v>422.42863546957943</v>
      </c>
      <c r="F4" s="460">
        <f>huishoudens!F8</f>
        <v>0</v>
      </c>
      <c r="G4" s="460">
        <f>huishoudens!G8</f>
        <v>0</v>
      </c>
      <c r="H4" s="460">
        <f>huishoudens!H8</f>
        <v>0</v>
      </c>
      <c r="I4" s="460">
        <f>huishoudens!I8</f>
        <v>0</v>
      </c>
      <c r="J4" s="460">
        <f>huishoudens!J8</f>
        <v>754.44307180324392</v>
      </c>
      <c r="K4" s="460">
        <f>huishoudens!K8</f>
        <v>0</v>
      </c>
      <c r="L4" s="460">
        <f>huishoudens!L8</f>
        <v>0</v>
      </c>
      <c r="M4" s="460">
        <f>huishoudens!M8</f>
        <v>0</v>
      </c>
      <c r="N4" s="460">
        <f>huishoudens!N8</f>
        <v>4606.8702312655842</v>
      </c>
      <c r="O4" s="460">
        <f>huishoudens!O8</f>
        <v>59.406666666666666</v>
      </c>
      <c r="P4" s="461">
        <f>huishoudens!P8</f>
        <v>76.266666666666666</v>
      </c>
      <c r="Q4" s="462">
        <f>SUM(B4:P4)</f>
        <v>126749.2308674563</v>
      </c>
    </row>
    <row r="5" spans="1:17">
      <c r="A5" s="459" t="s">
        <v>156</v>
      </c>
      <c r="B5" s="460">
        <f ca="1">tertiair!B16</f>
        <v>25667.426243413895</v>
      </c>
      <c r="C5" s="460">
        <f ca="1">tertiair!C16</f>
        <v>2.6785714285714288</v>
      </c>
      <c r="D5" s="460">
        <f ca="1">tertiair!D16</f>
        <v>24444.132802314514</v>
      </c>
      <c r="E5" s="460">
        <f>tertiair!E16</f>
        <v>510.83367936430579</v>
      </c>
      <c r="F5" s="460">
        <f ca="1">tertiair!F16</f>
        <v>4648.6020421371368</v>
      </c>
      <c r="G5" s="460">
        <f>tertiair!G16</f>
        <v>0</v>
      </c>
      <c r="H5" s="460">
        <f>tertiair!H16</f>
        <v>0</v>
      </c>
      <c r="I5" s="460">
        <f>tertiair!I16</f>
        <v>0</v>
      </c>
      <c r="J5" s="460">
        <f>tertiair!J16</f>
        <v>0</v>
      </c>
      <c r="K5" s="460">
        <f>tertiair!K16</f>
        <v>0</v>
      </c>
      <c r="L5" s="460">
        <f ca="1">tertiair!L16</f>
        <v>0</v>
      </c>
      <c r="M5" s="460">
        <f>tertiair!M16</f>
        <v>0</v>
      </c>
      <c r="N5" s="460">
        <f ca="1">tertiair!N16</f>
        <v>992.85103342150865</v>
      </c>
      <c r="O5" s="460">
        <f>tertiair!O16</f>
        <v>0</v>
      </c>
      <c r="P5" s="461">
        <f>tertiair!P16</f>
        <v>19.066666666666666</v>
      </c>
      <c r="Q5" s="459">
        <f t="shared" ref="Q5:Q14" ca="1" si="0">SUM(B5:P5)</f>
        <v>56285.591038746592</v>
      </c>
    </row>
    <row r="6" spans="1:17">
      <c r="A6" s="459" t="s">
        <v>194</v>
      </c>
      <c r="B6" s="460">
        <f>'openbare verlichting'!B8</f>
        <v>1024.711</v>
      </c>
      <c r="C6" s="460"/>
      <c r="D6" s="460"/>
      <c r="E6" s="460"/>
      <c r="F6" s="460"/>
      <c r="G6" s="460"/>
      <c r="H6" s="460"/>
      <c r="I6" s="460"/>
      <c r="J6" s="460"/>
      <c r="K6" s="460"/>
      <c r="L6" s="460"/>
      <c r="M6" s="460"/>
      <c r="N6" s="460"/>
      <c r="O6" s="460"/>
      <c r="P6" s="461"/>
      <c r="Q6" s="459">
        <f t="shared" si="0"/>
        <v>1024.711</v>
      </c>
    </row>
    <row r="7" spans="1:17">
      <c r="A7" s="459" t="s">
        <v>112</v>
      </c>
      <c r="B7" s="460">
        <f>landbouw!B8</f>
        <v>1015.1460662446906</v>
      </c>
      <c r="C7" s="460">
        <f>landbouw!C8</f>
        <v>44145</v>
      </c>
      <c r="D7" s="460">
        <f>landbouw!D8</f>
        <v>0</v>
      </c>
      <c r="E7" s="460">
        <f>landbouw!E8</f>
        <v>10.630829375875564</v>
      </c>
      <c r="F7" s="460">
        <f>landbouw!F8</f>
        <v>4345.5965107194415</v>
      </c>
      <c r="G7" s="460">
        <f>landbouw!G8</f>
        <v>0</v>
      </c>
      <c r="H7" s="460">
        <f>landbouw!H8</f>
        <v>0</v>
      </c>
      <c r="I7" s="460">
        <f>landbouw!I8</f>
        <v>0</v>
      </c>
      <c r="J7" s="460">
        <f>landbouw!J8</f>
        <v>90.661642625066918</v>
      </c>
      <c r="K7" s="460">
        <f>landbouw!K8</f>
        <v>0</v>
      </c>
      <c r="L7" s="460">
        <f>landbouw!L8</f>
        <v>0</v>
      </c>
      <c r="M7" s="460">
        <f>landbouw!M8</f>
        <v>0</v>
      </c>
      <c r="N7" s="460">
        <f>landbouw!N8</f>
        <v>0</v>
      </c>
      <c r="O7" s="460">
        <f>landbouw!O8</f>
        <v>0</v>
      </c>
      <c r="P7" s="461">
        <f>landbouw!P8</f>
        <v>0</v>
      </c>
      <c r="Q7" s="459">
        <f t="shared" si="0"/>
        <v>49607.035048965081</v>
      </c>
    </row>
    <row r="8" spans="1:17">
      <c r="A8" s="459" t="s">
        <v>655</v>
      </c>
      <c r="B8" s="460">
        <f>industrie!B18</f>
        <v>39347.006339375279</v>
      </c>
      <c r="C8" s="460">
        <f>industrie!C18</f>
        <v>0</v>
      </c>
      <c r="D8" s="460">
        <f>industrie!D18</f>
        <v>10310.187072619932</v>
      </c>
      <c r="E8" s="460">
        <f>industrie!E18</f>
        <v>351.25654873953226</v>
      </c>
      <c r="F8" s="460">
        <f>industrie!F18</f>
        <v>8253.6021498769005</v>
      </c>
      <c r="G8" s="460">
        <f>industrie!G18</f>
        <v>0</v>
      </c>
      <c r="H8" s="460">
        <f>industrie!H18</f>
        <v>0</v>
      </c>
      <c r="I8" s="460">
        <f>industrie!I18</f>
        <v>0</v>
      </c>
      <c r="J8" s="460">
        <f>industrie!J18</f>
        <v>229.93724025491144</v>
      </c>
      <c r="K8" s="460">
        <f>industrie!K18</f>
        <v>0</v>
      </c>
      <c r="L8" s="460">
        <f>industrie!L18</f>
        <v>0</v>
      </c>
      <c r="M8" s="460">
        <f>industrie!M18</f>
        <v>0</v>
      </c>
      <c r="N8" s="460">
        <f>industrie!N18</f>
        <v>763.89296641270198</v>
      </c>
      <c r="O8" s="460">
        <f>industrie!O18</f>
        <v>0</v>
      </c>
      <c r="P8" s="461">
        <f>industrie!P18</f>
        <v>0</v>
      </c>
      <c r="Q8" s="459">
        <f t="shared" si="0"/>
        <v>59255.882317279262</v>
      </c>
    </row>
    <row r="9" spans="1:17" s="465" customFormat="1">
      <c r="A9" s="463" t="s">
        <v>573</v>
      </c>
      <c r="B9" s="464">
        <f>transport!B14</f>
        <v>1.4706179201935465</v>
      </c>
      <c r="C9" s="464">
        <f>transport!C14</f>
        <v>0</v>
      </c>
      <c r="D9" s="464">
        <f>transport!D14</f>
        <v>6.8427050597582646</v>
      </c>
      <c r="E9" s="464">
        <f>transport!E14</f>
        <v>832.07555381350164</v>
      </c>
      <c r="F9" s="464">
        <f>transport!F14</f>
        <v>0</v>
      </c>
      <c r="G9" s="464">
        <f>transport!G14</f>
        <v>187364.63513329442</v>
      </c>
      <c r="H9" s="464">
        <f>transport!H14</f>
        <v>23873.346212943754</v>
      </c>
      <c r="I9" s="464">
        <f>transport!I14</f>
        <v>0</v>
      </c>
      <c r="J9" s="464">
        <f>transport!J14</f>
        <v>0</v>
      </c>
      <c r="K9" s="464">
        <f>transport!K14</f>
        <v>0</v>
      </c>
      <c r="L9" s="464">
        <f>transport!L14</f>
        <v>0</v>
      </c>
      <c r="M9" s="464">
        <f>transport!M14</f>
        <v>9195.3361265694275</v>
      </c>
      <c r="N9" s="464">
        <f>transport!N14</f>
        <v>0</v>
      </c>
      <c r="O9" s="464">
        <f>transport!O14</f>
        <v>0</v>
      </c>
      <c r="P9" s="464">
        <f>transport!P14</f>
        <v>0</v>
      </c>
      <c r="Q9" s="463">
        <f>SUM(B9:P9)</f>
        <v>221273.70634960104</v>
      </c>
    </row>
    <row r="10" spans="1:17">
      <c r="A10" s="459" t="s">
        <v>563</v>
      </c>
      <c r="B10" s="460">
        <f>transport!B54</f>
        <v>1041.7980625753512</v>
      </c>
      <c r="C10" s="460">
        <f>transport!C54</f>
        <v>0</v>
      </c>
      <c r="D10" s="460">
        <f>transport!D54</f>
        <v>0</v>
      </c>
      <c r="E10" s="460">
        <f>transport!E54</f>
        <v>0</v>
      </c>
      <c r="F10" s="460">
        <f>transport!F54</f>
        <v>0</v>
      </c>
      <c r="G10" s="460">
        <f>transport!G54</f>
        <v>1180.7018609828526</v>
      </c>
      <c r="H10" s="460">
        <f>transport!H54</f>
        <v>0</v>
      </c>
      <c r="I10" s="460">
        <f>transport!I54</f>
        <v>0</v>
      </c>
      <c r="J10" s="460">
        <f>transport!J54</f>
        <v>0</v>
      </c>
      <c r="K10" s="460">
        <f>transport!K54</f>
        <v>0</v>
      </c>
      <c r="L10" s="460">
        <f>transport!L54</f>
        <v>0</v>
      </c>
      <c r="M10" s="460">
        <f>transport!M54</f>
        <v>50.328190802131601</v>
      </c>
      <c r="N10" s="460">
        <f>transport!N54</f>
        <v>0</v>
      </c>
      <c r="O10" s="460">
        <f>transport!O54</f>
        <v>0</v>
      </c>
      <c r="P10" s="461">
        <f>transport!P54</f>
        <v>0</v>
      </c>
      <c r="Q10" s="459">
        <f t="shared" si="0"/>
        <v>2272.8281143603353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1906.1028087484101</v>
      </c>
      <c r="C14" s="467"/>
      <c r="D14" s="467">
        <f>'SEAP template'!E25</f>
        <v>4131.0865372364196</v>
      </c>
      <c r="E14" s="467"/>
      <c r="F14" s="467"/>
      <c r="G14" s="467"/>
      <c r="H14" s="467"/>
      <c r="I14" s="467"/>
      <c r="J14" s="467"/>
      <c r="K14" s="467"/>
      <c r="L14" s="467"/>
      <c r="M14" s="467"/>
      <c r="N14" s="467"/>
      <c r="O14" s="467"/>
      <c r="P14" s="468"/>
      <c r="Q14" s="459">
        <f t="shared" si="0"/>
        <v>6037.1893459848297</v>
      </c>
    </row>
    <row r="15" spans="1:17" s="472" customFormat="1">
      <c r="A15" s="469" t="s">
        <v>567</v>
      </c>
      <c r="B15" s="470">
        <f ca="1">SUM(B4:B14)</f>
        <v>103939.07286443125</v>
      </c>
      <c r="C15" s="470">
        <f t="shared" ref="C15:Q15" ca="1" si="1">SUM(C4:C14)</f>
        <v>44147.678571428572</v>
      </c>
      <c r="D15" s="470">
        <f t="shared" ca="1" si="1"/>
        <v>125786.65298666178</v>
      </c>
      <c r="E15" s="470">
        <f t="shared" si="1"/>
        <v>2127.225246762795</v>
      </c>
      <c r="F15" s="470">
        <f t="shared" ca="1" si="1"/>
        <v>17247.800702733479</v>
      </c>
      <c r="G15" s="470">
        <f t="shared" si="1"/>
        <v>188545.33699427728</v>
      </c>
      <c r="H15" s="470">
        <f t="shared" si="1"/>
        <v>23873.346212943754</v>
      </c>
      <c r="I15" s="470">
        <f t="shared" si="1"/>
        <v>0</v>
      </c>
      <c r="J15" s="470">
        <f t="shared" si="1"/>
        <v>1075.0419546832222</v>
      </c>
      <c r="K15" s="470">
        <f t="shared" si="1"/>
        <v>0</v>
      </c>
      <c r="L15" s="470">
        <f t="shared" ca="1" si="1"/>
        <v>0</v>
      </c>
      <c r="M15" s="470">
        <f t="shared" si="1"/>
        <v>9245.6643173715584</v>
      </c>
      <c r="N15" s="470">
        <f t="shared" ca="1" si="1"/>
        <v>6363.6142310997948</v>
      </c>
      <c r="O15" s="470">
        <f t="shared" si="1"/>
        <v>59.406666666666666</v>
      </c>
      <c r="P15" s="470">
        <f t="shared" si="1"/>
        <v>95.333333333333329</v>
      </c>
      <c r="Q15" s="470">
        <f t="shared" ca="1" si="1"/>
        <v>522506.17408239341</v>
      </c>
    </row>
    <row r="17" spans="1:17">
      <c r="A17" s="473" t="s">
        <v>568</v>
      </c>
      <c r="B17" s="777">
        <f ca="1">huishoudens!B10</f>
        <v>0.28696167107282616</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9738.1624574813632</v>
      </c>
      <c r="C22" s="460">
        <f t="shared" ref="C22:C32" ca="1" si="3">C4*$C$17</f>
        <v>0</v>
      </c>
      <c r="D22" s="460">
        <f t="shared" ref="D22:D32" si="4">D4*$D$17</f>
        <v>17552.669581625094</v>
      </c>
      <c r="E22" s="460">
        <f t="shared" ref="E22:E32" si="5">E4*$E$17</f>
        <v>95.891300251594529</v>
      </c>
      <c r="F22" s="460">
        <f t="shared" ref="F22:F32" si="6">F4*$F$17</f>
        <v>0</v>
      </c>
      <c r="G22" s="460">
        <f t="shared" ref="G22:G32" si="7">G4*$G$17</f>
        <v>0</v>
      </c>
      <c r="H22" s="460">
        <f t="shared" ref="H22:H32" si="8">H4*$H$17</f>
        <v>0</v>
      </c>
      <c r="I22" s="460">
        <f t="shared" ref="I22:I32" si="9">I4*$I$17</f>
        <v>0</v>
      </c>
      <c r="J22" s="460">
        <f t="shared" ref="J22:J32" si="10">J4*$J$17</f>
        <v>267.07284741834832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27653.796186776399</v>
      </c>
    </row>
    <row r="23" spans="1:17">
      <c r="A23" s="459" t="s">
        <v>156</v>
      </c>
      <c r="B23" s="460">
        <f t="shared" ca="1" si="2"/>
        <v>7365.5675269485637</v>
      </c>
      <c r="C23" s="460">
        <f t="shared" ca="1" si="3"/>
        <v>0.63655462184873957</v>
      </c>
      <c r="D23" s="460">
        <f t="shared" ca="1" si="4"/>
        <v>4937.7148260675322</v>
      </c>
      <c r="E23" s="460">
        <f t="shared" si="5"/>
        <v>115.95924521569742</v>
      </c>
      <c r="F23" s="460">
        <f t="shared" ca="1" si="6"/>
        <v>1241.1767452506156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13661.054898104258</v>
      </c>
    </row>
    <row r="24" spans="1:17">
      <c r="A24" s="459" t="s">
        <v>194</v>
      </c>
      <c r="B24" s="460">
        <f t="shared" ca="1" si="2"/>
        <v>294.05278092670676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294.05278092670676</v>
      </c>
    </row>
    <row r="25" spans="1:17">
      <c r="A25" s="459" t="s">
        <v>112</v>
      </c>
      <c r="B25" s="460">
        <f t="shared" ca="1" si="2"/>
        <v>291.30801155258229</v>
      </c>
      <c r="C25" s="460">
        <f t="shared" ca="1" si="3"/>
        <v>10490.929411764706</v>
      </c>
      <c r="D25" s="460">
        <f t="shared" si="4"/>
        <v>0</v>
      </c>
      <c r="E25" s="460">
        <f t="shared" si="5"/>
        <v>2.4131982683237529</v>
      </c>
      <c r="F25" s="460">
        <f t="shared" si="6"/>
        <v>1160.2742683620909</v>
      </c>
      <c r="G25" s="460">
        <f t="shared" si="7"/>
        <v>0</v>
      </c>
      <c r="H25" s="460">
        <f t="shared" si="8"/>
        <v>0</v>
      </c>
      <c r="I25" s="460">
        <f t="shared" si="9"/>
        <v>0</v>
      </c>
      <c r="J25" s="460">
        <f t="shared" si="10"/>
        <v>32.094221489273686</v>
      </c>
      <c r="K25" s="460">
        <f t="shared" si="11"/>
        <v>0</v>
      </c>
      <c r="L25" s="460">
        <f t="shared" si="12"/>
        <v>0</v>
      </c>
      <c r="M25" s="460">
        <f t="shared" si="13"/>
        <v>0</v>
      </c>
      <c r="N25" s="460">
        <f t="shared" si="14"/>
        <v>0</v>
      </c>
      <c r="O25" s="460">
        <f t="shared" si="15"/>
        <v>0</v>
      </c>
      <c r="P25" s="461">
        <f t="shared" si="16"/>
        <v>0</v>
      </c>
      <c r="Q25" s="459">
        <f t="shared" ca="1" si="17"/>
        <v>11977.019111436975</v>
      </c>
    </row>
    <row r="26" spans="1:17">
      <c r="A26" s="459" t="s">
        <v>655</v>
      </c>
      <c r="B26" s="460">
        <f t="shared" ca="1" si="2"/>
        <v>11291.082690860214</v>
      </c>
      <c r="C26" s="460">
        <f t="shared" ca="1" si="3"/>
        <v>0</v>
      </c>
      <c r="D26" s="460">
        <f t="shared" si="4"/>
        <v>2082.6577886692266</v>
      </c>
      <c r="E26" s="460">
        <f t="shared" si="5"/>
        <v>79.735236563873826</v>
      </c>
      <c r="F26" s="460">
        <f t="shared" si="6"/>
        <v>2203.7117740171325</v>
      </c>
      <c r="G26" s="460">
        <f t="shared" si="7"/>
        <v>0</v>
      </c>
      <c r="H26" s="460">
        <f t="shared" si="8"/>
        <v>0</v>
      </c>
      <c r="I26" s="460">
        <f t="shared" si="9"/>
        <v>0</v>
      </c>
      <c r="J26" s="460">
        <f t="shared" si="10"/>
        <v>81.397783050238644</v>
      </c>
      <c r="K26" s="460">
        <f t="shared" si="11"/>
        <v>0</v>
      </c>
      <c r="L26" s="460">
        <f t="shared" si="12"/>
        <v>0</v>
      </c>
      <c r="M26" s="460">
        <f t="shared" si="13"/>
        <v>0</v>
      </c>
      <c r="N26" s="460">
        <f t="shared" si="14"/>
        <v>0</v>
      </c>
      <c r="O26" s="460">
        <f t="shared" si="15"/>
        <v>0</v>
      </c>
      <c r="P26" s="461">
        <f t="shared" si="16"/>
        <v>0</v>
      </c>
      <c r="Q26" s="459">
        <f t="shared" ca="1" si="17"/>
        <v>15738.585273160686</v>
      </c>
    </row>
    <row r="27" spans="1:17" s="465" customFormat="1">
      <c r="A27" s="463" t="s">
        <v>573</v>
      </c>
      <c r="B27" s="771">
        <f t="shared" ca="1" si="2"/>
        <v>0.42201097588838421</v>
      </c>
      <c r="C27" s="464">
        <f t="shared" ca="1" si="3"/>
        <v>0</v>
      </c>
      <c r="D27" s="464">
        <f t="shared" si="4"/>
        <v>1.3822264220711695</v>
      </c>
      <c r="E27" s="464">
        <f t="shared" si="5"/>
        <v>188.88115071566489</v>
      </c>
      <c r="F27" s="464">
        <f t="shared" si="6"/>
        <v>0</v>
      </c>
      <c r="G27" s="464">
        <f t="shared" si="7"/>
        <v>50026.357580589611</v>
      </c>
      <c r="H27" s="464">
        <f t="shared" si="8"/>
        <v>5944.4632070229945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56161.50617572623</v>
      </c>
    </row>
    <row r="28" spans="1:17">
      <c r="A28" s="459" t="s">
        <v>563</v>
      </c>
      <c r="B28" s="460">
        <f t="shared" ca="1" si="2"/>
        <v>298.9561129570555</v>
      </c>
      <c r="C28" s="460">
        <f t="shared" ca="1" si="3"/>
        <v>0</v>
      </c>
      <c r="D28" s="460">
        <f t="shared" si="4"/>
        <v>0</v>
      </c>
      <c r="E28" s="460">
        <f t="shared" si="5"/>
        <v>0</v>
      </c>
      <c r="F28" s="460">
        <f t="shared" si="6"/>
        <v>0</v>
      </c>
      <c r="G28" s="460">
        <f t="shared" si="7"/>
        <v>315.24739688242164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614.20350983947719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546.97844723505136</v>
      </c>
      <c r="C32" s="460">
        <f t="shared" ca="1" si="3"/>
        <v>0</v>
      </c>
      <c r="D32" s="460">
        <f t="shared" si="4"/>
        <v>834.47948052175684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1381.4579277568082</v>
      </c>
    </row>
    <row r="33" spans="1:17" s="472" customFormat="1">
      <c r="A33" s="469" t="s">
        <v>567</v>
      </c>
      <c r="B33" s="470">
        <f ca="1">SUM(B22:B32)</f>
        <v>29826.530038937424</v>
      </c>
      <c r="C33" s="470">
        <f t="shared" ref="C33:Q33" ca="1" si="19">SUM(C22:C32)</f>
        <v>10491.565966386555</v>
      </c>
      <c r="D33" s="470">
        <f t="shared" ca="1" si="19"/>
        <v>25408.90390330568</v>
      </c>
      <c r="E33" s="470">
        <f t="shared" si="19"/>
        <v>482.8801310151544</v>
      </c>
      <c r="F33" s="470">
        <f t="shared" ca="1" si="19"/>
        <v>4605.1627876298389</v>
      </c>
      <c r="G33" s="470">
        <f t="shared" si="19"/>
        <v>50341.60497747203</v>
      </c>
      <c r="H33" s="470">
        <f t="shared" si="19"/>
        <v>5944.4632070229945</v>
      </c>
      <c r="I33" s="470">
        <f t="shared" si="19"/>
        <v>0</v>
      </c>
      <c r="J33" s="470">
        <f t="shared" si="19"/>
        <v>380.5648519578607</v>
      </c>
      <c r="K33" s="470">
        <f t="shared" si="19"/>
        <v>0</v>
      </c>
      <c r="L33" s="470">
        <f t="shared" ca="1" si="19"/>
        <v>0</v>
      </c>
      <c r="M33" s="470">
        <f t="shared" si="19"/>
        <v>0</v>
      </c>
      <c r="N33" s="470">
        <f t="shared" ca="1" si="19"/>
        <v>0</v>
      </c>
      <c r="O33" s="470">
        <f t="shared" si="19"/>
        <v>0</v>
      </c>
      <c r="P33" s="470">
        <f t="shared" si="19"/>
        <v>0</v>
      </c>
      <c r="Q33" s="470">
        <f t="shared" ca="1" si="19"/>
        <v>127481.67586372753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2208.6028985179528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30903.375</v>
      </c>
      <c r="D8" s="1028">
        <f>'SEAP template'!D76</f>
        <v>36356.911764705881</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7344.096176470588</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2208.6028985179528</v>
      </c>
      <c r="C10" s="1032">
        <f>SUM(C4:C9)</f>
        <v>30903.375</v>
      </c>
      <c r="D10" s="1032">
        <f t="shared" ref="D10:H10" si="0">SUM(D8:D9)</f>
        <v>36356.911764705881</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7344.096176470588</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0.28696167107282616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44147.678571428572</v>
      </c>
      <c r="D17" s="1029">
        <f>'SEAP template'!D87</f>
        <v>51938.445378151257</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10491.565966386555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44147.678571428572</v>
      </c>
      <c r="D20" s="1032">
        <f t="shared" ref="D20:H20" si="2">SUM(D17:D19)</f>
        <v>51938.445378151257</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10491.565966386555</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0.28696167107282616</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2019-06-29T16:03:33Z</dcterms:modified>
</cp:coreProperties>
</file>