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Q26"/>
  <c r="N26"/>
  <c r="I26"/>
  <c r="J22"/>
  <c r="D5" i="17"/>
  <c r="D8" i="55" l="1"/>
  <c r="E90" i="14"/>
  <c r="E18" i="55"/>
  <c r="L78" i="14"/>
  <c r="L8" i="55"/>
  <c r="L10" s="1"/>
  <c r="G78" i="14"/>
  <c r="G9" i="55"/>
  <c r="G10" s="1"/>
  <c r="O78" i="14"/>
  <c r="O9" i="55"/>
  <c r="O10" s="1"/>
  <c r="C77" i="14"/>
  <c r="C9" i="55" s="1"/>
  <c r="F9"/>
  <c r="N78" i="14"/>
  <c r="N9" i="55"/>
  <c r="N10" s="1"/>
  <c r="F20"/>
  <c r="D101" i="18"/>
  <c r="Q22" i="14"/>
  <c r="M87"/>
  <c r="P32" i="48"/>
  <c r="G101" i="18"/>
  <c r="I8" s="1"/>
  <c r="O20" i="55"/>
  <c r="H90" i="14"/>
  <c r="K22"/>
  <c r="L22"/>
  <c r="C101" i="18"/>
  <c r="F76" i="14"/>
  <c r="D10" i="55"/>
  <c r="K20"/>
  <c r="B14" i="48"/>
  <c r="Q14" s="1"/>
  <c r="F101" i="18"/>
  <c r="F90" i="14"/>
  <c r="F18" i="55"/>
  <c r="N90" i="14"/>
  <c r="N18" i="55"/>
  <c r="N20" s="1"/>
  <c r="P22" i="14"/>
  <c r="M76"/>
  <c r="M8" i="55" s="1"/>
  <c r="M10" s="1"/>
  <c r="L90" i="14"/>
  <c r="E20" i="55"/>
  <c r="G20"/>
  <c r="H101" i="18"/>
  <c r="J8" s="1"/>
  <c r="D22" i="14"/>
  <c r="L20" i="55"/>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M90"/>
  <c r="M17" i="55"/>
  <c r="M20" s="1"/>
  <c r="Q78" i="14"/>
  <c r="B9" i="6" s="1"/>
  <c r="P9" i="55"/>
  <c r="P10" s="1"/>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2" i="48"/>
  <c r="E30"/>
  <c r="E24"/>
  <c r="E29"/>
  <c r="E31"/>
  <c r="E28"/>
  <c r="M32"/>
  <c r="M26"/>
  <c r="M24"/>
  <c r="M30"/>
  <c r="M29"/>
  <c r="M22"/>
  <c r="M25"/>
  <c r="K5"/>
  <c r="L10" i="14"/>
  <c r="L16" s="1"/>
  <c r="L27" s="1"/>
  <c r="D29" i="48"/>
  <c r="D32"/>
  <c r="D30"/>
  <c r="D24"/>
  <c r="D31"/>
  <c r="D28"/>
  <c r="L29"/>
  <c r="L30"/>
  <c r="L24"/>
  <c r="L32"/>
  <c r="L22"/>
  <c r="L28"/>
  <c r="L31"/>
  <c r="L27"/>
  <c r="Q10" i="14"/>
  <c r="P5" i="48"/>
  <c r="P23" s="1"/>
  <c r="K30"/>
  <c r="K32"/>
  <c r="K27"/>
  <c r="K31"/>
  <c r="K29"/>
  <c r="K28"/>
  <c r="K26"/>
  <c r="K24"/>
  <c r="K25"/>
  <c r="K22"/>
  <c r="B10"/>
  <c r="C19" i="14"/>
  <c r="I5" i="48"/>
  <c r="J10" i="14"/>
  <c r="J16" s="1"/>
  <c r="J27" s="1"/>
  <c r="J32" i="48"/>
  <c r="J29"/>
  <c r="J27"/>
  <c r="J31"/>
  <c r="J24"/>
  <c r="J30"/>
  <c r="J28"/>
  <c r="Q11" i="14"/>
  <c r="P4" i="48"/>
  <c r="O4"/>
  <c r="P11" i="14"/>
  <c r="I31" i="48"/>
  <c r="I32"/>
  <c r="I30"/>
  <c r="I24"/>
  <c r="I28"/>
  <c r="I27"/>
  <c r="I25"/>
  <c r="I26"/>
  <c r="I29"/>
  <c r="I22"/>
  <c r="H12" i="22"/>
  <c r="H13" i="48"/>
  <c r="H31" s="1"/>
  <c r="I18" i="14"/>
  <c r="D4" i="48"/>
  <c r="D22" s="1"/>
  <c r="E11" i="14"/>
  <c r="H30" i="48"/>
  <c r="H32"/>
  <c r="H22"/>
  <c r="H24"/>
  <c r="H29"/>
  <c r="H25"/>
  <c r="H28"/>
  <c r="H26"/>
  <c r="H23"/>
  <c r="C4"/>
  <c r="D11" i="14"/>
  <c r="G30" i="48"/>
  <c r="G32"/>
  <c r="G26"/>
  <c r="G24"/>
  <c r="G22"/>
  <c r="G29"/>
  <c r="G25"/>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O5"/>
  <c r="O23" s="1"/>
  <c r="P10" i="14"/>
  <c r="N18"/>
  <c r="M13" i="48"/>
  <c r="M31" s="1"/>
  <c r="P15"/>
  <c r="P22"/>
  <c r="P33" s="1"/>
  <c r="I20" i="14"/>
  <c r="H9" i="48"/>
  <c r="O22"/>
  <c r="G11" i="14"/>
  <c r="F4" i="48"/>
  <c r="F22" s="1"/>
  <c r="G12" i="22"/>
  <c r="H18" i="14"/>
  <c r="G13" i="48"/>
  <c r="P22" i="16"/>
  <c r="Q43" i="14" s="1"/>
  <c r="P8" i="48"/>
  <c r="P26" s="1"/>
  <c r="Q13" i="14"/>
  <c r="I22"/>
  <c r="I27" s="1"/>
  <c r="J63"/>
  <c r="Q16"/>
  <c r="Q27" s="1"/>
  <c r="C8" i="48"/>
  <c r="D16" i="15"/>
  <c r="D5" i="48" s="1"/>
  <c r="L46" i="14"/>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N4" i="48"/>
  <c r="N22" s="1"/>
  <c r="O11" i="14"/>
  <c r="G9" i="48"/>
  <c r="H20" i="14"/>
  <c r="C20"/>
  <c r="B9" i="48"/>
  <c r="Q13"/>
  <c r="G31"/>
  <c r="R18" i="14"/>
  <c r="J4" i="48"/>
  <c r="J22" s="1"/>
  <c r="K11" i="14"/>
  <c r="E9" i="48"/>
  <c r="E27" s="1"/>
  <c r="F20" i="14"/>
  <c r="F22" s="1"/>
  <c r="H27" i="48"/>
  <c r="H33" s="1"/>
  <c r="H15"/>
  <c r="E20" i="14"/>
  <c r="E22" s="1"/>
  <c r="D9" i="48"/>
  <c r="D27" s="1"/>
  <c r="O8"/>
  <c r="P13" i="14"/>
  <c r="P46"/>
  <c r="P61" s="1"/>
  <c r="P63" s="1"/>
  <c r="C15" i="48"/>
  <c r="Q46" i="14"/>
  <c r="Q61" s="1"/>
  <c r="Q63" s="1"/>
  <c r="E10"/>
  <c r="M10" i="48"/>
  <c r="M28" s="1"/>
  <c r="N19" i="14"/>
  <c r="E12" i="13"/>
  <c r="F41" i="14" s="1"/>
  <c r="E4" i="48"/>
  <c r="F11" i="14"/>
  <c r="R11" s="1"/>
  <c r="P16"/>
  <c r="P27"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B15" i="48"/>
  <c r="G28"/>
  <c r="Q10"/>
  <c r="M18" i="22"/>
  <c r="N50" i="14" s="1"/>
  <c r="N52" s="1"/>
  <c r="N61" s="1"/>
  <c r="M9" i="48"/>
  <c r="N20" i="14"/>
  <c r="H22"/>
  <c r="H27" s="1"/>
  <c r="H63" s="1"/>
  <c r="O26" i="48"/>
  <c r="O33" s="1"/>
  <c r="O15"/>
  <c r="G27"/>
  <c r="G33" s="1"/>
  <c r="G15"/>
  <c r="E22"/>
  <c r="Q4"/>
  <c r="R20" i="14"/>
  <c r="C22"/>
  <c r="Q9" i="48"/>
  <c r="R22" i="14"/>
  <c r="J5" i="48"/>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<sst xmlns="http://schemas.openxmlformats.org/spreadsheetml/2006/main" count="2574" uniqueCount="995">
  <si>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</si>
  <si>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</si>
  <si>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</si>
  <si>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</si>
  <si>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</si>
  <si>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</si>
  <si>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</si>
  <si>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</si>
  <si>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</si>
  <si>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</si>
  <si>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</si>
  <si>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</si>
  <si>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</si>
  <si>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</si>
  <si>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</si>
  <si>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</si>
  <si>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</si>
  <si>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</si>
  <si>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</si>
  <si>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</si>
  <si>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</si>
  <si>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</si>
  <si>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</si>
  <si>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</si>
  <si>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</si>
  <si>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</si>
  <si>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</si>
  <si>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</si>
  <si>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</si>
  <si>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</si>
  <si>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</si>
  <si>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</si>
  <si>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</si>
  <si>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</si>
  <si>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</si>
  <si>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</si>
  <si>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</si>
  <si>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</si>
  <si>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</si>
  <si>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</si>
  <si>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</si>
  <si>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</si>
  <si>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</si>
  <si>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</si>
  <si>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</si>
  <si>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</si>
  <si>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</si>
  <si>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</si>
  <si>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</si>
  <si>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</si>
  <si>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</si>
  <si>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</si>
  <si>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</si>
  <si>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</si>
  <si>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</si>
  <si>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</si>
  <si>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</si>
  <si>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</si>
  <si>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</si>
  <si>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</si>
  <si>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</si>
  <si>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</si>
  <si>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</si>
  <si>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</si>
  <si>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</si>
  <si>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</si>
  <si>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</si>
  <si>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</si>
  <si>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</si>
  <si>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</si>
  <si>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</si>
  <si>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</si>
  <si>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</si>
  <si>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</si>
  <si>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</si>
  <si>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</si>
  <si>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</si>
  <si>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</si>
  <si>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</si>
  <si>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</si>
  <si>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</si>
  <si>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</si>
  <si>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</si>
  <si>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</si>
  <si>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</si>
  <si>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</si>
  <si>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</si>
  <si>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</si>
  <si>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</si>
  <si>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</si>
  <si>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</si>
  <si>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</si>
  <si>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</si>
  <si>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</si>
  <si>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</si>
  <si>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</si>
  <si>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</si>
  <si>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</si>
  <si>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</si>
  <si>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</si>
  <si>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</si>
  <si>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</si>
  <si>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</si>
  <si>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</si>
  <si>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</si>
  <si>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</si>
  <si>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</si>
  <si>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</si>
  <si>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</si>
  <si>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</si>
  <si>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</si>
  <si>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</si>
  <si>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</si>
  <si>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</si>
  <si>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</si>
  <si>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</si>
  <si>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</si>
  <si>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</si>
  <si>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</si>
  <si>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</si>
  <si>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</si>
  <si>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</si>
  <si>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</si>
  <si>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</si>
  <si>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</si>
  <si>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</si>
  <si>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</si>
  <si>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</si>
  <si>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</si>
  <si>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</si>
  <si>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</si>
  <si>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</si>
  <si>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</si>
  <si>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</si>
  <si>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</si>
  <si>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</si>
  <si>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</si>
  <si>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</si>
  <si>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</si>
  <si>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</si>
  <si>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</si>
  <si>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</si>
  <si>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</si>
  <si>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</si>
  <si>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</si>
  <si>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</si>
  <si>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</si>
  <si>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</si>
  <si>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</si>
  <si>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</si>
  <si>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</si>
  <si>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</si>
  <si>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</si>
  <si>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</si>
  <si>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</si>
  <si>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</si>
  <si>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</si>
  <si>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</si>
  <si>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</si>
  <si>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</si>
  <si>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</si>
  <si>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</si>
  <si>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</si>
  <si>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</si>
  <si>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</si>
  <si>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</si>
  <si>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</si>
  <si>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</si>
  <si>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</si>
  <si>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</si>
  <si>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</si>
  <si>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</si>
  <si>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</si>
  <si>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</si>
  <si>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</si>
  <si>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</si>
  <si>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</si>
  <si>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</si>
  <si>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</si>
  <si>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</si>
  <si>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</si>
  <si>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</si>
  <si>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</si>
  <si>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</si>
  <si>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</si>
  <si>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</si>
  <si>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</si>
  <si>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</si>
  <si>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</si>
  <si>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</si>
  <si>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</si>
  <si>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</si>
  <si>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</si>
  <si>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</si>
  <si>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</si>
  <si>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</si>
  <si>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</si>
  <si>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</si>
  <si>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</si>
  <si>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</si>
  <si>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</si>
  <si>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</si>
  <si>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</si>
  <si>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</si>
  <si>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</si>
  <si>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</si>
  <si>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</si>
  <si>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</si>
  <si>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</si>
  <si>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</si>
  <si>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</si>
  <si>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</si>
  <si>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</si>
  <si>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</si>
  <si>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</si>
  <si>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</si>
  <si>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</si>
  <si>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</si>
  <si>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</si>
  <si>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</si>
  <si>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</si>
  <si>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</si>
  <si>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</si>
  <si>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</si>
  <si>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</si>
  <si>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</si>
  <si>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</si>
  <si>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</si>
  <si>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</si>
  <si>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</si>
  <si>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</si>
  <si>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</si>
  <si>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</si>
  <si>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</si>
  <si>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</si>
  <si>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</si>
  <si>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</si>
  <si>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</si>
  <si>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</si>
  <si>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</si>
  <si>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</si>
  <si>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</si>
  <si>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</si>
  <si>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</si>
  <si>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</si>
  <si>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</si>
  <si>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</si>
  <si>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</si>
  <si>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</si>
  <si>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</si>
  <si>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</si>
  <si>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</si>
  <si>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</si>
  <si>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</si>
  <si>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</si>
  <si>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</si>
  <si>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</si>
  <si>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</si>
  <si>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</si>
  <si>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</si>
  <si>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</si>
  <si>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</si>
  <si>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</si>
  <si>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</si>
  <si>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</si>
  <si>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</si>
  <si>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</si>
  <si>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</si>
  <si>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</si>
  <si>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</si>
  <si>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</si>
  <si>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</si>
  <si>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</si>
  <si>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</si>
  <si>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</si>
  <si>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</si>
  <si>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</si>
  <si>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</si>
  <si>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</si>
  <si>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</si>
  <si>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</si>
  <si>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</si>
  <si>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</si>
  <si>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</si>
  <si>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</si>
  <si>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</si>
  <si>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</si>
  <si>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</si>
  <si>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</si>
  <si>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</si>
  <si>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</si>
  <si>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</si>
  <si>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</si>
  <si>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</si>
  <si>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</si>
  <si>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</si>
  <si>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</si>
  <si>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</si>
  <si>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</si>
  <si>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</si>
  <si>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</si>
  <si>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</si>
  <si>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</si>
  <si>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</si>
  <si>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</si>
  <si>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</si>
  <si>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</si>
  <si>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</si>
  <si>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</si>
  <si>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</si>
  <si>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</si>
  <si>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</si>
  <si>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</si>
  <si>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</si>
  <si>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</si>
  <si>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</si>
  <si>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</si>
  <si>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</si>
  <si>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</si>
  <si>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</si>
  <si>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</si>
  <si>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</si>
  <si>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</si>
  <si>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</si>
  <si>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</si>
  <si>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</si>
  <si>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</si>
  <si>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</si>
  <si>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</si>
  <si>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</si>
  <si>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</si>
  <si>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</si>
  <si>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</si>
  <si>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</si>
  <si>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</si>
  <si>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</si>
  <si>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</si>
  <si>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</si>
  <si>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</si>
  <si>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</si>
  <si>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</si>
  <si>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</si>
  <si>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</si>
  <si>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</si>
  <si>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</si>
  <si>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</si>
  <si>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</si>
  <si>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</si>
  <si>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</si>
  <si>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</si>
  <si>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</si>
  <si>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</si>
  <si>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</si>
  <si>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</si>
  <si>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</si>
  <si>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</si>
  <si>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</si>
  <si>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</si>
  <si>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</si>
  <si>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</si>
  <si>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</si>
  <si>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</si>
  <si>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</si>
  <si>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</si>
  <si>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</si>
  <si>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</si>
  <si>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</si>
  <si>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</si>
  <si>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</si>
  <si>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</si>
  <si>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</si>
  <si>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</si>
  <si>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</si>
  <si>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</si>
  <si>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</si>
  <si>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</si>
  <si>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</si>
  <si>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</si>
  <si>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</si>
  <si>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</si>
  <si>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</si>
  <si>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</si>
  <si>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</si>
  <si>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</si>
  <si>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</si>
  <si>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</si>
  <si>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</si>
  <si>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</si>
  <si>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</si>
  <si>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</si>
  <si>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</si>
  <si>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</si>
  <si>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</si>
  <si>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</si>
  <si>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</si>
  <si>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</si>
  <si>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</si>
  <si>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</si>
  <si>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</si>
  <si>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</si>
  <si>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</si>
  <si>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</si>
  <si>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</si>
  <si>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</si>
  <si>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</si>
  <si>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</si>
  <si>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</si>
  <si>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</si>
  <si>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</si>
  <si>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</si>
  <si>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</si>
  <si>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</si>
  <si>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</si>
  <si>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</si>
  <si>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</si>
  <si>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</si>
  <si>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</si>
  <si>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</si>
  <si>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</si>
  <si>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</si>
  <si>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</si>
  <si>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</si>
  <si>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</si>
  <si>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</si>
  <si>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</si>
  <si>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</si>
  <si>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</si>
  <si>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</si>
  <si>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</si>
  <si>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</si>
  <si>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</si>
  <si>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</si>
  <si>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</si>
  <si>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</si>
  <si>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</si>
  <si>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</si>
  <si>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</si>
  <si>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</si>
  <si>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</si>
  <si>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</si>
  <si>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</si>
  <si>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</si>
  <si>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</si>
  <si>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</si>
  <si>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</si>
  <si>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</si>
  <si>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</si>
  <si>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</si>
  <si>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</si>
  <si>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</si>
  <si>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</si>
  <si>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</si>
  <si>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</si>
  <si>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</si>
  <si>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</si>
  <si>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</si>
  <si>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</si>
  <si>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</si>
  <si>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</si>
  <si>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</si>
  <si>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</si>
  <si>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</si>
  <si>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</si>
  <si>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</si>
  <si>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</si>
  <si>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</si>
  <si>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</si>
  <si>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</si>
  <si>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</si>
  <si>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</si>
  <si>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</si>
  <si>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</si>
  <si>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</si>
  <si>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</si>
  <si>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</si>
  <si>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</si>
  <si>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</si>
  <si>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</si>
  <si>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</si>
  <si>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</si>
  <si>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</si>
  <si>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</si>
  <si>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</si>
  <si>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</si>
  <si>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</si>
  <si>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</si>
  <si>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</si>
  <si>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</si>
  <si>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</si>
  <si>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</si>
  <si>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</si>
  <si>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</si>
  <si>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</si>
  <si>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</si>
  <si>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</si>
  <si>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</si>
  <si>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</si>
  <si>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</si>
  <si>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</si>
  <si>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</si>
  <si>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</si>
  <si>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</si>
  <si>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</si>
  <si>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</si>
  <si>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</si>
  <si>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</si>
  <si>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</si>
  <si>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</si>
  <si>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</si>
  <si>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</si>
  <si>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</si>
  <si>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</si>
  <si>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</si>
  <si>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</si>
  <si>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</si>
  <si>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</si>
  <si>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</si>
  <si>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</si>
  <si>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</si>
  <si>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</si>
  <si>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</si>
  <si>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</si>
  <si>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</si>
  <si>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</si>
  <si>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</si>
  <si>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</si>
  <si>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</si>
  <si>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</si>
  <si>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</si>
  <si>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</si>
  <si>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</si>
  <si>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</si>
  <si>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</si>
  <si>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</si>
  <si>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</si>
  <si>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</si>
  <si>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</si>
  <si>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</si>
  <si>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</si>
  <si>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</si>
  <si>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</si>
  <si>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</si>
  <si>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</si>
  <si>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</si>
  <si>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</si>
  <si>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</si>
  <si>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</si>
  <si>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</si>
  <si>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</si>
  <si>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</si>
  <si>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</si>
  <si>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</si>
  <si>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</si>
  <si>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</si>
  <si>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</si>
  <si>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</si>
  <si>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</si>
  <si>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</si>
  <si>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</si>
  <si>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</si>
  <si>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</si>
  <si>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</si>
  <si>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</si>
  <si>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</si>
  <si>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</si>
  <si>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</si>
  <si>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</si>
  <si>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</si>
  <si>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</si>
  <si>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</si>
  <si>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</si>
  <si>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</si>
  <si>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</si>
  <si>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</si>
  <si>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</si>
  <si>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</si>
  <si>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</si>
  <si>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</si>
  <si>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</si>
  <si>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</si>
  <si>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</si>
  <si>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</si>
  <si>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</si>
  <si>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</si>
  <si>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</si>
  <si>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</si>
  <si>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</si>
  <si>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</si>
  <si>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</si>
  <si>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</si>
  <si>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</si>
  <si>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</si>
  <si>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</si>
  <si>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</si>
  <si>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</si>
  <si>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</si>
  <si>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</si>
  <si>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</si>
  <si>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</si>
  <si>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</si>
  <si>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</si>
  <si>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</si>
  <si>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</si>
  <si>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</si>
  <si>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</si>
  <si>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</si>
  <si>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</si>
  <si>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</si>
  <si>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</si>
  <si>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</si>
  <si>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</si>
  <si>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</si>
  <si>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</si>
  <si>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</si>
  <si>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</si>
  <si>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</si>
  <si>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</si>
  <si>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</si>
  <si>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</si>
  <si>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</si>
  <si>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</si>
  <si>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</si>
  <si>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</si>
  <si>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</si>
  <si>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</si>
  <si>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</si>
  <si>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</si>
  <si>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</si>
  <si>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</si>
  <si>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</si>
  <si>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</si>
  <si>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</si>
  <si>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</si>
  <si>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</si>
  <si>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</si>
  <si>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</si>
  <si>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</si>
  <si>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</si>
  <si>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</si>
  <si>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</si>
  <si>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</si>
  <si>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</si>
  <si>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</si>
  <si>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</si>
  <si>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</si>
  <si>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</si>
  <si>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</si>
  <si>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</si>
  <si>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</si>
  <si>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</si>
  <si>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</si>
  <si>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</si>
  <si>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</si>
  <si>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</si>
  <si>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</si>
  <si>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</si>
  <si>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</si>
  <si>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</si>
  <si>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</si>
  <si>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</si>
  <si>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</si>
  <si>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</si>
  <si>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</si>
  <si>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</si>
  <si>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</si>
  <si>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</si>
  <si>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</si>
  <si>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</si>
  <si>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</si>
  <si>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</si>
  <si>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</si>
  <si>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</si>
  <si>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</si>
  <si>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</si>
  <si>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</si>
  <si>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</si>
  <si>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</si>
  <si>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</si>
  <si>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</si>
  <si>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</si>
  <si>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</si>
  <si>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</si>
  <si>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</si>
  <si>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</si>
  <si>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</si>
  <si>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</si>
  <si>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</si>
  <si>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</si>
  <si>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</si>
  <si>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</si>
  <si>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</si>
  <si>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</si>
  <si>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</si>
  <si>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</si>
  <si>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</si>
  <si>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</si>
  <si>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</si>
  <si>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</si>
  <si>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</si>
  <si>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</si>
  <si>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</si>
  <si>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</si>
  <si>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</si>
  <si>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</si>
  <si>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</si>
  <si>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</si>
  <si>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</si>
  <si>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</si>
  <si>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</si>
  <si>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</si>
  <si>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</si>
  <si>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</si>
  <si>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</si>
  <si>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</si>
  <si>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</si>
  <si>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</si>
  <si>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</si>
  <si>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</si>
  <si>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</si>
  <si>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</si>
  <si>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</si>
  <si>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</si>
  <si>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</si>
  <si>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</si>
  <si>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</si>
  <si>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</si>
  <si>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</si>
  <si>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</si>
  <si>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</si>
  <si>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</si>
  <si>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</si>
  <si>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</si>
  <si>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</si>
  <si>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</si>
  <si>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</si>
  <si>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</si>
  <si>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</si>
  <si>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</si>
  <si>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</si>
  <si>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</si>
  <si>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</si>
  <si>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</si>
  <si>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</si>
  <si>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</si>
  <si>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</si>
  <si>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</si>
  <si>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</si>
  <si>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</si>
  <si>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</si>
  <si>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</si>
  <si>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</si>
  <si>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</si>
  <si>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</si>
  <si>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</si>
  <si>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</si>
  <si>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</si>
  <si>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</si>
  <si>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</si>
  <si>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</si>
  <si>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</si>
  <si>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</si>
  <si>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</si>
  <si>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</si>
  <si>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</si>
  <si>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</si>
  <si>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</si>
  <si>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</si>
  <si>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</si>
  <si>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</si>
  <si>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</si>
  <si>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</si>
  <si>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</si>
  <si>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</si>
  <si>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</si>
  <si>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</si>
  <si>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</si>
  <si>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</si>
  <si>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</si>
  <si>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</si>
  <si>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</si>
  <si>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</si>
  <si>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</si>
  <si>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</si>
  <si>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</si>
  <si>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</si>
  <si>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</si>
  <si>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</si>
  <si>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</si>
  <si>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</si>
  <si>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</si>
  <si>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</si>
  <si>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</si>
  <si>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</si>
  <si>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</si>
  <si>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</si>
  <si>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</si>
  <si>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</si>
  <si>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</si>
  <si>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</si>
  <si>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</si>
  <si>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</si>
  <si>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</si>
  <si>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</si>
  <si>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</si>
  <si>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</si>
  <si>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</si>
  <si>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</si>
  <si>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</si>
  <si>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</si>
  <si>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</si>
  <si>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</si>
  <si>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</si>
  <si>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</si>
  <si>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</si>
  <si>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</si>
  <si>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</si>
  <si>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</si>
  <si>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</si>
  <si>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</si>
  <si>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</si>
  <si>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</si>
  <si>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</si>
  <si>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</si>
  <si>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</si>
  <si>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</si>
  <si>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</si>
  <si>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</si>
  <si>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</si>
  <si>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</si>
  <si>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</si>
  <si>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</si>
  <si>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</si>
  <si>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</si>
  <si>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</si>
  <si>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</si>
  <si>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</si>
  <si>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</si>
  <si>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</si>
  <si>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</si>
  <si>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</si>
  <si>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</si>
  <si>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</si>
  <si>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</si>
  <si>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</si>
  <si>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</si>
  <si>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</si>
  <si>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</si>
  <si>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</si>
  <si>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</si>
  <si>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</si>
  <si>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</si>
  <si>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</si>
  <si>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</si>
  <si>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</si>
  <si>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</si>
  <si>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</si>
  <si>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</si>
  <si>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</si>
  <si>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</si>
  <si>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</si>
  <si>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</si>
  <si>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</si>
  <si>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</si>
  <si>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</si>
  <si>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</si>
  <si>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</si>
  <si>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</si>
  <si>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</si>
  <si>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</si>
  <si>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</si>
  <si>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</si>
  <si>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</si>
  <si>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</si>
  <si>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</si>
  <si>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</si>
  <si>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</si>
  <si>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</si>
  <si>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</si>
  <si>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</si>
  <si>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</si>
  <si>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</si>
  <si>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</si>
  <si>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</si>
  <si>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</si>
  <si>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</si>
  <si>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</si>
  <si>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</si>
  <si>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</si>
  <si>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</si>
  <si>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</si>
  <si>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</si>
  <si>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</si>
  <si>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</si>
  <si>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</si>
  <si>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</si>
  <si>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</si>
  <si>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</si>
  <si>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</si>
  <si>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</si>
  <si>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</si>
  <si>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</si>
  <si>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</si>
  <si>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</si>
  <si>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</si>
  <si>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</si>
  <si>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</si>
  <si>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</si>
  <si>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</si>
  <si>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</si>
  <si>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</si>
  <si>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</si>
  <si>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</si>
  <si>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</si>
  <si>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</si>
  <si>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</si>
  <si>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</si>
  <si>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</si>
  <si>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</si>
  <si>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</si>
  <si>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</si>
  <si>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</si>
  <si>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</si>
  <si>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</si>
  <si>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</si>
  <si>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</si>
  <si>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</si>
  <si>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</si>
  <si>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</si>
  <si>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</si>
  <si>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</si>
  <si>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</si>
  <si>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</si>
  <si>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</si>
  <si>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</si>
  <si>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</si>
  <si>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</si>
  <si>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</si>
  <si>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</si>
  <si>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</si>
  <si>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</si>
  <si>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</si>
  <si>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</si>
  <si>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</si>
  <si>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</si>
  <si>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</si>
  <si>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</si>
  <si>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</si>
  <si>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</si>
  <si>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</si>
  <si>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</si>
  <si>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</si>
  <si>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</si>
  <si>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</si>
  <si>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</si>
  <si>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11004</t>
  </si>
  <si>
    <t>BOECHOUT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</si>
  <si>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</si>
  <si>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</si>
  <si>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</si>
  <si>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</si>
  <si>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</si>
  <si>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</si>
  <si>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</si>
  <si>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Herman Vervoort bvba</t>
  </si>
  <si>
    <t>Mussenhoevelaan 150 , 2530 Boechout</t>
  </si>
  <si>
    <t>WKK-0297 Herman Vervoort</t>
  </si>
  <si>
    <t>interne verbrandingsmotor</t>
  </si>
  <si>
    <t>WKK interne verbrandinsgmotor (gas)</t>
  </si>
  <si>
    <t>eilandwerking</t>
  </si>
  <si>
    <t>Groeikracht Marveco NV</t>
  </si>
  <si>
    <t>Pietingbaan 81, 2531 Vremde</t>
  </si>
  <si>
    <t>WKK-0072 Groeikracht Marveco</t>
  </si>
  <si>
    <t>IVEG</t>
  </si>
  <si>
    <t>Tuinbouw Naenen-Bruynseels nv</t>
  </si>
  <si>
    <t>Hellestraat 80 , 2530 Boechout</t>
  </si>
  <si>
    <t>WKK-0039 Tuinbouw Naenen-Bruynseels</t>
  </si>
  <si>
    <t>Generaal de Wittelaan 17 bus7, 2530 Boechout</t>
  </si>
  <si>
    <t>Josikem cvba</t>
  </si>
  <si>
    <t>Grotehoeveweg 51 , 2531 Vremde</t>
  </si>
  <si>
    <t>WKK-0333 Josikem</t>
  </si>
  <si>
    <t>SupraNatura bvba</t>
  </si>
  <si>
    <t>Wommelgemsesteenweg 92 , 2531 Vremde</t>
  </si>
  <si>
    <t>WKK-0330 Supra-Natura</t>
  </si>
  <si>
    <t>Wimceco BVBA</t>
  </si>
  <si>
    <t>Mussenhoevelaan 160, 2530 Boechout</t>
  </si>
  <si>
    <t>WKK-0068 Wimceco</t>
  </si>
  <si>
    <t>Tomatenkwekerij A&amp;D Naenen nv</t>
  </si>
  <si>
    <t>Lispersteenweg 71 , 2530 Boechout</t>
  </si>
  <si>
    <t>WKK-0020 Tomatenkwekerij A&amp;D Naenen</t>
  </si>
  <si>
    <t>Groeikracht Vremde NV</t>
  </si>
  <si>
    <t>Beemdweg 16, 2531 Vremde</t>
  </si>
  <si>
    <t>WKK-0123 Groeikracht Vremde</t>
  </si>
  <si>
    <t>Den Boschkant bvba</t>
  </si>
  <si>
    <t>Wommelgemsesteenweg 125, 2531 Vremde</t>
  </si>
  <si>
    <t>WKK-0113 Den Boschkant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</si>
</sst>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11004</v>
      </c>
      <c r="B6" s="396"/>
      <c r="C6" s="397"/>
    </row>
    <row r="7" spans="1:7" s="394" customFormat="1" ht="15.75" customHeight="1">
      <c r="A7" s="398" t="str">
        <f>txtMunicipality</f>
        <v>BOECHOUT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0.57144963701625195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0.57144963701625195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4977</v>
      </c>
      <c r="C9" s="336">
        <v>5289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925</v>
      </c>
    </row>
    <row r="15" spans="1:6">
      <c r="A15" s="1277" t="s">
        <v>184</v>
      </c>
      <c r="B15" s="333">
        <v>1</v>
      </c>
    </row>
    <row r="16" spans="1:6">
      <c r="A16" s="1277" t="s">
        <v>6</v>
      </c>
      <c r="B16" s="333">
        <v>29</v>
      </c>
    </row>
    <row r="17" spans="1:6">
      <c r="A17" s="1277" t="s">
        <v>7</v>
      </c>
      <c r="B17" s="333">
        <v>126</v>
      </c>
    </row>
    <row r="18" spans="1:6">
      <c r="A18" s="1277" t="s">
        <v>8</v>
      </c>
      <c r="B18" s="333">
        <v>112</v>
      </c>
    </row>
    <row r="19" spans="1:6">
      <c r="A19" s="1277" t="s">
        <v>9</v>
      </c>
      <c r="B19" s="333">
        <v>82</v>
      </c>
    </row>
    <row r="20" spans="1:6">
      <c r="A20" s="1277" t="s">
        <v>10</v>
      </c>
      <c r="B20" s="333">
        <v>70</v>
      </c>
    </row>
    <row r="21" spans="1:6">
      <c r="A21" s="1277" t="s">
        <v>11</v>
      </c>
      <c r="B21" s="333">
        <v>0</v>
      </c>
    </row>
    <row r="22" spans="1:6">
      <c r="A22" s="1277" t="s">
        <v>12</v>
      </c>
      <c r="B22" s="333">
        <v>0</v>
      </c>
    </row>
    <row r="23" spans="1:6">
      <c r="A23" s="1277" t="s">
        <v>13</v>
      </c>
      <c r="B23" s="333">
        <v>0</v>
      </c>
    </row>
    <row r="24" spans="1:6">
      <c r="A24" s="1277" t="s">
        <v>14</v>
      </c>
      <c r="B24" s="333">
        <v>1</v>
      </c>
    </row>
    <row r="25" spans="1:6">
      <c r="A25" s="1277" t="s">
        <v>15</v>
      </c>
      <c r="B25" s="333">
        <v>0</v>
      </c>
    </row>
    <row r="26" spans="1:6">
      <c r="A26" s="1277" t="s">
        <v>16</v>
      </c>
      <c r="B26" s="333">
        <v>54</v>
      </c>
    </row>
    <row r="27" spans="1:6">
      <c r="A27" s="1277" t="s">
        <v>17</v>
      </c>
      <c r="B27" s="333">
        <v>0</v>
      </c>
    </row>
    <row r="28" spans="1:6">
      <c r="A28" s="1277" t="s">
        <v>18</v>
      </c>
      <c r="B28" s="333">
        <v>9182</v>
      </c>
    </row>
    <row r="29" spans="1:6">
      <c r="A29" s="1277" t="s">
        <v>957</v>
      </c>
      <c r="B29" s="333">
        <v>66</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15764996</v>
      </c>
      <c r="E38" s="333">
        <v>3</v>
      </c>
      <c r="F38" s="333">
        <v>331967</v>
      </c>
    </row>
    <row r="39" spans="1:6">
      <c r="A39" s="1277" t="s">
        <v>30</v>
      </c>
      <c r="B39" s="1277" t="s">
        <v>31</v>
      </c>
      <c r="C39" s="333">
        <v>4000</v>
      </c>
      <c r="D39" s="333">
        <v>74908919</v>
      </c>
      <c r="E39" s="333">
        <v>5114</v>
      </c>
      <c r="F39" s="333">
        <v>22469063</v>
      </c>
    </row>
    <row r="40" spans="1:6">
      <c r="A40" s="1277" t="s">
        <v>30</v>
      </c>
      <c r="B40" s="1277" t="s">
        <v>29</v>
      </c>
      <c r="C40" s="333">
        <v>0</v>
      </c>
      <c r="D40" s="333">
        <v>0</v>
      </c>
      <c r="E40" s="333">
        <v>0</v>
      </c>
      <c r="F40" s="333">
        <v>0</v>
      </c>
    </row>
    <row r="41" spans="1:6">
      <c r="A41" s="1277" t="s">
        <v>32</v>
      </c>
      <c r="B41" s="1277" t="s">
        <v>33</v>
      </c>
      <c r="C41" s="333">
        <v>19</v>
      </c>
      <c r="D41" s="333">
        <v>552793</v>
      </c>
      <c r="E41" s="333">
        <v>43</v>
      </c>
      <c r="F41" s="333">
        <v>369929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2519160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1423149</v>
      </c>
      <c r="E47" s="333">
        <v>7</v>
      </c>
      <c r="F47" s="333">
        <v>6615554</v>
      </c>
    </row>
    <row r="48" spans="1:6">
      <c r="A48" s="1277" t="s">
        <v>32</v>
      </c>
      <c r="B48" s="1277" t="s">
        <v>29</v>
      </c>
      <c r="C48" s="333">
        <v>0</v>
      </c>
      <c r="D48" s="333">
        <v>0</v>
      </c>
      <c r="E48" s="333">
        <v>3</v>
      </c>
      <c r="F48" s="333">
        <v>26020</v>
      </c>
    </row>
    <row r="49" spans="1:6">
      <c r="A49" s="1277" t="s">
        <v>32</v>
      </c>
      <c r="B49" s="1277" t="s">
        <v>40</v>
      </c>
      <c r="C49" s="333">
        <v>0</v>
      </c>
      <c r="D49" s="333">
        <v>0</v>
      </c>
      <c r="E49" s="333">
        <v>0</v>
      </c>
      <c r="F49" s="333">
        <v>0</v>
      </c>
    </row>
    <row r="50" spans="1:6">
      <c r="A50" s="1277" t="s">
        <v>32</v>
      </c>
      <c r="B50" s="1277" t="s">
        <v>41</v>
      </c>
      <c r="C50" s="333">
        <v>4</v>
      </c>
      <c r="D50" s="333">
        <v>187296</v>
      </c>
      <c r="E50" s="333">
        <v>6</v>
      </c>
      <c r="F50" s="333">
        <v>296320</v>
      </c>
    </row>
    <row r="51" spans="1:6">
      <c r="A51" s="1277" t="s">
        <v>42</v>
      </c>
      <c r="B51" s="1277" t="s">
        <v>43</v>
      </c>
      <c r="C51" s="333">
        <v>20</v>
      </c>
      <c r="D51" s="333">
        <v>242963184</v>
      </c>
      <c r="E51" s="333">
        <v>65</v>
      </c>
      <c r="F51" s="333">
        <v>4083145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v>
      </c>
      <c r="F54" s="333">
        <v>778386</v>
      </c>
    </row>
    <row r="55" spans="1:6">
      <c r="A55" s="1277" t="s">
        <v>46</v>
      </c>
      <c r="B55" s="1277" t="s">
        <v>29</v>
      </c>
      <c r="C55" s="333">
        <v>0</v>
      </c>
      <c r="D55" s="333">
        <v>0</v>
      </c>
      <c r="E55" s="333">
        <v>0</v>
      </c>
      <c r="F55" s="333">
        <v>0</v>
      </c>
    </row>
    <row r="56" spans="1:6">
      <c r="A56" s="1277" t="s">
        <v>48</v>
      </c>
      <c r="B56" s="1277" t="s">
        <v>29</v>
      </c>
      <c r="C56" s="333">
        <v>40</v>
      </c>
      <c r="D56" s="333">
        <v>8603395</v>
      </c>
      <c r="E56" s="333">
        <v>120</v>
      </c>
      <c r="F56" s="333">
        <v>996872</v>
      </c>
    </row>
    <row r="57" spans="1:6">
      <c r="A57" s="1277" t="s">
        <v>49</v>
      </c>
      <c r="B57" s="1277" t="s">
        <v>50</v>
      </c>
      <c r="C57" s="333">
        <v>16</v>
      </c>
      <c r="D57" s="333">
        <v>1527737</v>
      </c>
      <c r="E57" s="333">
        <v>29</v>
      </c>
      <c r="F57" s="333">
        <v>686156</v>
      </c>
    </row>
    <row r="58" spans="1:6">
      <c r="A58" s="1277" t="s">
        <v>49</v>
      </c>
      <c r="B58" s="1277" t="s">
        <v>51</v>
      </c>
      <c r="C58" s="333">
        <v>15</v>
      </c>
      <c r="D58" s="333">
        <v>6509185</v>
      </c>
      <c r="E58" s="333">
        <v>20</v>
      </c>
      <c r="F58" s="333">
        <v>1423400</v>
      </c>
    </row>
    <row r="59" spans="1:6">
      <c r="A59" s="1277" t="s">
        <v>49</v>
      </c>
      <c r="B59" s="1277" t="s">
        <v>52</v>
      </c>
      <c r="C59" s="333">
        <v>49</v>
      </c>
      <c r="D59" s="333">
        <v>2947134</v>
      </c>
      <c r="E59" s="333">
        <v>104</v>
      </c>
      <c r="F59" s="333">
        <v>3202503</v>
      </c>
    </row>
    <row r="60" spans="1:6">
      <c r="A60" s="1277" t="s">
        <v>49</v>
      </c>
      <c r="B60" s="1277" t="s">
        <v>53</v>
      </c>
      <c r="C60" s="333">
        <v>23</v>
      </c>
      <c r="D60" s="333">
        <v>2502748</v>
      </c>
      <c r="E60" s="333">
        <v>39</v>
      </c>
      <c r="F60" s="333">
        <v>2448126</v>
      </c>
    </row>
    <row r="61" spans="1:6">
      <c r="A61" s="1277" t="s">
        <v>49</v>
      </c>
      <c r="B61" s="1277" t="s">
        <v>54</v>
      </c>
      <c r="C61" s="333">
        <v>97</v>
      </c>
      <c r="D61" s="333">
        <v>4026998</v>
      </c>
      <c r="E61" s="333">
        <v>241</v>
      </c>
      <c r="F61" s="333">
        <v>2614552</v>
      </c>
    </row>
    <row r="62" spans="1:6">
      <c r="A62" s="1277" t="s">
        <v>49</v>
      </c>
      <c r="B62" s="1277" t="s">
        <v>55</v>
      </c>
      <c r="C62" s="333">
        <v>18</v>
      </c>
      <c r="D62" s="333">
        <v>2642644</v>
      </c>
      <c r="E62" s="333">
        <v>42</v>
      </c>
      <c r="F62" s="333">
        <v>668057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64352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24954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57811159</v>
      </c>
      <c r="E73" s="333">
        <v>39949840.50195118</v>
      </c>
      <c r="F73" s="333">
        <v>49596504</v>
      </c>
    </row>
    <row r="74" spans="1:6">
      <c r="A74" s="1277" t="s">
        <v>64</v>
      </c>
      <c r="B74" s="1277" t="s">
        <v>774</v>
      </c>
      <c r="C74" s="1288" t="s">
        <v>775</v>
      </c>
      <c r="D74" s="333">
        <v>5074924.7958251247</v>
      </c>
      <c r="E74" s="333">
        <v>3887585.1978464327</v>
      </c>
      <c r="F74" s="333">
        <v>4678212.2470077965</v>
      </c>
    </row>
    <row r="75" spans="1:6">
      <c r="A75" s="1277" t="s">
        <v>65</v>
      </c>
      <c r="B75" s="1277" t="s">
        <v>772</v>
      </c>
      <c r="C75" s="1288" t="s">
        <v>776</v>
      </c>
      <c r="D75" s="333">
        <v>7186209</v>
      </c>
      <c r="E75" s="333">
        <v>4986047.8472429849</v>
      </c>
      <c r="F75" s="333">
        <v>6157048</v>
      </c>
    </row>
    <row r="76" spans="1:6">
      <c r="A76" s="1277" t="s">
        <v>65</v>
      </c>
      <c r="B76" s="1277" t="s">
        <v>774</v>
      </c>
      <c r="C76" s="1288" t="s">
        <v>777</v>
      </c>
      <c r="D76" s="333">
        <v>392160.79582512489</v>
      </c>
      <c r="E76" s="333">
        <v>270670.19900573377</v>
      </c>
      <c r="F76" s="333">
        <v>358993.24700779619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414844.40834975021</v>
      </c>
      <c r="C83" s="333">
        <v>382417.03528552386</v>
      </c>
      <c r="D83" s="333">
        <v>386799.50598440756</v>
      </c>
    </row>
    <row r="84" spans="1:6">
      <c r="A84" s="1273" t="s">
        <v>337</v>
      </c>
      <c r="B84" s="336">
        <v>185442.53664794451</v>
      </c>
      <c r="C84" s="336">
        <v>209136.90490936241</v>
      </c>
      <c r="D84" s="336">
        <v>204622.68380826895</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963.14496342636812</v>
      </c>
    </row>
    <row r="92" spans="1:6">
      <c r="A92" s="1273" t="s">
        <v>69</v>
      </c>
      <c r="B92" s="336">
        <v>108.58155113623592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2831</v>
      </c>
    </row>
    <row r="98" spans="1:6">
      <c r="A98" s="1277" t="s">
        <v>72</v>
      </c>
      <c r="B98" s="333">
        <v>2</v>
      </c>
    </row>
    <row r="99" spans="1:6">
      <c r="A99" s="1277" t="s">
        <v>73</v>
      </c>
      <c r="B99" s="333">
        <v>22</v>
      </c>
    </row>
    <row r="100" spans="1:6">
      <c r="A100" s="1277" t="s">
        <v>74</v>
      </c>
      <c r="B100" s="333">
        <v>329</v>
      </c>
    </row>
    <row r="101" spans="1:6">
      <c r="A101" s="1277" t="s">
        <v>75</v>
      </c>
      <c r="B101" s="333">
        <v>48</v>
      </c>
    </row>
    <row r="102" spans="1:6">
      <c r="A102" s="1277" t="s">
        <v>76</v>
      </c>
      <c r="B102" s="333">
        <v>62</v>
      </c>
    </row>
    <row r="103" spans="1:6">
      <c r="A103" s="1277" t="s">
        <v>77</v>
      </c>
      <c r="B103" s="333">
        <v>79</v>
      </c>
    </row>
    <row r="104" spans="1:6">
      <c r="A104" s="1277" t="s">
        <v>78</v>
      </c>
      <c r="B104" s="333">
        <v>886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26</v>
      </c>
    </row>
    <row r="130" spans="1:6">
      <c r="A130" s="1277" t="s">
        <v>295</v>
      </c>
      <c r="B130" s="333">
        <v>2</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69449.091845937015</v>
      </c>
      <c r="C3" s="43" t="s">
        <v>170</v>
      </c>
      <c r="D3" s="43"/>
      <c r="E3" s="156"/>
      <c r="F3" s="43"/>
      <c r="G3" s="43"/>
      <c r="H3" s="43"/>
      <c r="I3" s="43"/>
      <c r="J3" s="43"/>
      <c r="K3" s="96"/>
    </row>
    <row r="4" spans="1:11">
      <c r="A4" s="364" t="s">
        <v>171</v>
      </c>
      <c r="B4" s="49">
        <f>IF(ISERROR('SEAP template'!B78),0,'SEAP template'!B78)</f>
        <v>1071.7265145626041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24575.260588235302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0.57144963701625195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35107.515126050428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147729.64285714287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778.38599999999997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778.38599999999997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0.57144963701625195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444.80839715853227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22469.062999999998</v>
      </c>
      <c r="C5" s="17">
        <f>IF(ISERROR('Eigen informatie GS &amp; warmtenet'!B57),0,'Eigen informatie GS &amp; warmtenet'!B57)</f>
        <v>0</v>
      </c>
      <c r="D5" s="30">
        <f>(SUM(HH_hh_gas_kWh,HH_rest_gas_kWh)/1000)*0.902</f>
        <v>67567.844937999995</v>
      </c>
      <c r="E5" s="17">
        <f>B46*B57</f>
        <v>1096.7403609813045</v>
      </c>
      <c r="F5" s="17">
        <f>B51*B62</f>
        <v>0</v>
      </c>
      <c r="G5" s="18"/>
      <c r="H5" s="17"/>
      <c r="I5" s="17"/>
      <c r="J5" s="17">
        <f>B50*B61+C50*C61</f>
        <v>0</v>
      </c>
      <c r="K5" s="17"/>
      <c r="L5" s="17"/>
      <c r="M5" s="17"/>
      <c r="N5" s="17">
        <f>B48*B59+C48*C59</f>
        <v>6923.4455919725979</v>
      </c>
      <c r="O5" s="17">
        <f>B69*B70*B71</f>
        <v>50.026666666666671</v>
      </c>
      <c r="P5" s="17">
        <f>B77*B78*B79/1000-B77*B78*B79/1000/B80</f>
        <v>190.66666666666669</v>
      </c>
    </row>
    <row r="6" spans="1:16">
      <c r="A6" s="16" t="s">
        <v>632</v>
      </c>
      <c r="B6" s="779">
        <f>kWh_PV_kleiner_dan_10kW</f>
        <v>963.14496342636812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23432.207963426365</v>
      </c>
      <c r="C8" s="21">
        <f>C5</f>
        <v>0</v>
      </c>
      <c r="D8" s="21">
        <f>D5</f>
        <v>67567.844937999995</v>
      </c>
      <c r="E8" s="21">
        <f>E5</f>
        <v>1096.7403609813045</v>
      </c>
      <c r="F8" s="21">
        <f>F5</f>
        <v>0</v>
      </c>
      <c r="G8" s="21"/>
      <c r="H8" s="21"/>
      <c r="I8" s="21"/>
      <c r="J8" s="21">
        <f>J5</f>
        <v>0</v>
      </c>
      <c r="K8" s="21"/>
      <c r="L8" s="21">
        <f>L5</f>
        <v>0</v>
      </c>
      <c r="M8" s="21">
        <f>M5</f>
        <v>0</v>
      </c>
      <c r="N8" s="21">
        <f>N5</f>
        <v>6923.4455919725979</v>
      </c>
      <c r="O8" s="21">
        <f>O5</f>
        <v>50.026666666666671</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0.57144963701625195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13390.326735189325</v>
      </c>
      <c r="C12" s="23">
        <f ca="1">C10*C8</f>
        <v>0</v>
      </c>
      <c r="D12" s="23">
        <f>D8*D10</f>
        <v>13648.704677476</v>
      </c>
      <c r="E12" s="23">
        <f>E10*E8</f>
        <v>248.96006194275614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2831</v>
      </c>
      <c r="C18" s="167" t="s">
        <v>111</v>
      </c>
      <c r="D18" s="229"/>
      <c r="E18" s="15"/>
    </row>
    <row r="19" spans="1:7">
      <c r="A19" s="172" t="s">
        <v>72</v>
      </c>
      <c r="B19" s="37">
        <f>aantalw2001_ander</f>
        <v>2</v>
      </c>
      <c r="C19" s="167" t="s">
        <v>111</v>
      </c>
      <c r="D19" s="230"/>
      <c r="E19" s="15"/>
    </row>
    <row r="20" spans="1:7">
      <c r="A20" s="172" t="s">
        <v>73</v>
      </c>
      <c r="B20" s="37">
        <f>aantalw2001_propaan</f>
        <v>22</v>
      </c>
      <c r="C20" s="168">
        <f>IF(ISERROR(B20/SUM($B$20,$B$21,$B$22)*100),0,B20/SUM($B$20,$B$21,$B$22)*100)</f>
        <v>5.5137844611528823</v>
      </c>
      <c r="D20" s="230"/>
      <c r="E20" s="15"/>
    </row>
    <row r="21" spans="1:7">
      <c r="A21" s="172" t="s">
        <v>74</v>
      </c>
      <c r="B21" s="37">
        <f>aantalw2001_elektriciteit</f>
        <v>329</v>
      </c>
      <c r="C21" s="168">
        <f>IF(ISERROR(B21/SUM($B$20,$B$21,$B$22)*100),0,B21/SUM($B$20,$B$21,$B$22)*100)</f>
        <v>82.456140350877192</v>
      </c>
      <c r="D21" s="230"/>
      <c r="E21" s="15"/>
    </row>
    <row r="22" spans="1:7">
      <c r="A22" s="172" t="s">
        <v>75</v>
      </c>
      <c r="B22" s="37">
        <f>aantalw2001_hout</f>
        <v>48</v>
      </c>
      <c r="C22" s="168">
        <f>IF(ISERROR(B22/SUM($B$20,$B$21,$B$22)*100),0,B22/SUM($B$20,$B$21,$B$22)*100)</f>
        <v>12.030075187969924</v>
      </c>
      <c r="D22" s="230"/>
      <c r="E22" s="15"/>
    </row>
    <row r="23" spans="1:7">
      <c r="A23" s="172" t="s">
        <v>76</v>
      </c>
      <c r="B23" s="37">
        <f>aantalw2001_niet_gespec</f>
        <v>62</v>
      </c>
      <c r="C23" s="167" t="s">
        <v>111</v>
      </c>
      <c r="D23" s="229"/>
      <c r="E23" s="15"/>
    </row>
    <row r="24" spans="1:7">
      <c r="A24" s="172" t="s">
        <v>77</v>
      </c>
      <c r="B24" s="37">
        <f>aantalw2001_steenkool</f>
        <v>79</v>
      </c>
      <c r="C24" s="167" t="s">
        <v>111</v>
      </c>
      <c r="D24" s="230"/>
      <c r="E24" s="15"/>
    </row>
    <row r="25" spans="1:7">
      <c r="A25" s="172" t="s">
        <v>78</v>
      </c>
      <c r="B25" s="37">
        <f>aantalw2001_stookolie</f>
        <v>886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4977</v>
      </c>
      <c r="C28" s="36"/>
      <c r="D28" s="229"/>
    </row>
    <row r="29" spans="1:7" s="15" customFormat="1">
      <c r="A29" s="231" t="s">
        <v>713</v>
      </c>
      <c r="B29" s="37">
        <f>SUM(HH_hh_gas_aantal,HH_rest_gas_aantal)</f>
        <v>4000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4000</v>
      </c>
      <c r="C32" s="168">
        <f>IF(ISERROR(B32/SUM($B$32,$B$34,$B$35,$B$36,$B$38,$B$39)*100),0,B32/SUM($B$32,$B$34,$B$35,$B$36,$B$38,$B$39)*100)</f>
        <v>80.531507952486407</v>
      </c>
      <c r="D32" s="234"/>
      <c r="G32" s="15"/>
    </row>
    <row r="33" spans="1:7">
      <c r="A33" s="172" t="s">
        <v>72</v>
      </c>
      <c r="B33" s="34" t="s">
        <v>111</v>
      </c>
      <c r="C33" s="168"/>
      <c r="D33" s="234"/>
      <c r="G33" s="15"/>
    </row>
    <row r="34" spans="1:7">
      <c r="A34" s="172" t="s">
        <v>73</v>
      </c>
      <c r="B34" s="33">
        <f>IF((($B$28-$B$32-$B$39-$B$77-$B$38)*C20/100)&lt;0,0,($B$28-$B$32-$B$39-$B$77-$B$38)*C20/100)</f>
        <v>53.318295739348372</v>
      </c>
      <c r="C34" s="168">
        <f>IF(ISERROR(B34/SUM($B$32,$B$34,$B$35,$B$36,$B$38,$B$39)*100),0,B34/SUM($B$32,$B$34,$B$35,$B$36,$B$38,$B$39)*100)</f>
        <v>1.0734506893365889</v>
      </c>
      <c r="D34" s="234"/>
      <c r="G34" s="15"/>
    </row>
    <row r="35" spans="1:7">
      <c r="A35" s="172" t="s">
        <v>74</v>
      </c>
      <c r="B35" s="33">
        <f>IF((($B$28-$B$32-$B$39-$B$77-$B$38)*C21/100)&lt;0,0,($B$28-$B$32-$B$39-$B$77-$B$38)*C21/100)</f>
        <v>797.35087719298247</v>
      </c>
      <c r="C35" s="168">
        <f>IF(ISERROR(B35/SUM($B$32,$B$34,$B$35,$B$36,$B$38,$B$39)*100),0,B35/SUM($B$32,$B$34,$B$35,$B$36,$B$38,$B$39)*100)</f>
        <v>16.052967126897173</v>
      </c>
      <c r="D35" s="234"/>
      <c r="G35" s="15"/>
    </row>
    <row r="36" spans="1:7">
      <c r="A36" s="172" t="s">
        <v>75</v>
      </c>
      <c r="B36" s="33">
        <f>IF((($B$28-$B$32-$B$39-$B$77-$B$38)*C22/100)&lt;0,0,($B$28-$B$32-$B$39-$B$77-$B$38)*C22/100)</f>
        <v>116.33082706766916</v>
      </c>
      <c r="C36" s="168">
        <f>IF(ISERROR(B36/SUM($B$32,$B$34,$B$35,$B$36,$B$38,$B$39)*100),0,B36/SUM($B$32,$B$34,$B$35,$B$36,$B$38,$B$39)*100)</f>
        <v>2.3420742312798302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4000</v>
      </c>
      <c r="C44" s="34" t="s">
        <v>111</v>
      </c>
      <c r="D44" s="175"/>
    </row>
    <row r="45" spans="1:7">
      <c r="A45" s="172" t="s">
        <v>72</v>
      </c>
      <c r="B45" s="33" t="str">
        <f t="shared" si="0"/>
        <v>-</v>
      </c>
      <c r="C45" s="34" t="s">
        <v>111</v>
      </c>
      <c r="D45" s="175"/>
    </row>
    <row r="46" spans="1:7">
      <c r="A46" s="172" t="s">
        <v>73</v>
      </c>
      <c r="B46" s="33">
        <f t="shared" si="0"/>
        <v>53.318295739348372</v>
      </c>
      <c r="C46" s="34" t="s">
        <v>111</v>
      </c>
      <c r="D46" s="175"/>
    </row>
    <row r="47" spans="1:7">
      <c r="A47" s="172" t="s">
        <v>74</v>
      </c>
      <c r="B47" s="33">
        <f t="shared" si="0"/>
        <v>797.35087719298247</v>
      </c>
      <c r="C47" s="34" t="s">
        <v>111</v>
      </c>
      <c r="D47" s="175"/>
    </row>
    <row r="48" spans="1:7">
      <c r="A48" s="172" t="s">
        <v>75</v>
      </c>
      <c r="B48" s="33">
        <f t="shared" si="0"/>
        <v>116.33082706766916</v>
      </c>
      <c r="C48" s="33">
        <f>B48*10</f>
        <v>1163.3082706766916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11042.794000000002</v>
      </c>
      <c r="C5" s="17">
        <f>IF(ISERROR('Eigen informatie GS &amp; warmtenet'!B58),0,'Eigen informatie GS &amp; warmtenet'!B58)</f>
        <v>0</v>
      </c>
      <c r="D5" s="30">
        <f>SUM(D6:D12)</f>
        <v>18181.114291999998</v>
      </c>
      <c r="E5" s="17">
        <f>SUM(E6:E12)</f>
        <v>251.34969585387887</v>
      </c>
      <c r="F5" s="17">
        <f>SUM(F6:F12)</f>
        <v>2332.5908100723213</v>
      </c>
      <c r="G5" s="18"/>
      <c r="H5" s="17"/>
      <c r="I5" s="17"/>
      <c r="J5" s="17">
        <f>SUM(J6:J12)</f>
        <v>0</v>
      </c>
      <c r="K5" s="17"/>
      <c r="L5" s="17"/>
      <c r="M5" s="17"/>
      <c r="N5" s="17">
        <f>SUM(N6:N12)</f>
        <v>194.12227236761353</v>
      </c>
      <c r="O5" s="17">
        <f>B38*B39*B40</f>
        <v>3.1266666666666669</v>
      </c>
      <c r="P5" s="17">
        <f>B46*B47*B48/1000-B46*B47*B48/1000/B49</f>
        <v>0</v>
      </c>
      <c r="R5" s="32"/>
    </row>
    <row r="6" spans="1:18">
      <c r="A6" s="32" t="s">
        <v>54</v>
      </c>
      <c r="B6" s="37">
        <f>B26</f>
        <v>2614.5520000000001</v>
      </c>
      <c r="C6" s="33"/>
      <c r="D6" s="37">
        <f>IF(ISERROR(TER_kantoor_gas_kWh/1000),0,TER_kantoor_gas_kWh/1000)*0.902</f>
        <v>3632.3521960000003</v>
      </c>
      <c r="E6" s="33">
        <f>$C$26*'E Balans VL '!I12/100/3.6*1000000</f>
        <v>91.519604985132659</v>
      </c>
      <c r="F6" s="33">
        <f>$C$26*('E Balans VL '!L12+'E Balans VL '!N12)/100/3.6*1000000</f>
        <v>396.42221708137839</v>
      </c>
      <c r="G6" s="34"/>
      <c r="H6" s="33"/>
      <c r="I6" s="33"/>
      <c r="J6" s="33">
        <f>$C$26*('E Balans VL '!D12+'E Balans VL '!E12)/100/3.6*1000000</f>
        <v>0</v>
      </c>
      <c r="K6" s="33"/>
      <c r="L6" s="33"/>
      <c r="M6" s="33"/>
      <c r="N6" s="33">
        <f>$C$26*'E Balans VL '!Y12/100/3.6*1000000</f>
        <v>20.209668627745515</v>
      </c>
      <c r="O6" s="33"/>
      <c r="P6" s="33"/>
      <c r="R6" s="32"/>
    </row>
    <row r="7" spans="1:18">
      <c r="A7" s="32" t="s">
        <v>53</v>
      </c>
      <c r="B7" s="37">
        <f t="shared" ref="B7:B12" si="0">B27</f>
        <v>2448.1260000000002</v>
      </c>
      <c r="C7" s="33"/>
      <c r="D7" s="37">
        <f>IF(ISERROR(TER_horeca_gas_kWh/1000),0,TER_horeca_gas_kWh/1000)*0.902</f>
        <v>2257.4786960000001</v>
      </c>
      <c r="E7" s="33">
        <f>$C$27*'E Balans VL '!I9/100/3.6*1000000</f>
        <v>138.10685854800866</v>
      </c>
      <c r="F7" s="33">
        <f>$C$27*('E Balans VL '!L9+'E Balans VL '!N9)/100/3.6*1000000</f>
        <v>426.47709730323351</v>
      </c>
      <c r="G7" s="34"/>
      <c r="H7" s="33"/>
      <c r="I7" s="33"/>
      <c r="J7" s="33">
        <f>$C$27*('E Balans VL '!D9+'E Balans VL '!E9)/100/3.6*1000000</f>
        <v>0</v>
      </c>
      <c r="K7" s="33"/>
      <c r="L7" s="33"/>
      <c r="M7" s="33"/>
      <c r="N7" s="33">
        <f>$C$27*'E Balans VL '!Y9/100/3.6*1000000</f>
        <v>0</v>
      </c>
      <c r="O7" s="33"/>
      <c r="P7" s="33"/>
      <c r="R7" s="32"/>
    </row>
    <row r="8" spans="1:18">
      <c r="A8" s="6" t="s">
        <v>52</v>
      </c>
      <c r="B8" s="37">
        <f t="shared" si="0"/>
        <v>3202.5030000000002</v>
      </c>
      <c r="C8" s="33"/>
      <c r="D8" s="37">
        <f>IF(ISERROR(TER_handel_gas_kWh/1000),0,TER_handel_gas_kWh/1000)*0.902</f>
        <v>2658.3148679999999</v>
      </c>
      <c r="E8" s="33">
        <f>$C$28*'E Balans VL '!I13/100/3.6*1000000</f>
        <v>16.441325032414156</v>
      </c>
      <c r="F8" s="33">
        <f>$C$28*('E Balans VL '!L13+'E Balans VL '!N13)/100/3.6*1000000</f>
        <v>493.77647884892116</v>
      </c>
      <c r="G8" s="34"/>
      <c r="H8" s="33"/>
      <c r="I8" s="33"/>
      <c r="J8" s="33">
        <f>$C$28*('E Balans VL '!D13+'E Balans VL '!E13)/100/3.6*1000000</f>
        <v>0</v>
      </c>
      <c r="K8" s="33"/>
      <c r="L8" s="33"/>
      <c r="M8" s="33"/>
      <c r="N8" s="33">
        <f>$C$28*'E Balans VL '!Y13/100/3.6*1000000</f>
        <v>1.4978497449110193</v>
      </c>
      <c r="O8" s="33"/>
      <c r="P8" s="33"/>
      <c r="R8" s="32"/>
    </row>
    <row r="9" spans="1:18">
      <c r="A9" s="32" t="s">
        <v>51</v>
      </c>
      <c r="B9" s="37">
        <f t="shared" si="0"/>
        <v>1423.4</v>
      </c>
      <c r="C9" s="33"/>
      <c r="D9" s="37">
        <f>IF(ISERROR(TER_gezond_gas_kWh/1000),0,TER_gezond_gas_kWh/1000)*0.902</f>
        <v>5871.2848700000004</v>
      </c>
      <c r="E9" s="33">
        <f>$C$29*'E Balans VL '!I10/100/3.6*1000000</f>
        <v>0.58998916290851111</v>
      </c>
      <c r="F9" s="33">
        <f>$C$29*('E Balans VL '!L10+'E Balans VL '!N10)/100/3.6*1000000</f>
        <v>350.56300572088776</v>
      </c>
      <c r="G9" s="34"/>
      <c r="H9" s="33"/>
      <c r="I9" s="33"/>
      <c r="J9" s="33">
        <f>$C$29*('E Balans VL '!D10+'E Balans VL '!E10)/100/3.6*1000000</f>
        <v>0</v>
      </c>
      <c r="K9" s="33"/>
      <c r="L9" s="33"/>
      <c r="M9" s="33"/>
      <c r="N9" s="33">
        <f>$C$29*'E Balans VL '!Y10/100/3.6*1000000</f>
        <v>12.301699093092742</v>
      </c>
      <c r="O9" s="33"/>
      <c r="P9" s="33"/>
      <c r="R9" s="32"/>
    </row>
    <row r="10" spans="1:18">
      <c r="A10" s="32" t="s">
        <v>50</v>
      </c>
      <c r="B10" s="37">
        <f t="shared" si="0"/>
        <v>686.15599999999995</v>
      </c>
      <c r="C10" s="33"/>
      <c r="D10" s="37">
        <f>IF(ISERROR(TER_ander_gas_kWh/1000),0,TER_ander_gas_kWh/1000)*0.902</f>
        <v>1378.0187740000001</v>
      </c>
      <c r="E10" s="33">
        <f>$C$30*'E Balans VL '!I14/100/3.6*1000000</f>
        <v>4.1828239053193919</v>
      </c>
      <c r="F10" s="33">
        <f>$C$30*('E Balans VL '!L14+'E Balans VL '!N14)/100/3.6*1000000</f>
        <v>181.90935487099432</v>
      </c>
      <c r="G10" s="34"/>
      <c r="H10" s="33"/>
      <c r="I10" s="33"/>
      <c r="J10" s="33">
        <f>$C$30*('E Balans VL '!D14+'E Balans VL '!E14)/100/3.6*1000000</f>
        <v>0</v>
      </c>
      <c r="K10" s="33"/>
      <c r="L10" s="33"/>
      <c r="M10" s="33"/>
      <c r="N10" s="33">
        <f>$C$30*'E Balans VL '!Y14/100/3.6*1000000</f>
        <v>158.1441312601506</v>
      </c>
      <c r="O10" s="33"/>
      <c r="P10" s="33"/>
      <c r="R10" s="32"/>
    </row>
    <row r="11" spans="1:18">
      <c r="A11" s="32" t="s">
        <v>55</v>
      </c>
      <c r="B11" s="37">
        <f t="shared" si="0"/>
        <v>668.05700000000002</v>
      </c>
      <c r="C11" s="33"/>
      <c r="D11" s="37">
        <f>IF(ISERROR(TER_onderwijs_gas_kWh/1000),0,TER_onderwijs_gas_kWh/1000)*0.902</f>
        <v>2383.6648879999998</v>
      </c>
      <c r="E11" s="33">
        <f>$C$31*'E Balans VL '!I11/100/3.6*1000000</f>
        <v>0.50909422009548189</v>
      </c>
      <c r="F11" s="33">
        <f>$C$31*('E Balans VL '!L11+'E Balans VL '!N11)/100/3.6*1000000</f>
        <v>483.44265624690604</v>
      </c>
      <c r="G11" s="34"/>
      <c r="H11" s="33"/>
      <c r="I11" s="33"/>
      <c r="J11" s="33">
        <f>$C$31*('E Balans VL '!D11+'E Balans VL '!E11)/100/3.6*1000000</f>
        <v>0</v>
      </c>
      <c r="K11" s="33"/>
      <c r="L11" s="33"/>
      <c r="M11" s="33"/>
      <c r="N11" s="33">
        <f>$C$31*'E Balans VL '!Y11/100/3.6*1000000</f>
        <v>1.9689236417136311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18634.5</v>
      </c>
      <c r="C13" s="248">
        <f ca="1">'lokale energieproductie'!O91+'lokale energieproductie'!O60</f>
        <v>26620.714285714286</v>
      </c>
      <c r="D13" s="311">
        <f ca="1">('lokale energieproductie'!P60+'lokale energieproductie'!P91)*(-1)</f>
        <v>-53241.428571428572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29677.294000000002</v>
      </c>
      <c r="C16" s="21">
        <f ca="1">C5+C13+C14</f>
        <v>26620.714285714286</v>
      </c>
      <c r="D16" s="21">
        <f t="shared" ref="D16:N16" ca="1" si="1">MAX((D5+D13+D14),0)</f>
        <v>0</v>
      </c>
      <c r="E16" s="21">
        <f t="shared" si="1"/>
        <v>251.34969585387887</v>
      </c>
      <c r="F16" s="21">
        <f t="shared" ca="1" si="1"/>
        <v>2332.5908100723213</v>
      </c>
      <c r="G16" s="21">
        <f t="shared" si="1"/>
        <v>0</v>
      </c>
      <c r="H16" s="21">
        <f t="shared" si="1"/>
        <v>0</v>
      </c>
      <c r="I16" s="21">
        <f t="shared" si="1"/>
        <v>0</v>
      </c>
      <c r="J16" s="21">
        <f t="shared" si="1"/>
        <v>0</v>
      </c>
      <c r="K16" s="21">
        <f t="shared" si="1"/>
        <v>0</v>
      </c>
      <c r="L16" s="21">
        <f t="shared" ca="1" si="1"/>
        <v>0</v>
      </c>
      <c r="M16" s="21">
        <f t="shared" si="1"/>
        <v>0</v>
      </c>
      <c r="N16" s="21">
        <f t="shared" ca="1" si="1"/>
        <v>194.12227236761353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0.57144963701625195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16959.078883924594</v>
      </c>
      <c r="C20" s="23">
        <f t="shared" ref="C20:P20" ca="1" si="2">C16*C18</f>
        <v>6326.3344537815137</v>
      </c>
      <c r="D20" s="23">
        <f t="shared" ca="1" si="2"/>
        <v>0</v>
      </c>
      <c r="E20" s="23">
        <f t="shared" si="2"/>
        <v>57.056380958830502</v>
      </c>
      <c r="F20" s="23">
        <f t="shared" ca="1" si="2"/>
        <v>622.80174628930979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2614.5520000000001</v>
      </c>
      <c r="C26" s="39">
        <f>IF(ISERROR(B26*3.6/1000000/'E Balans VL '!Z12*100),0,B26*3.6/1000000/'E Balans VL '!Z12*100)</f>
        <v>5.5018910931882277E-2</v>
      </c>
      <c r="D26" s="238" t="s">
        <v>719</v>
      </c>
      <c r="F26" s="6"/>
    </row>
    <row r="27" spans="1:18">
      <c r="A27" s="232" t="s">
        <v>53</v>
      </c>
      <c r="B27" s="33">
        <f>IF(ISERROR(TER_horeca_ele_kWh/1000),0,TER_horeca_ele_kWh/1000)</f>
        <v>2448.1260000000002</v>
      </c>
      <c r="C27" s="39">
        <f>IF(ISERROR(B27*3.6/1000000/'E Balans VL '!Z9*100),0,B27*3.6/1000000/'E Balans VL '!Z9*100)</f>
        <v>0.20727594924964546</v>
      </c>
      <c r="D27" s="238" t="s">
        <v>719</v>
      </c>
      <c r="F27" s="6"/>
    </row>
    <row r="28" spans="1:18">
      <c r="A28" s="172" t="s">
        <v>52</v>
      </c>
      <c r="B28" s="33">
        <f>IF(ISERROR(TER_handel_ele_kWh/1000),0,TER_handel_ele_kWh/1000)</f>
        <v>3202.5030000000002</v>
      </c>
      <c r="C28" s="39">
        <f>IF(ISERROR(B28*3.6/1000000/'E Balans VL '!Z13*100),0,B28*3.6/1000000/'E Balans VL '!Z13*100)</f>
        <v>8.8660852715941277E-2</v>
      </c>
      <c r="D28" s="238" t="s">
        <v>719</v>
      </c>
      <c r="F28" s="6"/>
    </row>
    <row r="29" spans="1:18">
      <c r="A29" s="232" t="s">
        <v>51</v>
      </c>
      <c r="B29" s="33">
        <f>IF(ISERROR(TER_gezond_ele_kWh/1000),0,TER_gezond_ele_kWh/1000)</f>
        <v>1423.4</v>
      </c>
      <c r="C29" s="39">
        <f>IF(ISERROR(B29*3.6/1000000/'E Balans VL '!Z10*100),0,B29*3.6/1000000/'E Balans VL '!Z10*100)</f>
        <v>0.18502621977118755</v>
      </c>
      <c r="D29" s="238" t="s">
        <v>719</v>
      </c>
      <c r="F29" s="6"/>
    </row>
    <row r="30" spans="1:18">
      <c r="A30" s="232" t="s">
        <v>50</v>
      </c>
      <c r="B30" s="33">
        <f>IF(ISERROR(TER_ander_ele_kWh/1000),0,TER_ander_ele_kWh/1000)</f>
        <v>686.15599999999995</v>
      </c>
      <c r="C30" s="39">
        <f>IF(ISERROR(B30*3.6/1000000/'E Balans VL '!Z14*100),0,B30*3.6/1000000/'E Balans VL '!Z14*100)</f>
        <v>5.3183382531212867E-2</v>
      </c>
      <c r="D30" s="238" t="s">
        <v>719</v>
      </c>
      <c r="F30" s="6"/>
    </row>
    <row r="31" spans="1:18">
      <c r="A31" s="232" t="s">
        <v>55</v>
      </c>
      <c r="B31" s="33">
        <f>IF(ISERROR(TER_onderwijs_ele_kWh/1000),0,TER_onderwijs_ele_kWh/1000)</f>
        <v>668.05700000000002</v>
      </c>
      <c r="C31" s="39">
        <f>IF(ISERROR(B31*3.6/1000000/'E Balans VL '!Z11*100),0,B31*3.6/1000000/'E Balans VL '!Z11*100)</f>
        <v>0.12781068755038177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9826.9830000000002</v>
      </c>
      <c r="C5" s="17">
        <f>IF(ISERROR('Eigen informatie GS &amp; warmtenet'!B59),0,'Eigen informatie GS &amp; warmtenet'!B59)</f>
        <v>0</v>
      </c>
      <c r="D5" s="30">
        <f>SUM(D6:D15)</f>
        <v>1951.2406759999999</v>
      </c>
      <c r="E5" s="17">
        <f>SUM(E6:E15)</f>
        <v>230.39664863733813</v>
      </c>
      <c r="F5" s="17">
        <f>SUM(F6:F15)</f>
        <v>2023.4990575170402</v>
      </c>
      <c r="G5" s="18"/>
      <c r="H5" s="17"/>
      <c r="I5" s="17"/>
      <c r="J5" s="17">
        <f>SUM(J6:J15)</f>
        <v>53.404706768667459</v>
      </c>
      <c r="K5" s="17"/>
      <c r="L5" s="17"/>
      <c r="M5" s="17"/>
      <c r="N5" s="17">
        <f>SUM(N6:N15)</f>
        <v>41.662847140353456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2519.16</v>
      </c>
      <c r="C8" s="33"/>
      <c r="D8" s="37">
        <f>IF( ISERROR(IND_metaal_Gas_kWH/1000),0,IND_metaal_Gas_kWH/1000)*0.902</f>
        <v>0</v>
      </c>
      <c r="E8" s="33">
        <f>C30*'E Balans VL '!I18/100/3.6*1000000</f>
        <v>17.701581492558478</v>
      </c>
      <c r="F8" s="33">
        <f>C30*'E Balans VL '!L18/100/3.6*1000000+C30*'E Balans VL '!N18/100/3.6*1000000</f>
        <v>276.58902946330738</v>
      </c>
      <c r="G8" s="34"/>
      <c r="H8" s="33"/>
      <c r="I8" s="33"/>
      <c r="J8" s="40">
        <f>C30*'E Balans VL '!D18/100/3.6*1000000+C30*'E Balans VL '!E18/100/3.6*1000000</f>
        <v>51.975700576737388</v>
      </c>
      <c r="K8" s="33"/>
      <c r="L8" s="33"/>
      <c r="M8" s="33"/>
      <c r="N8" s="33">
        <f>C30*'E Balans VL '!Y18/100/3.6*1000000</f>
        <v>9.4419931097085961</v>
      </c>
      <c r="O8" s="33"/>
      <c r="P8" s="33"/>
      <c r="R8" s="32"/>
    </row>
    <row r="9" spans="1:18">
      <c r="A9" s="6" t="s">
        <v>33</v>
      </c>
      <c r="B9" s="37">
        <f t="shared" si="0"/>
        <v>369.92899999999997</v>
      </c>
      <c r="C9" s="33"/>
      <c r="D9" s="37">
        <f>IF( ISERROR(IND_andere_gas_kWh/1000),0,IND_andere_gas_kWh/1000)*0.902</f>
        <v>498.61928600000005</v>
      </c>
      <c r="E9" s="33">
        <f>C31*'E Balans VL '!I19/100/3.6*1000000</f>
        <v>6.213410732494153</v>
      </c>
      <c r="F9" s="33">
        <f>C31*'E Balans VL '!L19/100/3.6*1000000+C31*'E Balans VL '!N19/100/3.6*1000000</f>
        <v>289.1894226173747</v>
      </c>
      <c r="G9" s="34"/>
      <c r="H9" s="33"/>
      <c r="I9" s="33"/>
      <c r="J9" s="40">
        <f>C31*'E Balans VL '!D19/100/3.6*1000000+C31*'E Balans VL '!E19/100/3.6*1000000</f>
        <v>3.3364330294326262E-2</v>
      </c>
      <c r="K9" s="33"/>
      <c r="L9" s="33"/>
      <c r="M9" s="33"/>
      <c r="N9" s="33">
        <f>C31*'E Balans VL '!Y19/100/3.6*1000000</f>
        <v>27.417673888304851</v>
      </c>
      <c r="O9" s="33"/>
      <c r="P9" s="33"/>
      <c r="R9" s="32"/>
    </row>
    <row r="10" spans="1:18">
      <c r="A10" s="6" t="s">
        <v>41</v>
      </c>
      <c r="B10" s="37">
        <f t="shared" si="0"/>
        <v>296.32</v>
      </c>
      <c r="C10" s="33"/>
      <c r="D10" s="37">
        <f>IF( ISERROR(IND_voed_gas_kWh/1000),0,IND_voed_gas_kWh/1000)*0.902</f>
        <v>168.94099199999999</v>
      </c>
      <c r="E10" s="33">
        <f>C32*'E Balans VL '!I20/100/3.6*1000000</f>
        <v>2.7035005442299207</v>
      </c>
      <c r="F10" s="33">
        <f>C32*'E Balans VL '!L20/100/3.6*1000000+C32*'E Balans VL '!N20/100/3.6*1000000</f>
        <v>47.805684347197449</v>
      </c>
      <c r="G10" s="34"/>
      <c r="H10" s="33"/>
      <c r="I10" s="33"/>
      <c r="J10" s="40">
        <f>C32*'E Balans VL '!D20/100/3.6*1000000+C32*'E Balans VL '!E20/100/3.6*1000000</f>
        <v>1.220440036795984</v>
      </c>
      <c r="K10" s="33"/>
      <c r="L10" s="33"/>
      <c r="M10" s="33"/>
      <c r="N10" s="33">
        <f>C32*'E Balans VL '!Y20/100/3.6*1000000</f>
        <v>4.3349279451222271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6615.5540000000001</v>
      </c>
      <c r="C13" s="33"/>
      <c r="D13" s="37">
        <f>IF( ISERROR(IND_papier_gas_kWh/1000),0,IND_papier_gas_kWh/1000)*0.902</f>
        <v>1283.680398</v>
      </c>
      <c r="E13" s="33">
        <f>C35*'E Balans VL '!I23/100/3.6*1000000</f>
        <v>203.54333152172927</v>
      </c>
      <c r="F13" s="33">
        <f>C35*'E Balans VL '!L23/100/3.6*1000000+C35*'E Balans VL '!N23/100/3.6*1000000</f>
        <v>1404.7133141524548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26.02</v>
      </c>
      <c r="C15" s="33"/>
      <c r="D15" s="37">
        <f>IF( ISERROR(IND_rest_gas_kWh/1000),0,IND_rest_gas_kWh/1000)*0.902</f>
        <v>0</v>
      </c>
      <c r="E15" s="33">
        <f>C37*'E Balans VL '!I15/100/3.6*1000000</f>
        <v>0.23482434632628554</v>
      </c>
      <c r="F15" s="33">
        <f>C37*'E Balans VL '!L15/100/3.6*1000000+C37*'E Balans VL '!N15/100/3.6*1000000</f>
        <v>5.2016069367056446</v>
      </c>
      <c r="G15" s="34"/>
      <c r="H15" s="33"/>
      <c r="I15" s="33"/>
      <c r="J15" s="40">
        <f>C37*'E Balans VL '!D15/100/3.6*1000000+C37*'E Balans VL '!E15/100/3.6*1000000</f>
        <v>0.17520182483975946</v>
      </c>
      <c r="K15" s="33"/>
      <c r="L15" s="33"/>
      <c r="M15" s="33"/>
      <c r="N15" s="33">
        <f>C37*'E Balans VL '!Y15/100/3.6*1000000</f>
        <v>0.4682521972177846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9826.9830000000002</v>
      </c>
      <c r="C18" s="21">
        <f>C5+C16</f>
        <v>0</v>
      </c>
      <c r="D18" s="21">
        <f>MAX((D5+D16),0)</f>
        <v>1951.2406759999999</v>
      </c>
      <c r="E18" s="21">
        <f>MAX((E5+E16),0)</f>
        <v>230.39664863733813</v>
      </c>
      <c r="F18" s="21">
        <f>MAX((F5+F16),0)</f>
        <v>2023.4990575170402</v>
      </c>
      <c r="G18" s="21"/>
      <c r="H18" s="21"/>
      <c r="I18" s="21"/>
      <c r="J18" s="21">
        <f>MAX((J5+J16),0)</f>
        <v>53.404706768667459</v>
      </c>
      <c r="K18" s="21"/>
      <c r="L18" s="21">
        <f>MAX((L5+L16),0)</f>
        <v>0</v>
      </c>
      <c r="M18" s="21"/>
      <c r="N18" s="21">
        <f>MAX((N5+N16),0)</f>
        <v>41.662847140353456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0.57144963701625195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5615.625868314879</v>
      </c>
      <c r="C22" s="23">
        <f ca="1">C18*C20</f>
        <v>0</v>
      </c>
      <c r="D22" s="23">
        <f>D18*D20</f>
        <v>394.15061655200003</v>
      </c>
      <c r="E22" s="23">
        <f>E18*E20</f>
        <v>52.300039240675758</v>
      </c>
      <c r="F22" s="23">
        <f>F18*F20</f>
        <v>540.27424835704983</v>
      </c>
      <c r="G22" s="23"/>
      <c r="H22" s="23"/>
      <c r="I22" s="23"/>
      <c r="J22" s="23">
        <f>J18*J20</f>
        <v>18.905266196108279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2519.16</v>
      </c>
      <c r="C30" s="39">
        <f>IF(ISERROR(B30*3.6/1000000/'E Balans VL '!Z18*100),0,B30*3.6/1000000/'E Balans VL '!Z18*100)</f>
        <v>0.16770201952800518</v>
      </c>
      <c r="D30" s="238" t="s">
        <v>719</v>
      </c>
    </row>
    <row r="31" spans="1:18">
      <c r="A31" s="6" t="s">
        <v>33</v>
      </c>
      <c r="B31" s="37">
        <f>IF( ISERROR(IND_ander_ele_kWh/1000),0,IND_ander_ele_kWh/1000)</f>
        <v>369.92899999999997</v>
      </c>
      <c r="C31" s="39">
        <f>IF(ISERROR(B31*3.6/1000000/'E Balans VL '!Z19*100),0,B31*3.6/1000000/'E Balans VL '!Z19*100)</f>
        <v>1.6397486561034066E-2</v>
      </c>
      <c r="D31" s="238" t="s">
        <v>719</v>
      </c>
    </row>
    <row r="32" spans="1:18">
      <c r="A32" s="172" t="s">
        <v>41</v>
      </c>
      <c r="B32" s="37">
        <f>IF( ISERROR(IND_voed_ele_kWh/1000),0,IND_voed_ele_kWh/1000)</f>
        <v>296.32</v>
      </c>
      <c r="C32" s="39">
        <f>IF(ISERROR(B32*3.6/1000000/'E Balans VL '!Z20*100),0,B32*3.6/1000000/'E Balans VL '!Z20*100)</f>
        <v>9.8979380320643514E-3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6615.5540000000001</v>
      </c>
      <c r="C35" s="39">
        <f>IF(ISERROR(B35*3.6/1000000/'E Balans VL '!Z22*100),0,B35*3.6/1000000/'E Balans VL '!Z22*100)</f>
        <v>1.2866525852699935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26.02</v>
      </c>
      <c r="C37" s="39">
        <f>IF(ISERROR(B37*3.6/1000000/'E Balans VL '!Z15*100),0,B37*3.6/1000000/'E Balans VL '!Z15*100)</f>
        <v>1.9354640979397377E-4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4083.145</v>
      </c>
      <c r="C5" s="17">
        <f>'Eigen informatie GS &amp; warmtenet'!B60</f>
        <v>0</v>
      </c>
      <c r="D5" s="30">
        <f>IF(ISERROR(SUM(LB_lb_gas_kWh,LB_rest_gas_kWh)/1000),0,SUM(LB_lb_gas_kWh,LB_rest_gas_kWh)/1000)*0.902</f>
        <v>219152.791968</v>
      </c>
      <c r="E5" s="17">
        <f>B17*'E Balans VL '!I25/3.6*1000000/100</f>
        <v>42.759578404844618</v>
      </c>
      <c r="F5" s="17">
        <f>B17*('E Balans VL '!L25/3.6*1000000+'E Balans VL '!N25/3.6*1000000)/100</f>
        <v>17478.963131286564</v>
      </c>
      <c r="G5" s="18"/>
      <c r="H5" s="17"/>
      <c r="I5" s="17"/>
      <c r="J5" s="17">
        <f>('E Balans VL '!D25+'E Balans VL '!E25)/3.6*1000000*landbouw!B17/100</f>
        <v>364.66144635298195</v>
      </c>
      <c r="K5" s="17"/>
      <c r="L5" s="17">
        <f>L6*(-1)</f>
        <v>0</v>
      </c>
      <c r="M5" s="17"/>
      <c r="N5" s="17">
        <f>N6*(-1)</f>
        <v>0</v>
      </c>
      <c r="O5" s="17"/>
      <c r="P5" s="17"/>
      <c r="R5" s="32"/>
    </row>
    <row r="6" spans="1:18">
      <c r="A6" s="16" t="s">
        <v>496</v>
      </c>
      <c r="B6" s="17" t="s">
        <v>211</v>
      </c>
      <c r="C6" s="17">
        <f>'lokale energieproductie'!O92+'lokale energieproductie'!O61</f>
        <v>121108.92857142858</v>
      </c>
      <c r="D6" s="311">
        <f>('lokale energieproductie'!P61+'lokale energieproductie'!P92)*(-1)</f>
        <v>-242217.85714285719</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4083.145</v>
      </c>
      <c r="C8" s="21">
        <f>C5+C6</f>
        <v>121108.92857142858</v>
      </c>
      <c r="D8" s="21">
        <f>MAX((D5+D6),0)</f>
        <v>0</v>
      </c>
      <c r="E8" s="21">
        <f>MAX((E5+E6),0)</f>
        <v>42.759578404844618</v>
      </c>
      <c r="F8" s="21">
        <f>MAX((F5+F6),0)</f>
        <v>17478.963131286564</v>
      </c>
      <c r="G8" s="21"/>
      <c r="H8" s="21"/>
      <c r="I8" s="21"/>
      <c r="J8" s="21">
        <f>MAX((J5+J6),0)</f>
        <v>364.66144635298195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0.57144963701625195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2333.311728134724</v>
      </c>
      <c r="C12" s="23">
        <f ca="1">C8*C10</f>
        <v>28781.180672268911</v>
      </c>
      <c r="D12" s="23">
        <f>D8*D10</f>
        <v>0</v>
      </c>
      <c r="E12" s="23">
        <f>E8*E10</f>
        <v>9.7064242978997282</v>
      </c>
      <c r="F12" s="23">
        <f>F8*F10</f>
        <v>4666.8831560535127</v>
      </c>
      <c r="G12" s="23"/>
      <c r="H12" s="23"/>
      <c r="I12" s="23"/>
      <c r="J12" s="23">
        <f>J8*J10</f>
        <v>129.09015200895561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0.62847483476417687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26.980712893406153</v>
      </c>
      <c r="C26" s="248">
        <f>B26*'GWP N2O_CH4'!B5</f>
        <v>566.59497076152923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2.6101662588872934</v>
      </c>
      <c r="C27" s="248">
        <f>B27*'GWP N2O_CH4'!B5</f>
        <v>54.813491436633157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0.38301861369917128</v>
      </c>
      <c r="C28" s="248">
        <f>B28*'GWP N2O_CH4'!B4</f>
        <v>118.7357702467431</v>
      </c>
      <c r="D28" s="50"/>
    </row>
    <row r="29" spans="1:4">
      <c r="A29" s="41" t="s">
        <v>277</v>
      </c>
      <c r="B29" s="248">
        <f>B34*'ha_N2O bodem landbouw'!B4</f>
        <v>8.3222826883731731</v>
      </c>
      <c r="C29" s="248">
        <f>B29*'GWP N2O_CH4'!B4</f>
        <v>2579.9076333956837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1.3753665165906375E-3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1.8681869759031784E-6</v>
      </c>
      <c r="C5" s="446" t="s">
        <v>211</v>
      </c>
      <c r="D5" s="431">
        <f>SUM(D6:D11)</f>
        <v>8.7605452576408562E-6</v>
      </c>
      <c r="E5" s="431">
        <f>SUM(E6:E11)</f>
        <v>8.9703375727485306E-4</v>
      </c>
      <c r="F5" s="444" t="s">
        <v>211</v>
      </c>
      <c r="G5" s="431">
        <f>SUM(G6:G11)</f>
        <v>0.16193106422515746</v>
      </c>
      <c r="H5" s="431">
        <f>SUM(H6:H11)</f>
        <v>2.9290731389208412E-2</v>
      </c>
      <c r="I5" s="446" t="s">
        <v>211</v>
      </c>
      <c r="J5" s="446" t="s">
        <v>211</v>
      </c>
      <c r="K5" s="446" t="s">
        <v>211</v>
      </c>
      <c r="L5" s="446" t="s">
        <v>211</v>
      </c>
      <c r="M5" s="431">
        <f>SUM(M6:M11)</f>
        <v>8.3476938770139543E-3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1.6616373497718833E-6</v>
      </c>
      <c r="C6" s="432"/>
      <c r="D6" s="432">
        <f>vkm_2011_GW_PW*SUMIFS(TableVerdeelsleutelVkm[CNG],TableVerdeelsleutelVkm[Voertuigtype],"Lichte voertuigen")*SUMIFS(TableECFTransport[EnergieConsumptieFactor (PJ per km)],TableECFTransport[Index],CONCATENATE($A6,"_CNG_CNG"))</f>
        <v>7.163125466354307E-6</v>
      </c>
      <c r="E6" s="434">
        <f>vkm_2011_GW_PW*SUMIFS(TableVerdeelsleutelVkm[LPG],TableVerdeelsleutelVkm[Voertuigtype],"Lichte voertuigen")*SUMIFS(TableECFTransport[EnergieConsumptieFactor (PJ per km)],TableECFTransport[Index],CONCATENATE($A6,"_LPG_LPG"))</f>
        <v>7.4527925275877426E-4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9.1671394088726418E-2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2.4135178355421935E-2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5.0751992024872681E-3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4.7459246566309989E-2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1.6273117974089504E-5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2.0501505284567607E-3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2.0654962613129511E-7</v>
      </c>
      <c r="C8" s="432"/>
      <c r="D8" s="434">
        <f>vkm_2011_NGW_PW*SUMIFS(TableVerdeelsleutelVkm[CNG],TableVerdeelsleutelVkm[Voertuigtype],"Lichte voertuigen")*SUMIFS(TableECFTransport[EnergieConsumptieFactor (PJ per km)],TableECFTransport[Index],CONCATENATE($A8,"_CNG_CNG"))</f>
        <v>1.5974197912865496E-6</v>
      </c>
      <c r="E8" s="434">
        <f>vkm_2011_NGW_PW*SUMIFS(TableVerdeelsleutelVkm[LPG],TableVerdeelsleutelVkm[Voertuigtype],"Lichte voertuigen")*SUMIFS(TableECFTransport[EnergieConsumptieFactor (PJ per km)],TableECFTransport[Index],CONCATENATE($A8,"_LPG_LPG"))</f>
        <v>1.5175450451607875E-4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1.7704485277821161E-2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5.1377619696709089E-3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1.0022197723293276E-3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5.0959382922998835E-3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1.5179461414791128E-6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2.2012437374059751E-4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0.51894082663977181</v>
      </c>
      <c r="C14" s="21"/>
      <c r="D14" s="21">
        <f t="shared" ref="D14:M14" si="0">((D5)*10^9/3600)+D12</f>
        <v>2.4334847937891269</v>
      </c>
      <c r="E14" s="21">
        <f t="shared" si="0"/>
        <v>249.17604368745918</v>
      </c>
      <c r="F14" s="21"/>
      <c r="G14" s="21">
        <f t="shared" si="0"/>
        <v>44980.851173654853</v>
      </c>
      <c r="H14" s="21">
        <f t="shared" si="0"/>
        <v>8136.3142747801148</v>
      </c>
      <c r="I14" s="21"/>
      <c r="J14" s="21"/>
      <c r="K14" s="21"/>
      <c r="L14" s="21"/>
      <c r="M14" s="21">
        <f t="shared" si="0"/>
        <v>2318.8038547260985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0.57144963701625195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0.29654854701621136</v>
      </c>
      <c r="C18" s="23"/>
      <c r="D18" s="23">
        <f t="shared" ref="D18:M18" si="1">D14*D16</f>
        <v>0.49156392834540363</v>
      </c>
      <c r="E18" s="23">
        <f t="shared" si="1"/>
        <v>56.562961917053237</v>
      </c>
      <c r="F18" s="23"/>
      <c r="G18" s="23">
        <f t="shared" si="1"/>
        <v>12009.887263365847</v>
      </c>
      <c r="H18" s="23">
        <f t="shared" si="1"/>
        <v>2025.9422544202487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2.3532657900624159E-3</v>
      </c>
      <c r="C50" s="322">
        <f t="shared" ref="C50:P50" si="2">SUM(C51:C52)</f>
        <v>0</v>
      </c>
      <c r="D50" s="322">
        <f t="shared" si="2"/>
        <v>0</v>
      </c>
      <c r="E50" s="322">
        <f t="shared" si="2"/>
        <v>0</v>
      </c>
      <c r="F50" s="322">
        <f t="shared" si="2"/>
        <v>0</v>
      </c>
      <c r="G50" s="322">
        <f t="shared" si="2"/>
        <v>5.4470667390664126E-3</v>
      </c>
      <c r="H50" s="322">
        <f t="shared" si="2"/>
        <v>0</v>
      </c>
      <c r="I50" s="322">
        <f t="shared" si="2"/>
        <v>0</v>
      </c>
      <c r="J50" s="322">
        <f t="shared" si="2"/>
        <v>0</v>
      </c>
      <c r="K50" s="322">
        <f t="shared" si="2"/>
        <v>0</v>
      </c>
      <c r="L50" s="322">
        <f t="shared" si="2"/>
        <v>0</v>
      </c>
      <c r="M50" s="322">
        <f t="shared" si="2"/>
        <v>2.3218479043259554E-4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5.4470667390664126E-3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2.3218479043259554E-4</v>
      </c>
      <c r="N51" s="324"/>
      <c r="O51" s="324"/>
      <c r="P51" s="327"/>
    </row>
    <row r="52" spans="1:18">
      <c r="A52" s="4" t="s">
        <v>330</v>
      </c>
      <c r="B52" s="328">
        <f>vkm_2011_tram*SUMIFS(TableECFTransport[EnergieConsumptieFactor (PJ per km)],TableECFTransport[Index],"Tram_gemiddeld_Electric_Electric")</f>
        <v>2.3532657900624159E-3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653.68494168400446</v>
      </c>
      <c r="C54" s="21">
        <f t="shared" ref="C54:P54" si="3">(C50)*10^9/3600</f>
        <v>0</v>
      </c>
      <c r="D54" s="21">
        <f t="shared" si="3"/>
        <v>0</v>
      </c>
      <c r="E54" s="21">
        <f t="shared" si="3"/>
        <v>0</v>
      </c>
      <c r="F54" s="21">
        <f t="shared" si="3"/>
        <v>0</v>
      </c>
      <c r="G54" s="21">
        <f t="shared" si="3"/>
        <v>1513.0740941851145</v>
      </c>
      <c r="H54" s="21">
        <f t="shared" si="3"/>
        <v>0</v>
      </c>
      <c r="I54" s="21">
        <f t="shared" si="3"/>
        <v>0</v>
      </c>
      <c r="J54" s="21">
        <f t="shared" si="3"/>
        <v>0</v>
      </c>
      <c r="K54" s="21">
        <f t="shared" si="3"/>
        <v>0</v>
      </c>
      <c r="L54" s="21">
        <f t="shared" si="3"/>
        <v>0</v>
      </c>
      <c r="M54" s="21">
        <f t="shared" si="3"/>
        <v>64.495775120165419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0.57144963701625195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373.5480226483142</v>
      </c>
      <c r="C58" s="23">
        <f t="shared" ref="C58:P58" ca="1" si="4">C54*C56</f>
        <v>0</v>
      </c>
      <c r="D58" s="23">
        <f t="shared" si="4"/>
        <v>0</v>
      </c>
      <c r="E58" s="23">
        <f t="shared" si="4"/>
        <v>0</v>
      </c>
      <c r="F58" s="23">
        <f t="shared" si="4"/>
        <v>0</v>
      </c>
      <c r="G58" s="23">
        <f t="shared" si="4"/>
        <v>403.99078314742559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30455.68</v>
      </c>
      <c r="D10" s="687">
        <f ca="1">tertiair!C16</f>
        <v>26620.714285714286</v>
      </c>
      <c r="E10" s="687">
        <f ca="1">tertiair!D16</f>
        <v>0</v>
      </c>
      <c r="F10" s="687">
        <f>tertiair!E16</f>
        <v>251.34969585387887</v>
      </c>
      <c r="G10" s="687">
        <f ca="1">tertiair!F16</f>
        <v>2332.5908100723213</v>
      </c>
      <c r="H10" s="687">
        <f>tertiair!G16</f>
        <v>0</v>
      </c>
      <c r="I10" s="687">
        <f>tertiair!H16</f>
        <v>0</v>
      </c>
      <c r="J10" s="687">
        <f>tertiair!I16</f>
        <v>0</v>
      </c>
      <c r="K10" s="687">
        <f>tertiair!J16</f>
        <v>0</v>
      </c>
      <c r="L10" s="687">
        <f>tertiair!K16</f>
        <v>0</v>
      </c>
      <c r="M10" s="687">
        <f ca="1">tertiair!L16</f>
        <v>0</v>
      </c>
      <c r="N10" s="687">
        <f>tertiair!M16</f>
        <v>0</v>
      </c>
      <c r="O10" s="687">
        <f ca="1">tertiair!N16</f>
        <v>194.12227236761353</v>
      </c>
      <c r="P10" s="687">
        <f>tertiair!O16</f>
        <v>3.1266666666666669</v>
      </c>
      <c r="Q10" s="688">
        <f>tertiair!P16</f>
        <v>0</v>
      </c>
      <c r="R10" s="690">
        <f ca="1">SUM(C10:Q10)</f>
        <v>59857.583730674764</v>
      </c>
      <c r="S10" s="67"/>
    </row>
    <row r="11" spans="1:19" s="456" customFormat="1">
      <c r="A11" s="802" t="s">
        <v>225</v>
      </c>
      <c r="B11" s="807"/>
      <c r="C11" s="687">
        <f>huishoudens!B8</f>
        <v>23432.207963426365</v>
      </c>
      <c r="D11" s="687">
        <f>huishoudens!C8</f>
        <v>0</v>
      </c>
      <c r="E11" s="687">
        <f>huishoudens!D8</f>
        <v>67567.844937999995</v>
      </c>
      <c r="F11" s="687">
        <f>huishoudens!E8</f>
        <v>1096.7403609813045</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6923.4455919725979</v>
      </c>
      <c r="P11" s="687">
        <f>huishoudens!O8</f>
        <v>50.026666666666671</v>
      </c>
      <c r="Q11" s="688">
        <f>huishoudens!P8</f>
        <v>190.66666666666669</v>
      </c>
      <c r="R11" s="690">
        <f>SUM(C11:Q11)</f>
        <v>99260.93218771361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9826.9830000000002</v>
      </c>
      <c r="D13" s="687">
        <f>industrie!C18</f>
        <v>0</v>
      </c>
      <c r="E13" s="687">
        <f>industrie!D18</f>
        <v>1951.2406759999999</v>
      </c>
      <c r="F13" s="687">
        <f>industrie!E18</f>
        <v>230.39664863733813</v>
      </c>
      <c r="G13" s="687">
        <f>industrie!F18</f>
        <v>2023.4990575170402</v>
      </c>
      <c r="H13" s="687">
        <f>industrie!G18</f>
        <v>0</v>
      </c>
      <c r="I13" s="687">
        <f>industrie!H18</f>
        <v>0</v>
      </c>
      <c r="J13" s="687">
        <f>industrie!I18</f>
        <v>0</v>
      </c>
      <c r="K13" s="687">
        <f>industrie!J18</f>
        <v>53.404706768667459</v>
      </c>
      <c r="L13" s="687">
        <f>industrie!K18</f>
        <v>0</v>
      </c>
      <c r="M13" s="687">
        <f>industrie!L18</f>
        <v>0</v>
      </c>
      <c r="N13" s="687">
        <f>industrie!M18</f>
        <v>0</v>
      </c>
      <c r="O13" s="687">
        <f>industrie!N18</f>
        <v>41.662847140353456</v>
      </c>
      <c r="P13" s="687">
        <f>industrie!O18</f>
        <v>0</v>
      </c>
      <c r="Q13" s="688">
        <f>industrie!P18</f>
        <v>0</v>
      </c>
      <c r="R13" s="690">
        <f>SUM(C13:Q13)</f>
        <v>14127.186936063397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63714.870963426365</v>
      </c>
      <c r="D16" s="720">
        <f t="shared" ref="D16:R16" ca="1" si="0">SUM(D9:D15)</f>
        <v>26620.714285714286</v>
      </c>
      <c r="E16" s="720">
        <f t="shared" ca="1" si="0"/>
        <v>69519.085613999996</v>
      </c>
      <c r="F16" s="720">
        <f t="shared" si="0"/>
        <v>1578.4867054725216</v>
      </c>
      <c r="G16" s="720">
        <f t="shared" ca="1" si="0"/>
        <v>4356.0898675893613</v>
      </c>
      <c r="H16" s="720">
        <f t="shared" si="0"/>
        <v>0</v>
      </c>
      <c r="I16" s="720">
        <f t="shared" si="0"/>
        <v>0</v>
      </c>
      <c r="J16" s="720">
        <f t="shared" si="0"/>
        <v>0</v>
      </c>
      <c r="K16" s="720">
        <f t="shared" si="0"/>
        <v>53.404706768667459</v>
      </c>
      <c r="L16" s="720">
        <f t="shared" si="0"/>
        <v>0</v>
      </c>
      <c r="M16" s="720">
        <f t="shared" ca="1" si="0"/>
        <v>0</v>
      </c>
      <c r="N16" s="720">
        <f t="shared" si="0"/>
        <v>0</v>
      </c>
      <c r="O16" s="720">
        <f t="shared" ca="1" si="0"/>
        <v>7159.2307114805653</v>
      </c>
      <c r="P16" s="720">
        <f t="shared" si="0"/>
        <v>53.153333333333336</v>
      </c>
      <c r="Q16" s="720">
        <f t="shared" si="0"/>
        <v>190.66666666666669</v>
      </c>
      <c r="R16" s="720">
        <f t="shared" ca="1" si="0"/>
        <v>173245.70285445178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653.68494168400446</v>
      </c>
      <c r="D19" s="687">
        <f>transport!C54</f>
        <v>0</v>
      </c>
      <c r="E19" s="687">
        <f>transport!D54</f>
        <v>0</v>
      </c>
      <c r="F19" s="687">
        <f>transport!E54</f>
        <v>0</v>
      </c>
      <c r="G19" s="687">
        <f>transport!F54</f>
        <v>0</v>
      </c>
      <c r="H19" s="687">
        <f>transport!G54</f>
        <v>1513.0740941851145</v>
      </c>
      <c r="I19" s="687">
        <f>transport!H54</f>
        <v>0</v>
      </c>
      <c r="J19" s="687">
        <f>transport!I54</f>
        <v>0</v>
      </c>
      <c r="K19" s="687">
        <f>transport!J54</f>
        <v>0</v>
      </c>
      <c r="L19" s="687">
        <f>transport!K54</f>
        <v>0</v>
      </c>
      <c r="M19" s="687">
        <f>transport!L54</f>
        <v>0</v>
      </c>
      <c r="N19" s="687">
        <f>transport!M54</f>
        <v>64.495775120165419</v>
      </c>
      <c r="O19" s="687">
        <f>transport!N54</f>
        <v>0</v>
      </c>
      <c r="P19" s="687">
        <f>transport!O54</f>
        <v>0</v>
      </c>
      <c r="Q19" s="688">
        <f>transport!P54</f>
        <v>0</v>
      </c>
      <c r="R19" s="690">
        <f>SUM(C19:Q19)</f>
        <v>2231.2548109892846</v>
      </c>
      <c r="S19" s="67"/>
    </row>
    <row r="20" spans="1:19" s="456" customFormat="1">
      <c r="A20" s="802" t="s">
        <v>307</v>
      </c>
      <c r="B20" s="807"/>
      <c r="C20" s="687">
        <f>transport!B14</f>
        <v>0.51894082663977181</v>
      </c>
      <c r="D20" s="687">
        <f>transport!C14</f>
        <v>0</v>
      </c>
      <c r="E20" s="687">
        <f>transport!D14</f>
        <v>2.4334847937891269</v>
      </c>
      <c r="F20" s="687">
        <f>transport!E14</f>
        <v>249.17604368745918</v>
      </c>
      <c r="G20" s="687">
        <f>transport!F14</f>
        <v>0</v>
      </c>
      <c r="H20" s="687">
        <f>transport!G14</f>
        <v>44980.851173654853</v>
      </c>
      <c r="I20" s="687">
        <f>transport!H14</f>
        <v>8136.3142747801148</v>
      </c>
      <c r="J20" s="687">
        <f>transport!I14</f>
        <v>0</v>
      </c>
      <c r="K20" s="687">
        <f>transport!J14</f>
        <v>0</v>
      </c>
      <c r="L20" s="687">
        <f>transport!K14</f>
        <v>0</v>
      </c>
      <c r="M20" s="687">
        <f>transport!L14</f>
        <v>0</v>
      </c>
      <c r="N20" s="687">
        <f>transport!M14</f>
        <v>2318.8038547260985</v>
      </c>
      <c r="O20" s="687">
        <f>transport!N14</f>
        <v>0</v>
      </c>
      <c r="P20" s="687">
        <f>transport!O14</f>
        <v>0</v>
      </c>
      <c r="Q20" s="688">
        <f>transport!P14</f>
        <v>0</v>
      </c>
      <c r="R20" s="690">
        <f>SUM(C20:Q20)</f>
        <v>55688.097772468958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654.20388251064423</v>
      </c>
      <c r="D22" s="805">
        <f t="shared" ref="D22:R22" si="1">SUM(D18:D21)</f>
        <v>0</v>
      </c>
      <c r="E22" s="805">
        <f t="shared" si="1"/>
        <v>2.4334847937891269</v>
      </c>
      <c r="F22" s="805">
        <f t="shared" si="1"/>
        <v>249.17604368745918</v>
      </c>
      <c r="G22" s="805">
        <f t="shared" si="1"/>
        <v>0</v>
      </c>
      <c r="H22" s="805">
        <f t="shared" si="1"/>
        <v>46493.925267839964</v>
      </c>
      <c r="I22" s="805">
        <f t="shared" si="1"/>
        <v>8136.3142747801148</v>
      </c>
      <c r="J22" s="805">
        <f t="shared" si="1"/>
        <v>0</v>
      </c>
      <c r="K22" s="805">
        <f t="shared" si="1"/>
        <v>0</v>
      </c>
      <c r="L22" s="805">
        <f t="shared" si="1"/>
        <v>0</v>
      </c>
      <c r="M22" s="805">
        <f t="shared" si="1"/>
        <v>0</v>
      </c>
      <c r="N22" s="805">
        <f t="shared" si="1"/>
        <v>2383.299629846264</v>
      </c>
      <c r="O22" s="805">
        <f t="shared" si="1"/>
        <v>0</v>
      </c>
      <c r="P22" s="805">
        <f t="shared" si="1"/>
        <v>0</v>
      </c>
      <c r="Q22" s="805">
        <f t="shared" si="1"/>
        <v>0</v>
      </c>
      <c r="R22" s="805">
        <f t="shared" si="1"/>
        <v>57919.35258345824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4083.145</v>
      </c>
      <c r="D24" s="687">
        <f>+landbouw!C8</f>
        <v>121108.92857142858</v>
      </c>
      <c r="E24" s="687">
        <f>+landbouw!D8</f>
        <v>0</v>
      </c>
      <c r="F24" s="687">
        <f>+landbouw!E8</f>
        <v>42.759578404844618</v>
      </c>
      <c r="G24" s="687">
        <f>+landbouw!F8</f>
        <v>17478.963131286564</v>
      </c>
      <c r="H24" s="687">
        <f>+landbouw!G8</f>
        <v>0</v>
      </c>
      <c r="I24" s="687">
        <f>+landbouw!H8</f>
        <v>0</v>
      </c>
      <c r="J24" s="687">
        <f>+landbouw!I8</f>
        <v>0</v>
      </c>
      <c r="K24" s="687">
        <f>+landbouw!J8</f>
        <v>364.66144635298195</v>
      </c>
      <c r="L24" s="687">
        <f>+landbouw!K8</f>
        <v>0</v>
      </c>
      <c r="M24" s="687">
        <f>+landbouw!L8</f>
        <v>0</v>
      </c>
      <c r="N24" s="687">
        <f>+landbouw!M8</f>
        <v>0</v>
      </c>
      <c r="O24" s="687">
        <f>+landbouw!N8</f>
        <v>0</v>
      </c>
      <c r="P24" s="687">
        <f>+landbouw!O8</f>
        <v>0</v>
      </c>
      <c r="Q24" s="688">
        <f>+landbouw!P8</f>
        <v>0</v>
      </c>
      <c r="R24" s="690">
        <f>SUM(C24:Q24)</f>
        <v>143078.45772747297</v>
      </c>
      <c r="S24" s="67"/>
    </row>
    <row r="25" spans="1:19" s="456" customFormat="1" ht="15" thickBot="1">
      <c r="A25" s="824" t="s">
        <v>925</v>
      </c>
      <c r="B25" s="988"/>
      <c r="C25" s="989">
        <f>IF(Onbekend_ele_kWh="---",0,Onbekend_ele_kWh)/1000+IF(REST_rest_ele_kWh="---",0,REST_rest_ele_kWh)/1000</f>
        <v>996.87199999999996</v>
      </c>
      <c r="D25" s="989"/>
      <c r="E25" s="989">
        <f>IF(onbekend_gas_kWh="---",0,onbekend_gas_kWh)/1000+IF(REST_rest_gas_kWh="---",0,REST_rest_gas_kWh)/1000</f>
        <v>8603.3950000000004</v>
      </c>
      <c r="F25" s="989"/>
      <c r="G25" s="989"/>
      <c r="H25" s="989"/>
      <c r="I25" s="989"/>
      <c r="J25" s="989"/>
      <c r="K25" s="989"/>
      <c r="L25" s="989"/>
      <c r="M25" s="989"/>
      <c r="N25" s="989"/>
      <c r="O25" s="989"/>
      <c r="P25" s="989"/>
      <c r="Q25" s="990"/>
      <c r="R25" s="690">
        <f>SUM(C25:Q25)</f>
        <v>9600.2669999999998</v>
      </c>
      <c r="S25" s="67"/>
    </row>
    <row r="26" spans="1:19" s="456" customFormat="1" ht="15.75" thickBot="1">
      <c r="A26" s="693" t="s">
        <v>926</v>
      </c>
      <c r="B26" s="810"/>
      <c r="C26" s="805">
        <f>SUM(C24:C25)</f>
        <v>5080.0169999999998</v>
      </c>
      <c r="D26" s="805">
        <f t="shared" ref="D26:R26" si="2">SUM(D24:D25)</f>
        <v>121108.92857142858</v>
      </c>
      <c r="E26" s="805">
        <f t="shared" si="2"/>
        <v>8603.3950000000004</v>
      </c>
      <c r="F26" s="805">
        <f t="shared" si="2"/>
        <v>42.759578404844618</v>
      </c>
      <c r="G26" s="805">
        <f t="shared" si="2"/>
        <v>17478.963131286564</v>
      </c>
      <c r="H26" s="805">
        <f t="shared" si="2"/>
        <v>0</v>
      </c>
      <c r="I26" s="805">
        <f t="shared" si="2"/>
        <v>0</v>
      </c>
      <c r="J26" s="805">
        <f t="shared" si="2"/>
        <v>0</v>
      </c>
      <c r="K26" s="805">
        <f t="shared" si="2"/>
        <v>364.66144635298195</v>
      </c>
      <c r="L26" s="805">
        <f t="shared" si="2"/>
        <v>0</v>
      </c>
      <c r="M26" s="805">
        <f t="shared" si="2"/>
        <v>0</v>
      </c>
      <c r="N26" s="805">
        <f t="shared" si="2"/>
        <v>0</v>
      </c>
      <c r="O26" s="805">
        <f t="shared" si="2"/>
        <v>0</v>
      </c>
      <c r="P26" s="805">
        <f t="shared" si="2"/>
        <v>0</v>
      </c>
      <c r="Q26" s="805">
        <f t="shared" si="2"/>
        <v>0</v>
      </c>
      <c r="R26" s="805">
        <f t="shared" si="2"/>
        <v>152678.72472747296</v>
      </c>
      <c r="S26" s="67"/>
    </row>
    <row r="27" spans="1:19" s="456" customFormat="1" ht="17.25" thickTop="1" thickBot="1">
      <c r="A27" s="694" t="s">
        <v>116</v>
      </c>
      <c r="B27" s="797"/>
      <c r="C27" s="695">
        <f ca="1">C22+C16+C26</f>
        <v>69449.091845937015</v>
      </c>
      <c r="D27" s="695">
        <f t="shared" ref="D27:R27" ca="1" si="3">D22+D16+D26</f>
        <v>147729.64285714287</v>
      </c>
      <c r="E27" s="695">
        <f t="shared" ca="1" si="3"/>
        <v>78124.914098793786</v>
      </c>
      <c r="F27" s="695">
        <f t="shared" si="3"/>
        <v>1870.4223275648255</v>
      </c>
      <c r="G27" s="695">
        <f t="shared" ca="1" si="3"/>
        <v>21835.052998875926</v>
      </c>
      <c r="H27" s="695">
        <f t="shared" si="3"/>
        <v>46493.925267839964</v>
      </c>
      <c r="I27" s="695">
        <f t="shared" si="3"/>
        <v>8136.3142747801148</v>
      </c>
      <c r="J27" s="695">
        <f t="shared" si="3"/>
        <v>0</v>
      </c>
      <c r="K27" s="695">
        <f t="shared" si="3"/>
        <v>418.06615312164939</v>
      </c>
      <c r="L27" s="695">
        <f t="shared" si="3"/>
        <v>0</v>
      </c>
      <c r="M27" s="695">
        <f t="shared" ca="1" si="3"/>
        <v>0</v>
      </c>
      <c r="N27" s="695">
        <f t="shared" si="3"/>
        <v>2383.299629846264</v>
      </c>
      <c r="O27" s="695">
        <f t="shared" ca="1" si="3"/>
        <v>7159.2307114805653</v>
      </c>
      <c r="P27" s="695">
        <f t="shared" si="3"/>
        <v>53.153333333333336</v>
      </c>
      <c r="Q27" s="695">
        <f t="shared" si="3"/>
        <v>190.66666666666669</v>
      </c>
      <c r="R27" s="695">
        <f t="shared" ca="1" si="3"/>
        <v>383843.78016538301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17403.887281083127</v>
      </c>
      <c r="D40" s="687">
        <f ca="1">tertiair!C20</f>
        <v>6326.3344537815137</v>
      </c>
      <c r="E40" s="687">
        <f ca="1">tertiair!D20</f>
        <v>0</v>
      </c>
      <c r="F40" s="687">
        <f>tertiair!E20</f>
        <v>57.056380958830502</v>
      </c>
      <c r="G40" s="687">
        <f ca="1">tertiair!F20</f>
        <v>622.80174628930979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24410.079862112783</v>
      </c>
    </row>
    <row r="41" spans="1:18">
      <c r="A41" s="815" t="s">
        <v>225</v>
      </c>
      <c r="B41" s="822"/>
      <c r="C41" s="687">
        <f ca="1">huishoudens!B12</f>
        <v>13390.326735189325</v>
      </c>
      <c r="D41" s="687">
        <f ca="1">huishoudens!C12</f>
        <v>0</v>
      </c>
      <c r="E41" s="687">
        <f>huishoudens!D12</f>
        <v>13648.704677476</v>
      </c>
      <c r="F41" s="687">
        <f>huishoudens!E12</f>
        <v>248.96006194275614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27287.991474608079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5615.625868314879</v>
      </c>
      <c r="D43" s="687">
        <f ca="1">industrie!C22</f>
        <v>0</v>
      </c>
      <c r="E43" s="687">
        <f>industrie!D22</f>
        <v>394.15061655200003</v>
      </c>
      <c r="F43" s="687">
        <f>industrie!E22</f>
        <v>52.300039240675758</v>
      </c>
      <c r="G43" s="687">
        <f>industrie!F22</f>
        <v>540.27424835704983</v>
      </c>
      <c r="H43" s="687">
        <f>industrie!G22</f>
        <v>0</v>
      </c>
      <c r="I43" s="687">
        <f>industrie!H22</f>
        <v>0</v>
      </c>
      <c r="J43" s="687">
        <f>industrie!I22</f>
        <v>0</v>
      </c>
      <c r="K43" s="687">
        <f>industrie!J22</f>
        <v>18.905266196108279</v>
      </c>
      <c r="L43" s="687">
        <f>industrie!K22</f>
        <v>0</v>
      </c>
      <c r="M43" s="687">
        <f>industrie!L22</f>
        <v>0</v>
      </c>
      <c r="N43" s="687">
        <f>industrie!M22</f>
        <v>0</v>
      </c>
      <c r="O43" s="687">
        <f>industrie!N22</f>
        <v>0</v>
      </c>
      <c r="P43" s="687">
        <f>industrie!O22</f>
        <v>0</v>
      </c>
      <c r="Q43" s="762">
        <f>industrie!P22</f>
        <v>0</v>
      </c>
      <c r="R43" s="842">
        <f t="shared" ca="1" si="4"/>
        <v>6621.2560386607138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36409.839884587331</v>
      </c>
      <c r="D46" s="720">
        <f t="shared" ref="D46:Q46" ca="1" si="5">SUM(D39:D45)</f>
        <v>6326.3344537815137</v>
      </c>
      <c r="E46" s="720">
        <f t="shared" ca="1" si="5"/>
        <v>14042.855294028001</v>
      </c>
      <c r="F46" s="720">
        <f t="shared" si="5"/>
        <v>358.31648214226237</v>
      </c>
      <c r="G46" s="720">
        <f t="shared" ca="1" si="5"/>
        <v>1163.0759946463595</v>
      </c>
      <c r="H46" s="720">
        <f t="shared" si="5"/>
        <v>0</v>
      </c>
      <c r="I46" s="720">
        <f t="shared" si="5"/>
        <v>0</v>
      </c>
      <c r="J46" s="720">
        <f t="shared" si="5"/>
        <v>0</v>
      </c>
      <c r="K46" s="720">
        <f t="shared" si="5"/>
        <v>18.905266196108279</v>
      </c>
      <c r="L46" s="720">
        <f t="shared" si="5"/>
        <v>0</v>
      </c>
      <c r="M46" s="720">
        <f t="shared" ca="1" si="5"/>
        <v>0</v>
      </c>
      <c r="N46" s="720">
        <f t="shared" si="5"/>
        <v>0</v>
      </c>
      <c r="O46" s="720">
        <f t="shared" ca="1" si="5"/>
        <v>0</v>
      </c>
      <c r="P46" s="720">
        <f t="shared" si="5"/>
        <v>0</v>
      </c>
      <c r="Q46" s="720">
        <f t="shared" si="5"/>
        <v>0</v>
      </c>
      <c r="R46" s="720">
        <f ca="1">SUM(R39:R45)</f>
        <v>58319.327375381581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373.5480226483142</v>
      </c>
      <c r="D49" s="687">
        <f ca="1">transport!C58</f>
        <v>0</v>
      </c>
      <c r="E49" s="687">
        <f>transport!D58</f>
        <v>0</v>
      </c>
      <c r="F49" s="687">
        <f>transport!E58</f>
        <v>0</v>
      </c>
      <c r="G49" s="687">
        <f>transport!F58</f>
        <v>0</v>
      </c>
      <c r="H49" s="687">
        <f>transport!G58</f>
        <v>403.99078314742559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777.53880579573979</v>
      </c>
    </row>
    <row r="50" spans="1:18">
      <c r="A50" s="818" t="s">
        <v>307</v>
      </c>
      <c r="B50" s="828"/>
      <c r="C50" s="995">
        <f ca="1">transport!B18</f>
        <v>0.29654854701621136</v>
      </c>
      <c r="D50" s="995">
        <f>transport!C18</f>
        <v>0</v>
      </c>
      <c r="E50" s="995">
        <f>transport!D18</f>
        <v>0.49156392834540363</v>
      </c>
      <c r="F50" s="995">
        <f>transport!E18</f>
        <v>56.562961917053237</v>
      </c>
      <c r="G50" s="995">
        <f>transport!F18</f>
        <v>0</v>
      </c>
      <c r="H50" s="995">
        <f>transport!G18</f>
        <v>12009.887263365847</v>
      </c>
      <c r="I50" s="995">
        <f>transport!H18</f>
        <v>2025.9422544202487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14093.180592178509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373.84457119533039</v>
      </c>
      <c r="D52" s="720">
        <f t="shared" ref="D52:Q52" ca="1" si="6">SUM(D48:D51)</f>
        <v>0</v>
      </c>
      <c r="E52" s="720">
        <f t="shared" si="6"/>
        <v>0.49156392834540363</v>
      </c>
      <c r="F52" s="720">
        <f t="shared" si="6"/>
        <v>56.562961917053237</v>
      </c>
      <c r="G52" s="720">
        <f t="shared" si="6"/>
        <v>0</v>
      </c>
      <c r="H52" s="720">
        <f t="shared" si="6"/>
        <v>12413.878046513271</v>
      </c>
      <c r="I52" s="720">
        <f t="shared" si="6"/>
        <v>2025.9422544202487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14870.719397974248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2333.311728134724</v>
      </c>
      <c r="D54" s="995">
        <f ca="1">+landbouw!C12</f>
        <v>28781.180672268911</v>
      </c>
      <c r="E54" s="995">
        <f>+landbouw!D12</f>
        <v>0</v>
      </c>
      <c r="F54" s="995">
        <f>+landbouw!E12</f>
        <v>9.7064242978997282</v>
      </c>
      <c r="G54" s="995">
        <f>+landbouw!F12</f>
        <v>4666.8831560535127</v>
      </c>
      <c r="H54" s="995">
        <f>+landbouw!G12</f>
        <v>0</v>
      </c>
      <c r="I54" s="995">
        <f>+landbouw!H12</f>
        <v>0</v>
      </c>
      <c r="J54" s="995">
        <f>+landbouw!I12</f>
        <v>0</v>
      </c>
      <c r="K54" s="995">
        <f>+landbouw!J12</f>
        <v>129.09015200895561</v>
      </c>
      <c r="L54" s="995">
        <f>+landbouw!K12</f>
        <v>0</v>
      </c>
      <c r="M54" s="995">
        <f>+landbouw!L12</f>
        <v>0</v>
      </c>
      <c r="N54" s="995">
        <f>+landbouw!M12</f>
        <v>0</v>
      </c>
      <c r="O54" s="995">
        <f>+landbouw!N12</f>
        <v>0</v>
      </c>
      <c r="P54" s="995">
        <f>+landbouw!O12</f>
        <v>0</v>
      </c>
      <c r="Q54" s="996">
        <f>+landbouw!P12</f>
        <v>0</v>
      </c>
      <c r="R54" s="719">
        <f ca="1">SUM(C54:Q54)</f>
        <v>35920.172132764004</v>
      </c>
    </row>
    <row r="55" spans="1:18" ht="15" thickBot="1">
      <c r="A55" s="818" t="s">
        <v>925</v>
      </c>
      <c r="B55" s="828"/>
      <c r="C55" s="995">
        <f ca="1">C25*'EF ele_warmte'!B12</f>
        <v>569.66214255166506</v>
      </c>
      <c r="D55" s="995"/>
      <c r="E55" s="995">
        <f>E25*EF_CO2_aardgas</f>
        <v>1737.8857900000003</v>
      </c>
      <c r="F55" s="995"/>
      <c r="G55" s="995"/>
      <c r="H55" s="995"/>
      <c r="I55" s="995"/>
      <c r="J55" s="995"/>
      <c r="K55" s="995"/>
      <c r="L55" s="995"/>
      <c r="M55" s="995"/>
      <c r="N55" s="995"/>
      <c r="O55" s="995"/>
      <c r="P55" s="995"/>
      <c r="Q55" s="996"/>
      <c r="R55" s="719">
        <f ca="1">SUM(C55:Q55)</f>
        <v>2307.5479325516653</v>
      </c>
    </row>
    <row r="56" spans="1:18" ht="15.75" thickBot="1">
      <c r="A56" s="816" t="s">
        <v>926</v>
      </c>
      <c r="B56" s="829"/>
      <c r="C56" s="720">
        <f ca="1">SUM(C54:C55)</f>
        <v>2902.9738706863891</v>
      </c>
      <c r="D56" s="720">
        <f t="shared" ref="D56:Q56" ca="1" si="7">SUM(D54:D55)</f>
        <v>28781.180672268911</v>
      </c>
      <c r="E56" s="720">
        <f t="shared" si="7"/>
        <v>1737.8857900000003</v>
      </c>
      <c r="F56" s="720">
        <f t="shared" si="7"/>
        <v>9.7064242978997282</v>
      </c>
      <c r="G56" s="720">
        <f t="shared" si="7"/>
        <v>4666.8831560535127</v>
      </c>
      <c r="H56" s="720">
        <f t="shared" si="7"/>
        <v>0</v>
      </c>
      <c r="I56" s="720">
        <f t="shared" si="7"/>
        <v>0</v>
      </c>
      <c r="J56" s="720">
        <f t="shared" si="7"/>
        <v>0</v>
      </c>
      <c r="K56" s="720">
        <f t="shared" si="7"/>
        <v>129.09015200895561</v>
      </c>
      <c r="L56" s="720">
        <f t="shared" si="7"/>
        <v>0</v>
      </c>
      <c r="M56" s="720">
        <f t="shared" si="7"/>
        <v>0</v>
      </c>
      <c r="N56" s="720">
        <f t="shared" si="7"/>
        <v>0</v>
      </c>
      <c r="O56" s="720">
        <f t="shared" si="7"/>
        <v>0</v>
      </c>
      <c r="P56" s="720">
        <f t="shared" si="7"/>
        <v>0</v>
      </c>
      <c r="Q56" s="721">
        <f t="shared" si="7"/>
        <v>0</v>
      </c>
      <c r="R56" s="722">
        <f ca="1">SUM(R54:R55)</f>
        <v>38227.720065315669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39686.658326469049</v>
      </c>
      <c r="D61" s="728">
        <f t="shared" ref="D61:Q61" ca="1" si="8">D46+D52+D56</f>
        <v>35107.515126050421</v>
      </c>
      <c r="E61" s="728">
        <f t="shared" ca="1" si="8"/>
        <v>15781.232647956347</v>
      </c>
      <c r="F61" s="728">
        <f t="shared" si="8"/>
        <v>424.58586835721536</v>
      </c>
      <c r="G61" s="728">
        <f t="shared" ca="1" si="8"/>
        <v>5829.9591506998722</v>
      </c>
      <c r="H61" s="728">
        <f t="shared" si="8"/>
        <v>12413.878046513271</v>
      </c>
      <c r="I61" s="728">
        <f t="shared" si="8"/>
        <v>2025.9422544202487</v>
      </c>
      <c r="J61" s="728">
        <f t="shared" si="8"/>
        <v>0</v>
      </c>
      <c r="K61" s="728">
        <f t="shared" si="8"/>
        <v>147.99541820506388</v>
      </c>
      <c r="L61" s="728">
        <f t="shared" si="8"/>
        <v>0</v>
      </c>
      <c r="M61" s="728">
        <f t="shared" ca="1" si="8"/>
        <v>0</v>
      </c>
      <c r="N61" s="728">
        <f t="shared" si="8"/>
        <v>0</v>
      </c>
      <c r="O61" s="728">
        <f t="shared" ca="1" si="8"/>
        <v>0</v>
      </c>
      <c r="P61" s="728">
        <f t="shared" si="8"/>
        <v>0</v>
      </c>
      <c r="Q61" s="728">
        <f t="shared" si="8"/>
        <v>0</v>
      </c>
      <c r="R61" s="728">
        <f ca="1">R46+R52+R56</f>
        <v>111417.76683867149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0.57144963701625195</v>
      </c>
      <c r="D63" s="772">
        <f t="shared" ca="1" si="9"/>
        <v>0.23764705882352941</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1071.7265145626041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103410.75</v>
      </c>
      <c r="D76" s="1007">
        <f>'lokale energieproductie'!C8</f>
        <v>121659.70588235297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24575.260588235302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1071.7265145626041</v>
      </c>
      <c r="C78" s="743">
        <f>SUM(C72:C77)</f>
        <v>103410.75</v>
      </c>
      <c r="D78" s="744">
        <f t="shared" ref="D78:H78" si="10">SUM(D76:D77)</f>
        <v>121659.70588235297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24575.260588235302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147729.64285714287</v>
      </c>
      <c r="D87" s="765">
        <f>'lokale energieproductie'!C17</f>
        <v>173799.57983193282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35107.515126050428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147729.64285714287</v>
      </c>
      <c r="D90" s="743">
        <f t="shared" ref="D90:H90" si="12">SUM(D87:D89)</f>
        <v>173799.57983193282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35107.515126050428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1071.7265145626041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103410.75</v>
      </c>
      <c r="C8" s="557">
        <f>B101</f>
        <v>121659.70588235297</v>
      </c>
      <c r="D8" s="985"/>
      <c r="E8" s="985">
        <f>E101</f>
        <v>0</v>
      </c>
      <c r="F8" s="986"/>
      <c r="G8" s="558"/>
      <c r="H8" s="985">
        <f>I101</f>
        <v>0</v>
      </c>
      <c r="I8" s="985">
        <f>G101+F101</f>
        <v>0</v>
      </c>
      <c r="J8" s="985">
        <f>H101+D101+C101</f>
        <v>0</v>
      </c>
      <c r="K8" s="985"/>
      <c r="L8" s="985"/>
      <c r="M8" s="985"/>
      <c r="N8" s="559"/>
      <c r="O8" s="560">
        <f>C8*$C$12+D8*$D$12+E8*$E$12+F8*$F$12+G8*$G$12+H8*$H$12+I8*$I$12+J8*$J$12</f>
        <v>24575.260588235302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104482.4765145626</v>
      </c>
      <c r="C10" s="569">
        <f t="shared" ref="C10:L10" si="0">SUM(C8:C9)</f>
        <v>121659.70588235297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24575.260588235302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147729.64285714287</v>
      </c>
      <c r="C17" s="581">
        <f>B102</f>
        <v>173799.57983193282</v>
      </c>
      <c r="D17" s="582"/>
      <c r="E17" s="582">
        <f>E102</f>
        <v>0</v>
      </c>
      <c r="F17" s="583"/>
      <c r="G17" s="584"/>
      <c r="H17" s="581">
        <f>I102</f>
        <v>0</v>
      </c>
      <c r="I17" s="582">
        <f>G102+F102</f>
        <v>0</v>
      </c>
      <c r="J17" s="582">
        <f>H102+D102+C102</f>
        <v>0</v>
      </c>
      <c r="K17" s="582"/>
      <c r="L17" s="582"/>
      <c r="M17" s="582"/>
      <c r="N17" s="981"/>
      <c r="O17" s="585">
        <f>C17*$C$22+E17*$E$22+H17*$H$22+I17*$I$22+J17*$J$22+D17*$D$22+F17*$F$22+G17*$G$22+K17*$K$22+L17*$L$22</f>
        <v>35107.515126050428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147729.64285714287</v>
      </c>
      <c r="C20" s="568">
        <f>SUM(C17:C19)</f>
        <v>173799.57983193282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35107.515126050428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11004</v>
      </c>
      <c r="C28" s="788">
        <v>2530</v>
      </c>
      <c r="D28" s="641" t="s">
        <v>963</v>
      </c>
      <c r="E28" s="640" t="s">
        <v>964</v>
      </c>
      <c r="F28" s="640" t="s">
        <v>965</v>
      </c>
      <c r="G28" s="640" t="s">
        <v>966</v>
      </c>
      <c r="H28" s="640" t="s">
        <v>967</v>
      </c>
      <c r="I28" s="640" t="s">
        <v>964</v>
      </c>
      <c r="J28" s="787">
        <v>40360</v>
      </c>
      <c r="K28" s="787">
        <v>40513</v>
      </c>
      <c r="L28" s="640" t="s">
        <v>968</v>
      </c>
      <c r="M28" s="640">
        <v>173</v>
      </c>
      <c r="N28" s="640">
        <v>778.49999999999989</v>
      </c>
      <c r="O28" s="640">
        <v>1112.1428571428571</v>
      </c>
      <c r="P28" s="640">
        <v>2224.2857142857142</v>
      </c>
      <c r="Q28" s="640">
        <v>0</v>
      </c>
      <c r="R28" s="640">
        <v>0</v>
      </c>
      <c r="S28" s="640">
        <v>0</v>
      </c>
      <c r="T28" s="640">
        <v>0</v>
      </c>
      <c r="U28" s="640">
        <v>0</v>
      </c>
      <c r="V28" s="640">
        <v>0</v>
      </c>
      <c r="W28" s="640">
        <v>0</v>
      </c>
      <c r="X28" s="640">
        <v>10</v>
      </c>
      <c r="Y28" s="640" t="s">
        <v>112</v>
      </c>
      <c r="Z28" s="642" t="s">
        <v>112</v>
      </c>
    </row>
    <row r="29" spans="1:26" s="594" customFormat="1" ht="25.5">
      <c r="A29" s="593"/>
      <c r="B29" s="788">
        <v>11004</v>
      </c>
      <c r="C29" s="788">
        <v>2531</v>
      </c>
      <c r="D29" s="641" t="s">
        <v>969</v>
      </c>
      <c r="E29" s="640" t="s">
        <v>970</v>
      </c>
      <c r="F29" s="640" t="s">
        <v>971</v>
      </c>
      <c r="G29" s="640" t="s">
        <v>966</v>
      </c>
      <c r="H29" s="640" t="s">
        <v>967</v>
      </c>
      <c r="I29" s="640" t="s">
        <v>970</v>
      </c>
      <c r="J29" s="787">
        <v>39212</v>
      </c>
      <c r="K29" s="787">
        <v>39226</v>
      </c>
      <c r="L29" s="640" t="s">
        <v>972</v>
      </c>
      <c r="M29" s="640">
        <v>1125</v>
      </c>
      <c r="N29" s="640">
        <v>5062.5</v>
      </c>
      <c r="O29" s="640">
        <v>7232.1428571428569</v>
      </c>
      <c r="P29" s="640">
        <v>14464.285714285716</v>
      </c>
      <c r="Q29" s="640">
        <v>0</v>
      </c>
      <c r="R29" s="640">
        <v>0</v>
      </c>
      <c r="S29" s="640">
        <v>0</v>
      </c>
      <c r="T29" s="640">
        <v>0</v>
      </c>
      <c r="U29" s="640">
        <v>0</v>
      </c>
      <c r="V29" s="640">
        <v>0</v>
      </c>
      <c r="W29" s="640">
        <v>0</v>
      </c>
      <c r="X29" s="640">
        <v>10</v>
      </c>
      <c r="Y29" s="640" t="s">
        <v>112</v>
      </c>
      <c r="Z29" s="642" t="s">
        <v>112</v>
      </c>
    </row>
    <row r="30" spans="1:26" s="594" customFormat="1" ht="25.5">
      <c r="A30" s="593"/>
      <c r="B30" s="788">
        <v>11004</v>
      </c>
      <c r="C30" s="788">
        <v>2530</v>
      </c>
      <c r="D30" s="641" t="s">
        <v>973</v>
      </c>
      <c r="E30" s="640" t="s">
        <v>974</v>
      </c>
      <c r="F30" s="640" t="s">
        <v>975</v>
      </c>
      <c r="G30" s="640" t="s">
        <v>966</v>
      </c>
      <c r="H30" s="640" t="s">
        <v>967</v>
      </c>
      <c r="I30" s="640" t="s">
        <v>976</v>
      </c>
      <c r="J30" s="787">
        <v>38931</v>
      </c>
      <c r="K30" s="787">
        <v>38991</v>
      </c>
      <c r="L30" s="640" t="s">
        <v>972</v>
      </c>
      <c r="M30" s="640">
        <v>1415</v>
      </c>
      <c r="N30" s="640">
        <v>6367.5</v>
      </c>
      <c r="O30" s="640">
        <v>9096.4285714285725</v>
      </c>
      <c r="P30" s="640">
        <v>18192.857142857145</v>
      </c>
      <c r="Q30" s="640">
        <v>0</v>
      </c>
      <c r="R30" s="640">
        <v>0</v>
      </c>
      <c r="S30" s="640">
        <v>0</v>
      </c>
      <c r="T30" s="640">
        <v>0</v>
      </c>
      <c r="U30" s="640">
        <v>0</v>
      </c>
      <c r="V30" s="640">
        <v>0</v>
      </c>
      <c r="W30" s="640">
        <v>0</v>
      </c>
      <c r="X30" s="640">
        <v>10</v>
      </c>
      <c r="Y30" s="640" t="s">
        <v>112</v>
      </c>
      <c r="Z30" s="642" t="s">
        <v>112</v>
      </c>
    </row>
    <row r="31" spans="1:26" s="594" customFormat="1" ht="25.5">
      <c r="A31" s="593"/>
      <c r="B31" s="788">
        <v>11004</v>
      </c>
      <c r="C31" s="788">
        <v>2531</v>
      </c>
      <c r="D31" s="641" t="s">
        <v>977</v>
      </c>
      <c r="E31" s="640" t="s">
        <v>978</v>
      </c>
      <c r="F31" s="640" t="s">
        <v>979</v>
      </c>
      <c r="G31" s="640" t="s">
        <v>966</v>
      </c>
      <c r="H31" s="640" t="s">
        <v>967</v>
      </c>
      <c r="I31" s="640" t="s">
        <v>978</v>
      </c>
      <c r="J31" s="787">
        <v>40588</v>
      </c>
      <c r="K31" s="787">
        <v>40588</v>
      </c>
      <c r="L31" s="640" t="s">
        <v>972</v>
      </c>
      <c r="M31" s="640">
        <v>1415</v>
      </c>
      <c r="N31" s="640">
        <v>5306.25</v>
      </c>
      <c r="O31" s="640">
        <v>7580.3571428571431</v>
      </c>
      <c r="P31" s="640">
        <v>15160.714285714286</v>
      </c>
      <c r="Q31" s="640">
        <v>0</v>
      </c>
      <c r="R31" s="640">
        <v>0</v>
      </c>
      <c r="S31" s="640">
        <v>0</v>
      </c>
      <c r="T31" s="640">
        <v>0</v>
      </c>
      <c r="U31" s="640">
        <v>0</v>
      </c>
      <c r="V31" s="640">
        <v>0</v>
      </c>
      <c r="W31" s="640">
        <v>0</v>
      </c>
      <c r="X31" s="640">
        <v>10</v>
      </c>
      <c r="Y31" s="640" t="s">
        <v>112</v>
      </c>
      <c r="Z31" s="642" t="s">
        <v>112</v>
      </c>
    </row>
    <row r="32" spans="1:26" s="594" customFormat="1" ht="25.5">
      <c r="A32" s="593"/>
      <c r="B32" s="788">
        <v>11004</v>
      </c>
      <c r="C32" s="788">
        <v>2531</v>
      </c>
      <c r="D32" s="641" t="s">
        <v>980</v>
      </c>
      <c r="E32" s="640" t="s">
        <v>981</v>
      </c>
      <c r="F32" s="640" t="s">
        <v>982</v>
      </c>
      <c r="G32" s="640" t="s">
        <v>966</v>
      </c>
      <c r="H32" s="640" t="s">
        <v>967</v>
      </c>
      <c r="I32" s="640" t="s">
        <v>981</v>
      </c>
      <c r="J32" s="787">
        <v>40525</v>
      </c>
      <c r="K32" s="787">
        <v>40525</v>
      </c>
      <c r="L32" s="640" t="s">
        <v>972</v>
      </c>
      <c r="M32" s="640">
        <v>1415</v>
      </c>
      <c r="N32" s="640">
        <v>6367.5</v>
      </c>
      <c r="O32" s="640">
        <v>9096.4285714285725</v>
      </c>
      <c r="P32" s="640">
        <v>18192.857142857145</v>
      </c>
      <c r="Q32" s="640">
        <v>0</v>
      </c>
      <c r="R32" s="640">
        <v>0</v>
      </c>
      <c r="S32" s="640">
        <v>0</v>
      </c>
      <c r="T32" s="640">
        <v>0</v>
      </c>
      <c r="U32" s="640">
        <v>0</v>
      </c>
      <c r="V32" s="640">
        <v>0</v>
      </c>
      <c r="W32" s="640">
        <v>0</v>
      </c>
      <c r="X32" s="640">
        <v>10</v>
      </c>
      <c r="Y32" s="640" t="s">
        <v>112</v>
      </c>
      <c r="Z32" s="642" t="s">
        <v>112</v>
      </c>
    </row>
    <row r="33" spans="1:26" s="594" customFormat="1" ht="25.5">
      <c r="A33" s="593"/>
      <c r="B33" s="788">
        <v>11004</v>
      </c>
      <c r="C33" s="788">
        <v>2530</v>
      </c>
      <c r="D33" s="641" t="s">
        <v>983</v>
      </c>
      <c r="E33" s="640" t="s">
        <v>984</v>
      </c>
      <c r="F33" s="640" t="s">
        <v>985</v>
      </c>
      <c r="G33" s="640" t="s">
        <v>966</v>
      </c>
      <c r="H33" s="640" t="s">
        <v>967</v>
      </c>
      <c r="I33" s="640" t="s">
        <v>984</v>
      </c>
      <c r="J33" s="787">
        <v>38777</v>
      </c>
      <c r="K33" s="787">
        <v>39134</v>
      </c>
      <c r="L33" s="640" t="s">
        <v>972</v>
      </c>
      <c r="M33" s="640">
        <v>3365</v>
      </c>
      <c r="N33" s="640">
        <v>15142.500000000002</v>
      </c>
      <c r="O33" s="640">
        <v>21632.142857142859</v>
      </c>
      <c r="P33" s="640">
        <v>43264.285714285725</v>
      </c>
      <c r="Q33" s="640">
        <v>0</v>
      </c>
      <c r="R33" s="640">
        <v>0</v>
      </c>
      <c r="S33" s="640">
        <v>0</v>
      </c>
      <c r="T33" s="640">
        <v>0</v>
      </c>
      <c r="U33" s="640">
        <v>0</v>
      </c>
      <c r="V33" s="640">
        <v>0</v>
      </c>
      <c r="W33" s="640">
        <v>0</v>
      </c>
      <c r="X33" s="640">
        <v>10</v>
      </c>
      <c r="Y33" s="640" t="s">
        <v>112</v>
      </c>
      <c r="Z33" s="642" t="s">
        <v>112</v>
      </c>
    </row>
    <row r="34" spans="1:26" s="594" customFormat="1" ht="38.25">
      <c r="A34" s="593"/>
      <c r="B34" s="788">
        <v>11004</v>
      </c>
      <c r="C34" s="788">
        <v>2530</v>
      </c>
      <c r="D34" s="641" t="s">
        <v>986</v>
      </c>
      <c r="E34" s="640" t="s">
        <v>987</v>
      </c>
      <c r="F34" s="640" t="s">
        <v>988</v>
      </c>
      <c r="G34" s="640" t="s">
        <v>966</v>
      </c>
      <c r="H34" s="640" t="s">
        <v>967</v>
      </c>
      <c r="I34" s="640" t="s">
        <v>987</v>
      </c>
      <c r="J34" s="787">
        <v>38534</v>
      </c>
      <c r="K34" s="787">
        <v>39083</v>
      </c>
      <c r="L34" s="640" t="s">
        <v>972</v>
      </c>
      <c r="M34" s="640">
        <v>3777</v>
      </c>
      <c r="N34" s="640">
        <v>16996.5</v>
      </c>
      <c r="O34" s="640">
        <v>24280.714285714286</v>
      </c>
      <c r="P34" s="640">
        <v>48561.428571428572</v>
      </c>
      <c r="Q34" s="640">
        <v>0</v>
      </c>
      <c r="R34" s="640">
        <v>0</v>
      </c>
      <c r="S34" s="640">
        <v>0</v>
      </c>
      <c r="T34" s="640">
        <v>0</v>
      </c>
      <c r="U34" s="640">
        <v>0</v>
      </c>
      <c r="V34" s="640">
        <v>0</v>
      </c>
      <c r="W34" s="640">
        <v>0</v>
      </c>
      <c r="X34" s="640">
        <v>10</v>
      </c>
      <c r="Y34" s="640" t="s">
        <v>112</v>
      </c>
      <c r="Z34" s="642" t="s">
        <v>112</v>
      </c>
    </row>
    <row r="35" spans="1:26" s="594" customFormat="1" ht="63.75">
      <c r="A35" s="593"/>
      <c r="B35" s="788">
        <v>11004</v>
      </c>
      <c r="C35" s="788">
        <v>2531</v>
      </c>
      <c r="D35" s="641" t="s">
        <v>989</v>
      </c>
      <c r="E35" s="640" t="s">
        <v>990</v>
      </c>
      <c r="F35" s="640" t="s">
        <v>991</v>
      </c>
      <c r="G35" s="640" t="s">
        <v>966</v>
      </c>
      <c r="H35" s="640" t="s">
        <v>967</v>
      </c>
      <c r="I35" s="640" t="s">
        <v>990</v>
      </c>
      <c r="J35" s="787">
        <v>39604</v>
      </c>
      <c r="K35" s="787">
        <v>39618</v>
      </c>
      <c r="L35" s="640" t="s">
        <v>972</v>
      </c>
      <c r="M35" s="640">
        <v>4141</v>
      </c>
      <c r="N35" s="640">
        <v>18634.5</v>
      </c>
      <c r="O35" s="640">
        <v>26620.714285714286</v>
      </c>
      <c r="P35" s="640">
        <v>53241.428571428572</v>
      </c>
      <c r="Q35" s="640">
        <v>0</v>
      </c>
      <c r="R35" s="640">
        <v>0</v>
      </c>
      <c r="S35" s="640">
        <v>0</v>
      </c>
      <c r="T35" s="640">
        <v>0</v>
      </c>
      <c r="U35" s="640">
        <v>0</v>
      </c>
      <c r="V35" s="640">
        <v>0</v>
      </c>
      <c r="W35" s="640">
        <v>0</v>
      </c>
      <c r="X35" s="640">
        <v>1600</v>
      </c>
      <c r="Y35" s="640" t="s">
        <v>50</v>
      </c>
      <c r="Z35" s="642" t="s">
        <v>156</v>
      </c>
    </row>
    <row r="36" spans="1:26" s="594" customFormat="1" ht="25.5">
      <c r="A36" s="593"/>
      <c r="B36" s="788">
        <v>11004</v>
      </c>
      <c r="C36" s="788">
        <v>2531</v>
      </c>
      <c r="D36" s="641" t="s">
        <v>992</v>
      </c>
      <c r="E36" s="640" t="s">
        <v>993</v>
      </c>
      <c r="F36" s="640" t="s">
        <v>994</v>
      </c>
      <c r="G36" s="640" t="s">
        <v>966</v>
      </c>
      <c r="H36" s="640" t="s">
        <v>967</v>
      </c>
      <c r="I36" s="640" t="s">
        <v>993</v>
      </c>
      <c r="J36" s="787">
        <v>40603</v>
      </c>
      <c r="K36" s="787">
        <v>39497</v>
      </c>
      <c r="L36" s="640" t="s">
        <v>972</v>
      </c>
      <c r="M36" s="640">
        <v>6390</v>
      </c>
      <c r="N36" s="640">
        <v>28755</v>
      </c>
      <c r="O36" s="640">
        <v>41078.571428571428</v>
      </c>
      <c r="P36" s="640">
        <v>82157.14285714287</v>
      </c>
      <c r="Q36" s="640">
        <v>0</v>
      </c>
      <c r="R36" s="640">
        <v>0</v>
      </c>
      <c r="S36" s="640">
        <v>0</v>
      </c>
      <c r="T36" s="640">
        <v>0</v>
      </c>
      <c r="U36" s="640">
        <v>0</v>
      </c>
      <c r="V36" s="640">
        <v>0</v>
      </c>
      <c r="W36" s="640">
        <v>0</v>
      </c>
      <c r="X36" s="640">
        <v>10</v>
      </c>
      <c r="Y36" s="640" t="s">
        <v>112</v>
      </c>
      <c r="Z36" s="642" t="s">
        <v>112</v>
      </c>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23216</v>
      </c>
      <c r="N58" s="598">
        <f>SUM(N28:N57)</f>
        <v>103410.75</v>
      </c>
      <c r="O58" s="598">
        <f t="shared" ref="O58:W58" si="2">SUM(O28:O57)</f>
        <v>147729.64285714287</v>
      </c>
      <c r="P58" s="598">
        <f t="shared" si="2"/>
        <v>295459.2857142858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4141</v>
      </c>
      <c r="N60" s="598">
        <f ca="1">SUMIF($Z$28:AD57,"tertiair",N28:N57)</f>
        <v>18634.5</v>
      </c>
      <c r="O60" s="598">
        <f ca="1">SUMIF($Z$28:AE57,"tertiair",O28:O57)</f>
        <v>26620.714285714286</v>
      </c>
      <c r="P60" s="598">
        <f ca="1">SUMIF($Z$28:AF57,"tertiair",P28:P57)</f>
        <v>53241.428571428572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19075</v>
      </c>
      <c r="N61" s="603">
        <f t="shared" si="4"/>
        <v>84776.25</v>
      </c>
      <c r="O61" s="603">
        <f t="shared" si="4"/>
        <v>121108.92857142858</v>
      </c>
      <c r="P61" s="603">
        <f t="shared" si="4"/>
        <v>242217.85714285719</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121659.70588235297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173799.57983193282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23432.207963426365</v>
      </c>
      <c r="C4" s="460">
        <f>huishoudens!C8</f>
        <v>0</v>
      </c>
      <c r="D4" s="460">
        <f>huishoudens!D8</f>
        <v>67567.844937999995</v>
      </c>
      <c r="E4" s="460">
        <f>huishoudens!E8</f>
        <v>1096.7403609813045</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6923.4455919725979</v>
      </c>
      <c r="O4" s="460">
        <f>huishoudens!O8</f>
        <v>50.026666666666671</v>
      </c>
      <c r="P4" s="461">
        <f>huishoudens!P8</f>
        <v>190.66666666666669</v>
      </c>
      <c r="Q4" s="462">
        <f>SUM(B4:P4)</f>
        <v>99260.93218771361</v>
      </c>
    </row>
    <row r="5" spans="1:17">
      <c r="A5" s="459" t="s">
        <v>156</v>
      </c>
      <c r="B5" s="460">
        <f ca="1">tertiair!B16</f>
        <v>29677.294000000002</v>
      </c>
      <c r="C5" s="460">
        <f ca="1">tertiair!C16</f>
        <v>26620.714285714286</v>
      </c>
      <c r="D5" s="460">
        <f ca="1">tertiair!D16</f>
        <v>0</v>
      </c>
      <c r="E5" s="460">
        <f>tertiair!E16</f>
        <v>251.34969585387887</v>
      </c>
      <c r="F5" s="460">
        <f ca="1">tertiair!F16</f>
        <v>2332.5908100723213</v>
      </c>
      <c r="G5" s="460">
        <f>tertiair!G16</f>
        <v>0</v>
      </c>
      <c r="H5" s="460">
        <f>tertiair!H16</f>
        <v>0</v>
      </c>
      <c r="I5" s="460">
        <f>tertiair!I16</f>
        <v>0</v>
      </c>
      <c r="J5" s="460">
        <f>tertiair!J16</f>
        <v>0</v>
      </c>
      <c r="K5" s="460">
        <f>tertiair!K16</f>
        <v>0</v>
      </c>
      <c r="L5" s="460">
        <f ca="1">tertiair!L16</f>
        <v>0</v>
      </c>
      <c r="M5" s="460">
        <f>tertiair!M16</f>
        <v>0</v>
      </c>
      <c r="N5" s="460">
        <f ca="1">tertiair!N16</f>
        <v>194.12227236761353</v>
      </c>
      <c r="O5" s="460">
        <f>tertiair!O16</f>
        <v>3.1266666666666669</v>
      </c>
      <c r="P5" s="461">
        <f>tertiair!P16</f>
        <v>0</v>
      </c>
      <c r="Q5" s="459">
        <f t="shared" ref="Q5:Q14" ca="1" si="0">SUM(B5:P5)</f>
        <v>59079.197730674765</v>
      </c>
    </row>
    <row r="6" spans="1:17">
      <c r="A6" s="459" t="s">
        <v>194</v>
      </c>
      <c r="B6" s="460">
        <f>'openbare verlichting'!B8</f>
        <v>778.38599999999997</v>
      </c>
      <c r="C6" s="460"/>
      <c r="D6" s="460"/>
      <c r="E6" s="460"/>
      <c r="F6" s="460"/>
      <c r="G6" s="460"/>
      <c r="H6" s="460"/>
      <c r="I6" s="460"/>
      <c r="J6" s="460"/>
      <c r="K6" s="460"/>
      <c r="L6" s="460"/>
      <c r="M6" s="460"/>
      <c r="N6" s="460"/>
      <c r="O6" s="460"/>
      <c r="P6" s="461"/>
      <c r="Q6" s="459">
        <f t="shared" si="0"/>
        <v>778.38599999999997</v>
      </c>
    </row>
    <row r="7" spans="1:17">
      <c r="A7" s="459" t="s">
        <v>112</v>
      </c>
      <c r="B7" s="460">
        <f>landbouw!B8</f>
        <v>4083.145</v>
      </c>
      <c r="C7" s="460">
        <f>landbouw!C8</f>
        <v>121108.92857142858</v>
      </c>
      <c r="D7" s="460">
        <f>landbouw!D8</f>
        <v>0</v>
      </c>
      <c r="E7" s="460">
        <f>landbouw!E8</f>
        <v>42.759578404844618</v>
      </c>
      <c r="F7" s="460">
        <f>landbouw!F8</f>
        <v>17478.963131286564</v>
      </c>
      <c r="G7" s="460">
        <f>landbouw!G8</f>
        <v>0</v>
      </c>
      <c r="H7" s="460">
        <f>landbouw!H8</f>
        <v>0</v>
      </c>
      <c r="I7" s="460">
        <f>landbouw!I8</f>
        <v>0</v>
      </c>
      <c r="J7" s="460">
        <f>landbouw!J8</f>
        <v>364.66144635298195</v>
      </c>
      <c r="K7" s="460">
        <f>landbouw!K8</f>
        <v>0</v>
      </c>
      <c r="L7" s="460">
        <f>landbouw!L8</f>
        <v>0</v>
      </c>
      <c r="M7" s="460">
        <f>landbouw!M8</f>
        <v>0</v>
      </c>
      <c r="N7" s="460">
        <f>landbouw!N8</f>
        <v>0</v>
      </c>
      <c r="O7" s="460">
        <f>landbouw!O8</f>
        <v>0</v>
      </c>
      <c r="P7" s="461">
        <f>landbouw!P8</f>
        <v>0</v>
      </c>
      <c r="Q7" s="459">
        <f t="shared" si="0"/>
        <v>143078.45772747297</v>
      </c>
    </row>
    <row r="8" spans="1:17">
      <c r="A8" s="459" t="s">
        <v>655</v>
      </c>
      <c r="B8" s="460">
        <f>industrie!B18</f>
        <v>9826.9830000000002</v>
      </c>
      <c r="C8" s="460">
        <f>industrie!C18</f>
        <v>0</v>
      </c>
      <c r="D8" s="460">
        <f>industrie!D18</f>
        <v>1951.2406759999999</v>
      </c>
      <c r="E8" s="460">
        <f>industrie!E18</f>
        <v>230.39664863733813</v>
      </c>
      <c r="F8" s="460">
        <f>industrie!F18</f>
        <v>2023.4990575170402</v>
      </c>
      <c r="G8" s="460">
        <f>industrie!G18</f>
        <v>0</v>
      </c>
      <c r="H8" s="460">
        <f>industrie!H18</f>
        <v>0</v>
      </c>
      <c r="I8" s="460">
        <f>industrie!I18</f>
        <v>0</v>
      </c>
      <c r="J8" s="460">
        <f>industrie!J18</f>
        <v>53.404706768667459</v>
      </c>
      <c r="K8" s="460">
        <f>industrie!K18</f>
        <v>0</v>
      </c>
      <c r="L8" s="460">
        <f>industrie!L18</f>
        <v>0</v>
      </c>
      <c r="M8" s="460">
        <f>industrie!M18</f>
        <v>0</v>
      </c>
      <c r="N8" s="460">
        <f>industrie!N18</f>
        <v>41.662847140353456</v>
      </c>
      <c r="O8" s="460">
        <f>industrie!O18</f>
        <v>0</v>
      </c>
      <c r="P8" s="461">
        <f>industrie!P18</f>
        <v>0</v>
      </c>
      <c r="Q8" s="459">
        <f t="shared" si="0"/>
        <v>14127.186936063397</v>
      </c>
    </row>
    <row r="9" spans="1:17" s="465" customFormat="1">
      <c r="A9" s="463" t="s">
        <v>573</v>
      </c>
      <c r="B9" s="464">
        <f>transport!B14</f>
        <v>0.51894082663977181</v>
      </c>
      <c r="C9" s="464">
        <f>transport!C14</f>
        <v>0</v>
      </c>
      <c r="D9" s="464">
        <f>transport!D14</f>
        <v>2.4334847937891269</v>
      </c>
      <c r="E9" s="464">
        <f>transport!E14</f>
        <v>249.17604368745918</v>
      </c>
      <c r="F9" s="464">
        <f>transport!F14</f>
        <v>0</v>
      </c>
      <c r="G9" s="464">
        <f>transport!G14</f>
        <v>44980.851173654853</v>
      </c>
      <c r="H9" s="464">
        <f>transport!H14</f>
        <v>8136.3142747801148</v>
      </c>
      <c r="I9" s="464">
        <f>transport!I14</f>
        <v>0</v>
      </c>
      <c r="J9" s="464">
        <f>transport!J14</f>
        <v>0</v>
      </c>
      <c r="K9" s="464">
        <f>transport!K14</f>
        <v>0</v>
      </c>
      <c r="L9" s="464">
        <f>transport!L14</f>
        <v>0</v>
      </c>
      <c r="M9" s="464">
        <f>transport!M14</f>
        <v>2318.8038547260985</v>
      </c>
      <c r="N9" s="464">
        <f>transport!N14</f>
        <v>0</v>
      </c>
      <c r="O9" s="464">
        <f>transport!O14</f>
        <v>0</v>
      </c>
      <c r="P9" s="464">
        <f>transport!P14</f>
        <v>0</v>
      </c>
      <c r="Q9" s="463">
        <f>SUM(B9:P9)</f>
        <v>55688.097772468958</v>
      </c>
    </row>
    <row r="10" spans="1:17">
      <c r="A10" s="459" t="s">
        <v>563</v>
      </c>
      <c r="B10" s="460">
        <f>transport!B54</f>
        <v>653.68494168400446</v>
      </c>
      <c r="C10" s="460">
        <f>transport!C54</f>
        <v>0</v>
      </c>
      <c r="D10" s="460">
        <f>transport!D54</f>
        <v>0</v>
      </c>
      <c r="E10" s="460">
        <f>transport!E54</f>
        <v>0</v>
      </c>
      <c r="F10" s="460">
        <f>transport!F54</f>
        <v>0</v>
      </c>
      <c r="G10" s="460">
        <f>transport!G54</f>
        <v>1513.0740941851145</v>
      </c>
      <c r="H10" s="460">
        <f>transport!H54</f>
        <v>0</v>
      </c>
      <c r="I10" s="460">
        <f>transport!I54</f>
        <v>0</v>
      </c>
      <c r="J10" s="460">
        <f>transport!J54</f>
        <v>0</v>
      </c>
      <c r="K10" s="460">
        <f>transport!K54</f>
        <v>0</v>
      </c>
      <c r="L10" s="460">
        <f>transport!L54</f>
        <v>0</v>
      </c>
      <c r="M10" s="460">
        <f>transport!M54</f>
        <v>64.495775120165419</v>
      </c>
      <c r="N10" s="460">
        <f>transport!N54</f>
        <v>0</v>
      </c>
      <c r="O10" s="460">
        <f>transport!O54</f>
        <v>0</v>
      </c>
      <c r="P10" s="461">
        <f>transport!P54</f>
        <v>0</v>
      </c>
      <c r="Q10" s="459">
        <f t="shared" si="0"/>
        <v>2231.2548109892846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996.87199999999996</v>
      </c>
      <c r="C14" s="467"/>
      <c r="D14" s="467">
        <f>'SEAP template'!E25</f>
        <v>8603.3950000000004</v>
      </c>
      <c r="E14" s="467"/>
      <c r="F14" s="467"/>
      <c r="G14" s="467"/>
      <c r="H14" s="467"/>
      <c r="I14" s="467"/>
      <c r="J14" s="467"/>
      <c r="K14" s="467"/>
      <c r="L14" s="467"/>
      <c r="M14" s="467"/>
      <c r="N14" s="467"/>
      <c r="O14" s="467"/>
      <c r="P14" s="468"/>
      <c r="Q14" s="459">
        <f t="shared" si="0"/>
        <v>9600.2669999999998</v>
      </c>
    </row>
    <row r="15" spans="1:17" s="472" customFormat="1">
      <c r="A15" s="469" t="s">
        <v>567</v>
      </c>
      <c r="B15" s="470">
        <f ca="1">SUM(B4:B14)</f>
        <v>69449.091845937</v>
      </c>
      <c r="C15" s="470">
        <f t="shared" ref="C15:Q15" ca="1" si="1">SUM(C4:C14)</f>
        <v>147729.64285714287</v>
      </c>
      <c r="D15" s="470">
        <f t="shared" ca="1" si="1"/>
        <v>78124.914098793786</v>
      </c>
      <c r="E15" s="470">
        <f t="shared" si="1"/>
        <v>1870.4223275648255</v>
      </c>
      <c r="F15" s="470">
        <f t="shared" ca="1" si="1"/>
        <v>21835.052998875926</v>
      </c>
      <c r="G15" s="470">
        <f t="shared" si="1"/>
        <v>46493.925267839964</v>
      </c>
      <c r="H15" s="470">
        <f t="shared" si="1"/>
        <v>8136.3142747801148</v>
      </c>
      <c r="I15" s="470">
        <f t="shared" si="1"/>
        <v>0</v>
      </c>
      <c r="J15" s="470">
        <f t="shared" si="1"/>
        <v>418.06615312164939</v>
      </c>
      <c r="K15" s="470">
        <f t="shared" si="1"/>
        <v>0</v>
      </c>
      <c r="L15" s="470">
        <f t="shared" ca="1" si="1"/>
        <v>0</v>
      </c>
      <c r="M15" s="470">
        <f t="shared" si="1"/>
        <v>2383.299629846264</v>
      </c>
      <c r="N15" s="470">
        <f t="shared" ca="1" si="1"/>
        <v>7159.2307114805653</v>
      </c>
      <c r="O15" s="470">
        <f t="shared" si="1"/>
        <v>53.153333333333336</v>
      </c>
      <c r="P15" s="470">
        <f t="shared" si="1"/>
        <v>190.66666666666669</v>
      </c>
      <c r="Q15" s="470">
        <f t="shared" ca="1" si="1"/>
        <v>383843.78016538307</v>
      </c>
    </row>
    <row r="17" spans="1:17">
      <c r="A17" s="473" t="s">
        <v>568</v>
      </c>
      <c r="B17" s="777">
        <f ca="1">huishoudens!B10</f>
        <v>0.57144963701625195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13390.326735189325</v>
      </c>
      <c r="C22" s="460">
        <f t="shared" ref="C22:C32" ca="1" si="3">C4*$C$17</f>
        <v>0</v>
      </c>
      <c r="D22" s="460">
        <f t="shared" ref="D22:D32" si="4">D4*$D$17</f>
        <v>13648.704677476</v>
      </c>
      <c r="E22" s="460">
        <f t="shared" ref="E22:E32" si="5">E4*$E$17</f>
        <v>248.96006194275614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27287.991474608079</v>
      </c>
    </row>
    <row r="23" spans="1:17">
      <c r="A23" s="459" t="s">
        <v>156</v>
      </c>
      <c r="B23" s="460">
        <f t="shared" ca="1" si="2"/>
        <v>16959.078883924594</v>
      </c>
      <c r="C23" s="460">
        <f t="shared" ca="1" si="3"/>
        <v>6326.3344537815137</v>
      </c>
      <c r="D23" s="460">
        <f t="shared" ca="1" si="4"/>
        <v>0</v>
      </c>
      <c r="E23" s="460">
        <f t="shared" si="5"/>
        <v>57.056380958830502</v>
      </c>
      <c r="F23" s="460">
        <f t="shared" ca="1" si="6"/>
        <v>622.80174628930979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23965.27146495425</v>
      </c>
    </row>
    <row r="24" spans="1:17">
      <c r="A24" s="459" t="s">
        <v>194</v>
      </c>
      <c r="B24" s="460">
        <f t="shared" ca="1" si="2"/>
        <v>444.80839715853227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444.80839715853227</v>
      </c>
    </row>
    <row r="25" spans="1:17">
      <c r="A25" s="459" t="s">
        <v>112</v>
      </c>
      <c r="B25" s="460">
        <f t="shared" ca="1" si="2"/>
        <v>2333.311728134724</v>
      </c>
      <c r="C25" s="460">
        <f t="shared" ca="1" si="3"/>
        <v>28781.180672268911</v>
      </c>
      <c r="D25" s="460">
        <f t="shared" si="4"/>
        <v>0</v>
      </c>
      <c r="E25" s="460">
        <f t="shared" si="5"/>
        <v>9.7064242978997282</v>
      </c>
      <c r="F25" s="460">
        <f t="shared" si="6"/>
        <v>4666.8831560535127</v>
      </c>
      <c r="G25" s="460">
        <f t="shared" si="7"/>
        <v>0</v>
      </c>
      <c r="H25" s="460">
        <f t="shared" si="8"/>
        <v>0</v>
      </c>
      <c r="I25" s="460">
        <f t="shared" si="9"/>
        <v>0</v>
      </c>
      <c r="J25" s="460">
        <f t="shared" si="10"/>
        <v>129.09015200895561</v>
      </c>
      <c r="K25" s="460">
        <f t="shared" si="11"/>
        <v>0</v>
      </c>
      <c r="L25" s="460">
        <f t="shared" si="12"/>
        <v>0</v>
      </c>
      <c r="M25" s="460">
        <f t="shared" si="13"/>
        <v>0</v>
      </c>
      <c r="N25" s="460">
        <f t="shared" si="14"/>
        <v>0</v>
      </c>
      <c r="O25" s="460">
        <f t="shared" si="15"/>
        <v>0</v>
      </c>
      <c r="P25" s="461">
        <f t="shared" si="16"/>
        <v>0</v>
      </c>
      <c r="Q25" s="459">
        <f t="shared" ca="1" si="17"/>
        <v>35920.172132764004</v>
      </c>
    </row>
    <row r="26" spans="1:17">
      <c r="A26" s="459" t="s">
        <v>655</v>
      </c>
      <c r="B26" s="460">
        <f t="shared" ca="1" si="2"/>
        <v>5615.625868314879</v>
      </c>
      <c r="C26" s="460">
        <f t="shared" ca="1" si="3"/>
        <v>0</v>
      </c>
      <c r="D26" s="460">
        <f t="shared" si="4"/>
        <v>394.15061655200003</v>
      </c>
      <c r="E26" s="460">
        <f t="shared" si="5"/>
        <v>52.300039240675758</v>
      </c>
      <c r="F26" s="460">
        <f t="shared" si="6"/>
        <v>540.27424835704983</v>
      </c>
      <c r="G26" s="460">
        <f t="shared" si="7"/>
        <v>0</v>
      </c>
      <c r="H26" s="460">
        <f t="shared" si="8"/>
        <v>0</v>
      </c>
      <c r="I26" s="460">
        <f t="shared" si="9"/>
        <v>0</v>
      </c>
      <c r="J26" s="460">
        <f t="shared" si="10"/>
        <v>18.905266196108279</v>
      </c>
      <c r="K26" s="460">
        <f t="shared" si="11"/>
        <v>0</v>
      </c>
      <c r="L26" s="460">
        <f t="shared" si="12"/>
        <v>0</v>
      </c>
      <c r="M26" s="460">
        <f t="shared" si="13"/>
        <v>0</v>
      </c>
      <c r="N26" s="460">
        <f t="shared" si="14"/>
        <v>0</v>
      </c>
      <c r="O26" s="460">
        <f t="shared" si="15"/>
        <v>0</v>
      </c>
      <c r="P26" s="461">
        <f t="shared" si="16"/>
        <v>0</v>
      </c>
      <c r="Q26" s="459">
        <f t="shared" ca="1" si="17"/>
        <v>6621.2560386607138</v>
      </c>
    </row>
    <row r="27" spans="1:17" s="465" customFormat="1">
      <c r="A27" s="463" t="s">
        <v>573</v>
      </c>
      <c r="B27" s="771">
        <f t="shared" ca="1" si="2"/>
        <v>0.29654854701621136</v>
      </c>
      <c r="C27" s="464">
        <f t="shared" ca="1" si="3"/>
        <v>0</v>
      </c>
      <c r="D27" s="464">
        <f t="shared" si="4"/>
        <v>0.49156392834540363</v>
      </c>
      <c r="E27" s="464">
        <f t="shared" si="5"/>
        <v>56.562961917053237</v>
      </c>
      <c r="F27" s="464">
        <f t="shared" si="6"/>
        <v>0</v>
      </c>
      <c r="G27" s="464">
        <f t="shared" si="7"/>
        <v>12009.887263365847</v>
      </c>
      <c r="H27" s="464">
        <f t="shared" si="8"/>
        <v>2025.9422544202487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14093.180592178509</v>
      </c>
    </row>
    <row r="28" spans="1:17">
      <c r="A28" s="459" t="s">
        <v>563</v>
      </c>
      <c r="B28" s="460">
        <f t="shared" ca="1" si="2"/>
        <v>373.5480226483142</v>
      </c>
      <c r="C28" s="460">
        <f t="shared" ca="1" si="3"/>
        <v>0</v>
      </c>
      <c r="D28" s="460">
        <f t="shared" si="4"/>
        <v>0</v>
      </c>
      <c r="E28" s="460">
        <f t="shared" si="5"/>
        <v>0</v>
      </c>
      <c r="F28" s="460">
        <f t="shared" si="6"/>
        <v>0</v>
      </c>
      <c r="G28" s="460">
        <f t="shared" si="7"/>
        <v>403.99078314742559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777.53880579573979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569.66214255166506</v>
      </c>
      <c r="C32" s="460">
        <f t="shared" ca="1" si="3"/>
        <v>0</v>
      </c>
      <c r="D32" s="460">
        <f t="shared" si="4"/>
        <v>1737.8857900000003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2307.5479325516653</v>
      </c>
    </row>
    <row r="33" spans="1:17" s="472" customFormat="1">
      <c r="A33" s="469" t="s">
        <v>567</v>
      </c>
      <c r="B33" s="470">
        <f ca="1">SUM(B22:B32)</f>
        <v>39686.658326469049</v>
      </c>
      <c r="C33" s="470">
        <f t="shared" ref="C33:Q33" ca="1" si="19">SUM(C22:C32)</f>
        <v>35107.515126050421</v>
      </c>
      <c r="D33" s="470">
        <f t="shared" ca="1" si="19"/>
        <v>15781.232647956347</v>
      </c>
      <c r="E33" s="470">
        <f t="shared" si="19"/>
        <v>424.58586835721536</v>
      </c>
      <c r="F33" s="470">
        <f t="shared" ca="1" si="19"/>
        <v>5829.9591506998722</v>
      </c>
      <c r="G33" s="470">
        <f t="shared" si="19"/>
        <v>12413.878046513271</v>
      </c>
      <c r="H33" s="470">
        <f t="shared" si="19"/>
        <v>2025.9422544202487</v>
      </c>
      <c r="I33" s="470">
        <f t="shared" si="19"/>
        <v>0</v>
      </c>
      <c r="J33" s="470">
        <f t="shared" si="19"/>
        <v>147.99541820506388</v>
      </c>
      <c r="K33" s="470">
        <f t="shared" si="19"/>
        <v>0</v>
      </c>
      <c r="L33" s="470">
        <f t="shared" ca="1" si="19"/>
        <v>0</v>
      </c>
      <c r="M33" s="470">
        <f t="shared" si="19"/>
        <v>0</v>
      </c>
      <c r="N33" s="470">
        <f t="shared" ca="1" si="19"/>
        <v>0</v>
      </c>
      <c r="O33" s="470">
        <f t="shared" si="19"/>
        <v>0</v>
      </c>
      <c r="P33" s="470">
        <f t="shared" si="19"/>
        <v>0</v>
      </c>
      <c r="Q33" s="470">
        <f t="shared" ca="1" si="19"/>
        <v>111417.76683867149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1071.7265145626041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103410.75</v>
      </c>
      <c r="D8" s="1028">
        <f>'SEAP template'!D76</f>
        <v>121659.70588235297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24575.260588235302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1071.7265145626041</v>
      </c>
      <c r="C10" s="1032">
        <f>SUM(C4:C9)</f>
        <v>103410.75</v>
      </c>
      <c r="D10" s="1032">
        <f t="shared" ref="D10:H10" si="0">SUM(D8:D9)</f>
        <v>121659.70588235297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24575.260588235302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0.57144963701625195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147729.64285714287</v>
      </c>
      <c r="D17" s="1029">
        <f>'SEAP template'!D87</f>
        <v>173799.57983193282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35107.515126050428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147729.64285714287</v>
      </c>
      <c r="D20" s="1032">
        <f t="shared" ref="D20:H20" si="2">SUM(D17:D19)</f>
        <v>173799.57983193282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35107.515126050428</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0.57144963701625195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2019-06-29T16:03:10Z</dcterms:modified>
</cp:coreProperties>
</file>