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E16"/>
  <c r="I16"/>
  <c r="F16"/>
  <c r="J16"/>
  <c r="K16"/>
  <c r="K25" s="1"/>
  <c r="D16"/>
  <c r="D27" s="1"/>
  <c r="H16"/>
  <c r="H24"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Q11" i="14"/>
  <c r="P12" i="13"/>
  <c r="Q37" i="14" s="1"/>
  <c r="P4" i="48"/>
  <c r="P21" s="1"/>
  <c r="D12" i="13"/>
  <c r="E37" i="14" s="1"/>
  <c r="D4" i="48"/>
  <c r="E11" i="14"/>
  <c r="G25" i="48"/>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25" i="48" l="1"/>
  <c r="D21"/>
  <c r="D30"/>
  <c r="H21"/>
  <c r="K21"/>
  <c r="H28"/>
  <c r="K24"/>
  <c r="K22"/>
  <c r="K28"/>
  <c r="K31" s="1"/>
  <c r="D28"/>
  <c r="G22" i="14"/>
  <c r="P22" i="16"/>
  <c r="Q39" i="14" s="1"/>
  <c r="G11"/>
  <c r="J12" i="17"/>
  <c r="K48" i="14" s="1"/>
  <c r="Q13"/>
  <c r="B35" i="13"/>
  <c r="J15" i="14"/>
  <c r="J23" s="1"/>
  <c r="P8" i="48"/>
  <c r="P25" s="1"/>
  <c r="D18" i="16"/>
  <c r="E13" i="14" s="1"/>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Q41" i="14" l="1"/>
  <c r="Q53" s="1"/>
  <c r="Q55" s="1"/>
  <c r="H18"/>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P55" i="14" l="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<sst xmlns="http://schemas.openxmlformats.org/spreadsheetml/2006/main" count="2099" uniqueCount="844">
  <si>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</si>
  <si>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</si>
  <si>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</si>
  <si>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</si>
  <si>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</si>
  <si>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</si>
  <si>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</si>
  <si>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</si>
  <si>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</si>
  <si>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</si>
  <si>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</si>
  <si>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</si>
  <si>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</si>
  <si>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</si>
  <si>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</si>
  <si>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</si>
  <si>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</si>
  <si>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</si>
  <si>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</si>
  <si>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</si>
  <si>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</si>
  <si>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</si>
  <si>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</si>
  <si>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</si>
  <si>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</si>
  <si>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</si>
  <si>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</si>
  <si>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</si>
  <si>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</si>
  <si>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</si>
  <si>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</si>
  <si>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</si>
  <si>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</si>
  <si>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</si>
  <si>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</si>
  <si>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</si>
  <si>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</si>
  <si>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</si>
  <si>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</si>
  <si>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</si>
  <si>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</si>
  <si>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</si>
  <si>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</si>
  <si>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</si>
  <si>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</si>
  <si>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</si>
  <si>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</si>
  <si>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</si>
  <si>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</si>
  <si>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</si>
  <si>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</si>
  <si>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</si>
  <si>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</si>
  <si>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</si>
  <si>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</si>
  <si>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</si>
  <si>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</si>
  <si>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</si>
  <si>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</si>
  <si>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</si>
  <si>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</si>
  <si>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</si>
  <si>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</si>
  <si>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</si>
  <si>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</si>
  <si>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</si>
  <si>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</si>
  <si>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</si>
  <si>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</si>
  <si>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</si>
  <si>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</si>
  <si>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</si>
  <si>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</si>
  <si>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</si>
  <si>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</si>
  <si>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</si>
  <si>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</si>
  <si>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</si>
  <si>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</si>
  <si>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</si>
  <si>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</si>
  <si>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</si>
  <si>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</si>
  <si>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</si>
  <si>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</si>
  <si>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</si>
  <si>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</si>
  <si>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</si>
  <si>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</si>
  <si>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</si>
  <si>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</si>
  <si>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</si>
  <si>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</si>
  <si>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</si>
  <si>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</si>
  <si>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</si>
  <si>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</si>
  <si>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</si>
  <si>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</si>
  <si>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</si>
  <si>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</si>
  <si>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</si>
  <si>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</si>
  <si>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</si>
  <si>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</si>
  <si>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</si>
  <si>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</si>
  <si>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</si>
  <si>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</si>
  <si>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</si>
  <si>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</si>
  <si>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</si>
  <si>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</si>
  <si>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</si>
  <si>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</si>
  <si>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</si>
  <si>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</si>
  <si>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</si>
  <si>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</si>
  <si>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</si>
  <si>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</si>
  <si>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</si>
  <si>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</si>
  <si>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</si>
  <si>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</si>
  <si>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</si>
  <si>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</si>
  <si>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</si>
  <si>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</si>
  <si>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</si>
  <si>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</si>
  <si>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</si>
  <si>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</si>
  <si>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</si>
  <si>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</si>
  <si>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</si>
  <si>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</si>
  <si>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</si>
  <si>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</si>
  <si>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</si>
  <si>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</si>
  <si>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</si>
  <si>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</si>
  <si>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</si>
  <si>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</si>
  <si>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</si>
  <si>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</si>
  <si>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</si>
  <si>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</si>
  <si>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</si>
  <si>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</si>
  <si>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</si>
  <si>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</si>
  <si>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</si>
  <si>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</si>
  <si>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</si>
  <si>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</si>
  <si>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</si>
  <si>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</si>
  <si>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</si>
  <si>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</si>
  <si>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</si>
  <si>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</si>
  <si>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</si>
  <si>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</si>
  <si>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</si>
  <si>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</si>
  <si>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</si>
  <si>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</si>
  <si>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</si>
  <si>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</si>
  <si>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</si>
  <si>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</si>
  <si>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</si>
  <si>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</si>
  <si>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</si>
  <si>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</si>
  <si>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</si>
  <si>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</si>
  <si>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</si>
  <si>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</si>
  <si>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</si>
  <si>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</si>
  <si>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</si>
  <si>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</si>
  <si>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</si>
  <si>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</si>
  <si>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</si>
  <si>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</si>
  <si>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</si>
  <si>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</si>
  <si>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</si>
  <si>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</si>
  <si>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</si>
  <si>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</si>
  <si>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</si>
  <si>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</si>
  <si>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</si>
  <si>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</si>
  <si>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</si>
  <si>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</si>
  <si>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</si>
  <si>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</si>
  <si>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</si>
  <si>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</si>
  <si>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</si>
  <si>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</si>
  <si>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</si>
  <si>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</si>
  <si>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</si>
  <si>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</si>
  <si>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</si>
  <si>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</si>
  <si>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</si>
  <si>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</si>
  <si>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</si>
  <si>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</si>
  <si>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</si>
  <si>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</si>
  <si>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</si>
  <si>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</si>
  <si>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</si>
  <si>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</si>
  <si>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</si>
  <si>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</si>
  <si>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</si>
  <si>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</si>
  <si>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</si>
  <si>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</si>
  <si>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</si>
  <si>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</si>
  <si>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</si>
  <si>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</si>
  <si>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</si>
  <si>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</si>
  <si>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</si>
  <si>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</si>
  <si>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</si>
  <si>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</si>
  <si>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</si>
  <si>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</si>
  <si>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</si>
  <si>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</si>
  <si>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</si>
  <si>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</si>
  <si>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</si>
  <si>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</si>
  <si>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</si>
  <si>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</si>
  <si>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</si>
  <si>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</si>
  <si>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</si>
  <si>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</si>
  <si>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</si>
  <si>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</si>
  <si>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</si>
  <si>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</si>
  <si>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</si>
  <si>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</si>
  <si>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</si>
  <si>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</si>
  <si>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</si>
  <si>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</si>
  <si>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</si>
  <si>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</si>
  <si>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</si>
  <si>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</si>
  <si>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</si>
  <si>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</si>
  <si>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</si>
  <si>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</si>
  <si>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</si>
  <si>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</si>
  <si>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</si>
  <si>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</si>
  <si>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</si>
  <si>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</si>
  <si>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</si>
  <si>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</si>
  <si>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</si>
  <si>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</si>
  <si>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</si>
  <si>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</si>
  <si>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</si>
  <si>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</si>
  <si>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</si>
  <si>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</si>
  <si>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</si>
  <si>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</si>
  <si>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</si>
  <si>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</si>
  <si>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</si>
  <si>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</si>
  <si>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</si>
  <si>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</si>
  <si>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</si>
  <si>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</si>
  <si>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</si>
  <si>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</si>
  <si>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</si>
  <si>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</si>
  <si>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</si>
  <si>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</si>
  <si>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</si>
  <si>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</si>
  <si>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</si>
  <si>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</si>
  <si>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</si>
  <si>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</si>
  <si>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</si>
  <si>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</si>
  <si>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</si>
  <si>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</si>
  <si>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</si>
  <si>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</si>
  <si>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</si>
  <si>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</si>
  <si>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</si>
  <si>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</si>
  <si>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</si>
  <si>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</si>
  <si>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</si>
  <si>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</si>
  <si>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</si>
  <si>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</si>
  <si>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</si>
  <si>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</si>
  <si>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</si>
  <si>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</si>
  <si>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</si>
  <si>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</si>
  <si>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</si>
  <si>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</si>
  <si>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</si>
  <si>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</si>
  <si>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</si>
  <si>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</si>
  <si>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</si>
  <si>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</si>
  <si>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</si>
  <si>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</si>
  <si>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</si>
  <si>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</si>
  <si>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</si>
  <si>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</si>
  <si>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</si>
  <si>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</si>
  <si>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</si>
  <si>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</si>
  <si>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</si>
  <si>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</si>
  <si>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</si>
  <si>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</si>
  <si>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</si>
  <si>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</si>
  <si>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</si>
  <si>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</si>
  <si>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</si>
  <si>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</si>
  <si>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</si>
  <si>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</si>
  <si>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</si>
  <si>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</si>
  <si>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</si>
  <si>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</si>
  <si>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</si>
  <si>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</si>
  <si>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</si>
  <si>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</si>
  <si>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</si>
  <si>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</si>
  <si>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</si>
  <si>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</si>
  <si>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</si>
  <si>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</si>
  <si>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</si>
  <si>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</si>
  <si>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</si>
  <si>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</si>
  <si>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</si>
  <si>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</si>
  <si>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</si>
  <si>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</si>
  <si>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</si>
  <si>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</si>
  <si>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</si>
  <si>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</si>
  <si>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</si>
  <si>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</si>
  <si>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</si>
  <si>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</si>
  <si>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</si>
  <si>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</si>
  <si>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</si>
  <si>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</si>
  <si>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</si>
  <si>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</si>
  <si>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</si>
  <si>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</si>
  <si>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</si>
  <si>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</si>
  <si>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</si>
  <si>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</si>
  <si>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</si>
  <si>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</si>
  <si>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</si>
  <si>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</si>
  <si>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</si>
  <si>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</si>
  <si>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</si>
  <si>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</si>
  <si>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</si>
  <si>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</si>
  <si>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</si>
  <si>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</si>
  <si>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</si>
  <si>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</si>
  <si>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</si>
  <si>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</si>
  <si>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</si>
  <si>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</si>
  <si>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</si>
  <si>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</si>
  <si>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</si>
  <si>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</si>
  <si>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</si>
  <si>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</si>
  <si>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</si>
  <si>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</si>
  <si>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</si>
  <si>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</si>
  <si>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</si>
  <si>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</si>
  <si>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</si>
  <si>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</si>
  <si>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</si>
  <si>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</si>
  <si>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</si>
  <si>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</si>
  <si>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</si>
  <si>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</si>
  <si>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</si>
  <si>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</si>
  <si>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</si>
  <si>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</si>
  <si>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</si>
  <si>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</si>
  <si>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</si>
  <si>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</si>
  <si>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</si>
  <si>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</si>
  <si>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</si>
  <si>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</si>
  <si>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</si>
  <si>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</si>
  <si>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</si>
  <si>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</si>
  <si>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</si>
  <si>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</si>
  <si>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</si>
  <si>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</si>
  <si>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</si>
  <si>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</si>
  <si>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</si>
  <si>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</si>
  <si>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</si>
  <si>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</si>
  <si>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</si>
  <si>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</si>
  <si>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</si>
  <si>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</si>
  <si>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</si>
  <si>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</si>
  <si>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</si>
  <si>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</si>
  <si>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</si>
  <si>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</si>
  <si>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</si>
  <si>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</si>
  <si>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</si>
  <si>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</si>
  <si>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</si>
  <si>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</si>
  <si>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</si>
  <si>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</si>
  <si>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</si>
  <si>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</si>
  <si>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</si>
  <si>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</si>
  <si>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</si>
  <si>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</si>
  <si>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</si>
  <si>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</si>
  <si>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</si>
  <si>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</si>
  <si>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</si>
  <si>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</si>
  <si>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</si>
  <si>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</si>
  <si>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</si>
  <si>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</si>
  <si>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</si>
  <si>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</si>
  <si>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</si>
  <si>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</si>
  <si>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</si>
  <si>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</si>
  <si>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</si>
  <si>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</si>
  <si>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</si>
  <si>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</si>
  <si>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</si>
  <si>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</si>
  <si>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</si>
  <si>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</si>
  <si>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</si>
  <si>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</si>
  <si>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</si>
  <si>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</si>
  <si>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</si>
  <si>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</si>
  <si>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</si>
  <si>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</si>
  <si>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</si>
  <si>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</si>
  <si>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</si>
  <si>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</si>
  <si>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</si>
  <si>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</si>
  <si>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</si>
  <si>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</si>
  <si>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</si>
  <si>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</si>
  <si>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</si>
  <si>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</si>
  <si>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</si>
  <si>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</si>
  <si>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</si>
  <si>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</si>
  <si>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</si>
  <si>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</si>
  <si>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</si>
  <si>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</si>
  <si>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</si>
  <si>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</si>
  <si>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</si>
  <si>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</si>
  <si>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</si>
  <si>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</si>
  <si>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</si>
  <si>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</si>
  <si>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</si>
  <si>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</si>
  <si>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</si>
  <si>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</si>
  <si>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</si>
  <si>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</si>
  <si>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</si>
  <si>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</si>
  <si>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</si>
  <si>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</si>
  <si>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</si>
  <si>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</si>
  <si>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</si>
  <si>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</si>
  <si>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</si>
  <si>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</si>
  <si>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</si>
  <si>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</si>
  <si>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</si>
  <si>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</si>
  <si>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</si>
  <si>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</si>
  <si>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</si>
  <si>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</si>
  <si>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</si>
  <si>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</si>
  <si>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</si>
  <si>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</si>
  <si>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</si>
  <si>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</si>
  <si>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</si>
  <si>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</si>
  <si>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</si>
  <si>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</si>
  <si>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</si>
  <si>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</si>
  <si>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</si>
  <si>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</si>
  <si>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</si>
  <si>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</si>
  <si>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</si>
  <si>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</si>
  <si>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</si>
  <si>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</si>
  <si>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</si>
  <si>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</si>
  <si>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</si>
  <si>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</si>
  <si>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</si>
  <si>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</si>
  <si>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</si>
  <si>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</si>
  <si>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</si>
  <si>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</si>
  <si>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</si>
  <si>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</si>
  <si>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</si>
  <si>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</si>
  <si>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</si>
  <si>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</si>
  <si>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</si>
  <si>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</si>
  <si>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</si>
  <si>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</si>
  <si>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</si>
  <si>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</si>
  <si>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</si>
  <si>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</si>
  <si>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</si>
  <si>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</si>
  <si>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</si>
  <si>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</si>
  <si>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</si>
  <si>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</si>
  <si>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</si>
  <si>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</si>
  <si>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</si>
  <si>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</si>
  <si>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</si>
  <si>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</si>
  <si>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</si>
  <si>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</si>
  <si>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</si>
  <si>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</si>
  <si>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</si>
  <si>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</si>
  <si>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</si>
  <si>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</si>
  <si>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</si>
  <si>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</si>
  <si>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</si>
  <si>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</si>
  <si>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</si>
  <si>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</si>
  <si>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</si>
  <si>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</si>
  <si>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</si>
  <si>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</si>
  <si>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</si>
  <si>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</si>
  <si>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</si>
  <si>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</si>
  <si>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</si>
  <si>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</si>
  <si>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</si>
  <si>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</si>
  <si>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</si>
  <si>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</si>
  <si>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</si>
  <si>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</si>
  <si>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</si>
  <si>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</si>
  <si>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</si>
  <si>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</si>
  <si>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</si>
  <si>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</si>
  <si>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</si>
  <si>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</si>
  <si>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</si>
  <si>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</si>
  <si>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</si>
  <si>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</si>
  <si>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</si>
  <si>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</si>
  <si>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</si>
  <si>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</si>
  <si>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</si>
  <si>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</si>
  <si>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</si>
  <si>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</si>
  <si>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</si>
  <si>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</si>
  <si>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</si>
  <si>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</si>
  <si>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</si>
  <si>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</si>
  <si>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</si>
  <si>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</si>
  <si>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</si>
  <si>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</si>
  <si>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</si>
  <si>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</si>
  <si>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</si>
  <si>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</si>
  <si>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</si>
  <si>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</si>
  <si>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</si>
  <si>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</si>
  <si>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</si>
  <si>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</si>
  <si>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</si>
  <si>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</si>
  <si>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</si>
  <si>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</si>
  <si>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</si>
  <si>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</si>
  <si>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</si>
  <si>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</si>
  <si>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</si>
  <si>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</si>
  <si>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</si>
  <si>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</si>
  <si>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</si>
  <si>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</si>
  <si>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</si>
  <si>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</si>
  <si>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</si>
  <si>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</si>
  <si>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</si>
  <si>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</si>
  <si>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</si>
  <si>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</si>
  <si>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</si>
  <si>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</si>
  <si>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</si>
  <si>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</si>
  <si>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</si>
  <si>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</si>
  <si>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</si>
  <si>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</si>
  <si>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</si>
  <si>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</si>
  <si>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</si>
  <si>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</si>
  <si>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</si>
  <si>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</si>
  <si>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</si>
  <si>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</si>
  <si>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</si>
  <si>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</si>
  <si>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</si>
  <si>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</si>
  <si>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</si>
  <si>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</si>
  <si>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</si>
  <si>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</si>
  <si>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</si>
  <si>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</si>
  <si>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</si>
  <si>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</si>
  <si>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</si>
  <si>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</si>
  <si>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</si>
  <si>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</si>
  <si>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</si>
  <si>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</si>
  <si>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</si>
  <si>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</si>
  <si>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</si>
  <si>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</si>
  <si>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</si>
  <si>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</si>
  <si>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</si>
  <si>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</si>
  <si>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</si>
  <si>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</si>
  <si>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</si>
  <si>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</si>
  <si>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</si>
  <si>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</si>
  <si>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</si>
  <si>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</si>
  <si>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</si>
  <si>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</si>
  <si>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</si>
  <si>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</si>
  <si>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</si>
  <si>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</si>
  <si>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</si>
  <si>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</si>
  <si>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</si>
  <si>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</si>
  <si>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</si>
  <si>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</si>
  <si>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</si>
  <si>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</si>
  <si>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</si>
  <si>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</si>
  <si>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</si>
  <si>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</si>
  <si>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</si>
  <si>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</si>
  <si>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</si>
  <si>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</si>
  <si>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</si>
  <si>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</si>
  <si>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</si>
  <si>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</si>
  <si>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</si>
  <si>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</si>
  <si>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</si>
  <si>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</si>
  <si>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</si>
  <si>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</si>
  <si>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</si>
  <si>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</si>
  <si>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</si>
  <si>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</si>
  <si>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</si>
  <si>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</si>
  <si>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</si>
  <si>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</si>
  <si>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</si>
  <si>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</si>
  <si>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</si>
  <si>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</si>
  <si>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</si>
  <si>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</si>
  <si>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</si>
  <si>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</si>
  <si>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</si>
  <si>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</si>
  <si>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</si>
  <si>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</si>
  <si>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</si>
  <si>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</si>
  <si>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</si>
  <si>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</si>
  <si>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</si>
  <si>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</si>
  <si>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</si>
  <si>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</si>
  <si>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</si>
  <si>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</si>
  <si>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</si>
  <si>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73032</t>
  </si>
  <si>
    <t>HOESELT</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</si>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</sst>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93864.474766187588</c:v>
                </c:pt>
                <c:pt idx="1">
                  <c:v>19699.240159987792</c:v>
                </c:pt>
                <c:pt idx="2">
                  <c:v>560.06200000000001</c:v>
                </c:pt>
                <c:pt idx="3">
                  <c:v>8534.7781515216047</c:v>
                </c:pt>
                <c:pt idx="4">
                  <c:v>8364.9247590875984</c:v>
                </c:pt>
                <c:pt idx="5">
                  <c:v>93188.174662830061</c:v>
                </c:pt>
                <c:pt idx="6">
                  <c:v>498.6642906900272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93864.474766187588</c:v>
                </c:pt>
                <c:pt idx="1">
                  <c:v>19699.240159987792</c:v>
                </c:pt>
                <c:pt idx="2">
                  <c:v>560.06200000000001</c:v>
                </c:pt>
                <c:pt idx="3">
                  <c:v>8534.7781515216047</c:v>
                </c:pt>
                <c:pt idx="4">
                  <c:v>8364.9247590875984</c:v>
                </c:pt>
                <c:pt idx="5">
                  <c:v>93188.174662830061</c:v>
                </c:pt>
                <c:pt idx="6">
                  <c:v>498.6642906900272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19533.868270319203</c:v>
                </c:pt>
                <c:pt idx="1">
                  <c:v>3775.1747218547985</c:v>
                </c:pt>
                <c:pt idx="2">
                  <c:v>105.59715048966312</c:v>
                </c:pt>
                <c:pt idx="3">
                  <c:v>2066.4040235818711</c:v>
                </c:pt>
                <c:pt idx="4">
                  <c:v>1531.2467998473307</c:v>
                </c:pt>
                <c:pt idx="5">
                  <c:v>23329.851969670093</c:v>
                </c:pt>
                <c:pt idx="6">
                  <c:v>125.98781396391516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06528"/>
        <c:axId val="184008064"/>
      </c:barChart>
      <c:catAx>
        <c:axId val="184006528"/>
        <c:scaling>
          <c:orientation val="minMax"/>
        </c:scaling>
        <c:axPos val="b"/>
        <c:numFmt formatCode="General" sourceLinked="0"/>
        <c:tickLblPos val="nextTo"/>
        <c:crossAx val="184008064"/>
        <c:crosses val="autoZero"/>
        <c:auto val="1"/>
        <c:lblAlgn val="ctr"/>
        <c:lblOffset val="100"/>
      </c:catAx>
      <c:valAx>
        <c:axId val="184008064"/>
        <c:scaling>
          <c:orientation val="minMax"/>
        </c:scaling>
        <c:axPos val="l"/>
        <c:majorGridlines>
          <c:spPr>
            <a:ln>
              <a:noFill/>
            </a:ln>
          </c:spPr>
        </c:majorGridlines>
        <c:numFmt formatCode="#,##0" sourceLinked="1"/>
        <c:tickLblPos val="nextTo"/>
        <c:crossAx val="1840065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19533.868270319203</c:v>
                </c:pt>
                <c:pt idx="1">
                  <c:v>3775.1747218547985</c:v>
                </c:pt>
                <c:pt idx="2">
                  <c:v>105.59715048966312</c:v>
                </c:pt>
                <c:pt idx="3">
                  <c:v>2066.4040235818711</c:v>
                </c:pt>
                <c:pt idx="4">
                  <c:v>1531.2467998473307</c:v>
                </c:pt>
                <c:pt idx="5">
                  <c:v>23329.851969670093</c:v>
                </c:pt>
                <c:pt idx="6">
                  <c:v>125.98781396391516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73032</v>
      </c>
      <c r="B6" s="415"/>
      <c r="C6" s="416"/>
    </row>
    <row r="7" spans="1:7" s="413" customFormat="1" ht="15.75" customHeight="1">
      <c r="A7" s="417" t="str">
        <f>txtMunicipality</f>
        <v>HOESELT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9419.5746629999994</v>
      </c>
      <c r="D10" s="718">
        <f ca="1">tertiair!C16</f>
        <v>0</v>
      </c>
      <c r="E10" s="718">
        <f ca="1">tertiair!D16</f>
        <v>8000.7960457700001</v>
      </c>
      <c r="F10" s="718">
        <f>tertiair!E16</f>
        <v>202.65071514102192</v>
      </c>
      <c r="G10" s="718">
        <f ca="1">tertiair!F16</f>
        <v>1657.6132540139017</v>
      </c>
      <c r="H10" s="718">
        <f>tertiair!G16</f>
        <v>0</v>
      </c>
      <c r="I10" s="718">
        <f>tertiair!H16</f>
        <v>0</v>
      </c>
      <c r="J10" s="718">
        <f>tertiair!I16</f>
        <v>0</v>
      </c>
      <c r="K10" s="718">
        <f>tertiair!J16</f>
        <v>2.4097309476992398E-2</v>
      </c>
      <c r="L10" s="718">
        <f>tertiair!K16</f>
        <v>0</v>
      </c>
      <c r="M10" s="718">
        <f ca="1">tertiair!L16</f>
        <v>0</v>
      </c>
      <c r="N10" s="718">
        <f>tertiair!M16</f>
        <v>0</v>
      </c>
      <c r="O10" s="718">
        <f ca="1">tertiair!N16</f>
        <v>958.01338475339469</v>
      </c>
      <c r="P10" s="718">
        <f>tertiair!O16</f>
        <v>1.5633333333333335</v>
      </c>
      <c r="Q10" s="719">
        <f>tertiair!P16</f>
        <v>19.066666666666666</v>
      </c>
      <c r="R10" s="721">
        <f ca="1">SUM(C10:Q10)</f>
        <v>20259.30215998779</v>
      </c>
      <c r="S10" s="67"/>
    </row>
    <row r="11" spans="1:19" s="474" customFormat="1">
      <c r="A11" s="870" t="s">
        <v>225</v>
      </c>
      <c r="B11" s="875"/>
      <c r="C11" s="718">
        <f>huishoudens!B8</f>
        <v>16069.83538075618</v>
      </c>
      <c r="D11" s="718">
        <f>huishoudens!C8</f>
        <v>0</v>
      </c>
      <c r="E11" s="718">
        <f>huishoudens!D8</f>
        <v>21675.619330199999</v>
      </c>
      <c r="F11" s="718">
        <f>huishoudens!E8</f>
        <v>1775.9699309343803</v>
      </c>
      <c r="G11" s="718">
        <f>huishoudens!F8</f>
        <v>43903.945315309233</v>
      </c>
      <c r="H11" s="718">
        <f>huishoudens!G8</f>
        <v>0</v>
      </c>
      <c r="I11" s="718">
        <f>huishoudens!H8</f>
        <v>0</v>
      </c>
      <c r="J11" s="718">
        <f>huishoudens!I8</f>
        <v>0</v>
      </c>
      <c r="K11" s="718">
        <f>huishoudens!J8</f>
        <v>0</v>
      </c>
      <c r="L11" s="718">
        <f>huishoudens!K8</f>
        <v>0</v>
      </c>
      <c r="M11" s="718">
        <f>huishoudens!L8</f>
        <v>0</v>
      </c>
      <c r="N11" s="718">
        <f>huishoudens!M8</f>
        <v>0</v>
      </c>
      <c r="O11" s="718">
        <f>huishoudens!N8</f>
        <v>9835.1648089878145</v>
      </c>
      <c r="P11" s="718">
        <f>huishoudens!O8</f>
        <v>184.47333333333336</v>
      </c>
      <c r="Q11" s="719">
        <f>huishoudens!P8</f>
        <v>419.4666666666667</v>
      </c>
      <c r="R11" s="721">
        <f>SUM(C11:Q11)</f>
        <v>93864.474766187588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4385.8976720000001</v>
      </c>
      <c r="D13" s="718">
        <f>industrie!C18</f>
        <v>0</v>
      </c>
      <c r="E13" s="718">
        <f>industrie!D18</f>
        <v>2342.1117323999997</v>
      </c>
      <c r="F13" s="718">
        <f>industrie!E18</f>
        <v>135.31652259526638</v>
      </c>
      <c r="G13" s="718">
        <f>industrie!F18</f>
        <v>749.27513910511175</v>
      </c>
      <c r="H13" s="718">
        <f>industrie!G18</f>
        <v>0</v>
      </c>
      <c r="I13" s="718">
        <f>industrie!H18</f>
        <v>0</v>
      </c>
      <c r="J13" s="718">
        <f>industrie!I18</f>
        <v>0</v>
      </c>
      <c r="K13" s="718">
        <f>industrie!J18</f>
        <v>1.2028220388800934</v>
      </c>
      <c r="L13" s="718">
        <f>industrie!K18</f>
        <v>0</v>
      </c>
      <c r="M13" s="718">
        <f>industrie!L18</f>
        <v>0</v>
      </c>
      <c r="N13" s="718">
        <f>industrie!M18</f>
        <v>0</v>
      </c>
      <c r="O13" s="718">
        <f>industrie!N18</f>
        <v>751.12087094834055</v>
      </c>
      <c r="P13" s="718">
        <f>industrie!O18</f>
        <v>0</v>
      </c>
      <c r="Q13" s="719">
        <f>industrie!P18</f>
        <v>0</v>
      </c>
      <c r="R13" s="721">
        <f>SUM(C13:Q13)</f>
        <v>8364.9247590875984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29875.307715756178</v>
      </c>
      <c r="D15" s="723">
        <f t="shared" ref="D15:Q15" ca="1" si="0">SUM(D9:D14)</f>
        <v>0</v>
      </c>
      <c r="E15" s="723">
        <f t="shared" ca="1" si="0"/>
        <v>32018.527108369999</v>
      </c>
      <c r="F15" s="723">
        <f t="shared" si="0"/>
        <v>2113.9371686706686</v>
      </c>
      <c r="G15" s="723">
        <f t="shared" ca="1" si="0"/>
        <v>46310.833708428247</v>
      </c>
      <c r="H15" s="723">
        <f t="shared" si="0"/>
        <v>0</v>
      </c>
      <c r="I15" s="723">
        <f t="shared" si="0"/>
        <v>0</v>
      </c>
      <c r="J15" s="723">
        <f t="shared" si="0"/>
        <v>0</v>
      </c>
      <c r="K15" s="723">
        <f t="shared" si="0"/>
        <v>1.2269193483570857</v>
      </c>
      <c r="L15" s="723">
        <f t="shared" si="0"/>
        <v>0</v>
      </c>
      <c r="M15" s="723">
        <f t="shared" ca="1" si="0"/>
        <v>0</v>
      </c>
      <c r="N15" s="723">
        <f t="shared" si="0"/>
        <v>0</v>
      </c>
      <c r="O15" s="723">
        <f t="shared" ca="1" si="0"/>
        <v>11544.299064689549</v>
      </c>
      <c r="P15" s="723">
        <f t="shared" si="0"/>
        <v>186.03666666666669</v>
      </c>
      <c r="Q15" s="724">
        <f t="shared" si="0"/>
        <v>438.53333333333336</v>
      </c>
      <c r="R15" s="725">
        <f ca="1">SUM(R9:R14)</f>
        <v>122488.70168526297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471.86447177496314</v>
      </c>
      <c r="I18" s="718">
        <f>transport!H54</f>
        <v>0</v>
      </c>
      <c r="J18" s="718">
        <f>transport!I54</f>
        <v>0</v>
      </c>
      <c r="K18" s="718">
        <f>transport!J54</f>
        <v>0</v>
      </c>
      <c r="L18" s="718">
        <f>transport!K54</f>
        <v>0</v>
      </c>
      <c r="M18" s="718">
        <f>transport!L54</f>
        <v>0</v>
      </c>
      <c r="N18" s="718">
        <f>transport!M54</f>
        <v>26.799818915064094</v>
      </c>
      <c r="O18" s="718">
        <f>transport!N54</f>
        <v>0</v>
      </c>
      <c r="P18" s="718">
        <f>transport!O54</f>
        <v>0</v>
      </c>
      <c r="Q18" s="719">
        <f>transport!P54</f>
        <v>0</v>
      </c>
      <c r="R18" s="721">
        <f>SUM(C18:Q18)</f>
        <v>498.6642906900272</v>
      </c>
      <c r="S18" s="67"/>
    </row>
    <row r="19" spans="1:19" s="474" customFormat="1" ht="15" thickBot="1">
      <c r="A19" s="870" t="s">
        <v>307</v>
      </c>
      <c r="B19" s="875"/>
      <c r="C19" s="727">
        <f>transport!B14</f>
        <v>37.835307567490013</v>
      </c>
      <c r="D19" s="727">
        <f>transport!C14</f>
        <v>0</v>
      </c>
      <c r="E19" s="727">
        <f>transport!D14</f>
        <v>131.79193948892194</v>
      </c>
      <c r="F19" s="727">
        <f>transport!E14</f>
        <v>201.64453996842482</v>
      </c>
      <c r="G19" s="727">
        <f>transport!F14</f>
        <v>0</v>
      </c>
      <c r="H19" s="727">
        <f>transport!G14</f>
        <v>72867.518004624784</v>
      </c>
      <c r="I19" s="727">
        <f>transport!H14</f>
        <v>15239.741784773702</v>
      </c>
      <c r="J19" s="727">
        <f>transport!I14</f>
        <v>0</v>
      </c>
      <c r="K19" s="727">
        <f>transport!J14</f>
        <v>0</v>
      </c>
      <c r="L19" s="727">
        <f>transport!K14</f>
        <v>0</v>
      </c>
      <c r="M19" s="727">
        <f>transport!L14</f>
        <v>0</v>
      </c>
      <c r="N19" s="727">
        <f>transport!M14</f>
        <v>4709.643086406737</v>
      </c>
      <c r="O19" s="727">
        <f>transport!N14</f>
        <v>0</v>
      </c>
      <c r="P19" s="727">
        <f>transport!O14</f>
        <v>0</v>
      </c>
      <c r="Q19" s="728">
        <f>transport!P14</f>
        <v>0</v>
      </c>
      <c r="R19" s="729">
        <f>SUM(C19:Q19)</f>
        <v>93188.174662830061</v>
      </c>
      <c r="S19" s="67"/>
    </row>
    <row r="20" spans="1:19" s="474" customFormat="1" ht="15.75" thickBot="1">
      <c r="A20" s="730" t="s">
        <v>230</v>
      </c>
      <c r="B20" s="878"/>
      <c r="C20" s="873">
        <f>SUM(C17:C19)</f>
        <v>37.835307567490013</v>
      </c>
      <c r="D20" s="731">
        <f t="shared" ref="D20:R20" si="1">SUM(D17:D19)</f>
        <v>0</v>
      </c>
      <c r="E20" s="731">
        <f t="shared" si="1"/>
        <v>131.79193948892194</v>
      </c>
      <c r="F20" s="731">
        <f t="shared" si="1"/>
        <v>201.64453996842482</v>
      </c>
      <c r="G20" s="731">
        <f t="shared" si="1"/>
        <v>0</v>
      </c>
      <c r="H20" s="731">
        <f t="shared" si="1"/>
        <v>73339.382476399755</v>
      </c>
      <c r="I20" s="731">
        <f t="shared" si="1"/>
        <v>15239.741784773702</v>
      </c>
      <c r="J20" s="731">
        <f t="shared" si="1"/>
        <v>0</v>
      </c>
      <c r="K20" s="731">
        <f t="shared" si="1"/>
        <v>0</v>
      </c>
      <c r="L20" s="731">
        <f t="shared" si="1"/>
        <v>0</v>
      </c>
      <c r="M20" s="731">
        <f t="shared" si="1"/>
        <v>0</v>
      </c>
      <c r="N20" s="731">
        <f t="shared" si="1"/>
        <v>4736.4429053218009</v>
      </c>
      <c r="O20" s="731">
        <f t="shared" si="1"/>
        <v>0</v>
      </c>
      <c r="P20" s="731">
        <f t="shared" si="1"/>
        <v>0</v>
      </c>
      <c r="Q20" s="732">
        <f t="shared" si="1"/>
        <v>0</v>
      </c>
      <c r="R20" s="733">
        <f t="shared" si="1"/>
        <v>93686.838953520084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1222.3960030000001</v>
      </c>
      <c r="D22" s="727">
        <f>+landbouw!C8</f>
        <v>0</v>
      </c>
      <c r="E22" s="727">
        <f>+landbouw!D8</f>
        <v>2006.9175730999996</v>
      </c>
      <c r="F22" s="727">
        <f>+landbouw!E8</f>
        <v>35.929952156504136</v>
      </c>
      <c r="G22" s="727">
        <f>+landbouw!F8</f>
        <v>5092.4356936850609</v>
      </c>
      <c r="H22" s="727">
        <f>+landbouw!G8</f>
        <v>0</v>
      </c>
      <c r="I22" s="727">
        <f>+landbouw!H8</f>
        <v>0</v>
      </c>
      <c r="J22" s="727">
        <f>+landbouw!I8</f>
        <v>0</v>
      </c>
      <c r="K22" s="727">
        <f>+landbouw!J8</f>
        <v>177.09892958004042</v>
      </c>
      <c r="L22" s="727">
        <f>+landbouw!K8</f>
        <v>0</v>
      </c>
      <c r="M22" s="727">
        <f>+landbouw!L8</f>
        <v>0</v>
      </c>
      <c r="N22" s="727">
        <f>+landbouw!M8</f>
        <v>0</v>
      </c>
      <c r="O22" s="727">
        <f>+landbouw!N8</f>
        <v>0</v>
      </c>
      <c r="P22" s="727">
        <f>+landbouw!O8</f>
        <v>0</v>
      </c>
      <c r="Q22" s="728">
        <f>+landbouw!P8</f>
        <v>0</v>
      </c>
      <c r="R22" s="729">
        <f>SUM(C22:Q22)</f>
        <v>8534.7781515216047</v>
      </c>
      <c r="S22" s="67"/>
    </row>
    <row r="23" spans="1:19" s="474" customFormat="1" ht="17.25" thickTop="1" thickBot="1">
      <c r="A23" s="734" t="s">
        <v>116</v>
      </c>
      <c r="B23" s="864"/>
      <c r="C23" s="735">
        <f ca="1">C20+C15+C22</f>
        <v>31135.53902632367</v>
      </c>
      <c r="D23" s="735">
        <f t="shared" ref="D23:Q23" ca="1" si="2">D20+D15+D22</f>
        <v>0</v>
      </c>
      <c r="E23" s="735">
        <f t="shared" ca="1" si="2"/>
        <v>34157.236620958924</v>
      </c>
      <c r="F23" s="735">
        <f t="shared" si="2"/>
        <v>2351.5116607955974</v>
      </c>
      <c r="G23" s="735">
        <f t="shared" ca="1" si="2"/>
        <v>51403.269402113307</v>
      </c>
      <c r="H23" s="735">
        <f t="shared" si="2"/>
        <v>73339.382476399755</v>
      </c>
      <c r="I23" s="735">
        <f t="shared" si="2"/>
        <v>15239.741784773702</v>
      </c>
      <c r="J23" s="735">
        <f t="shared" si="2"/>
        <v>0</v>
      </c>
      <c r="K23" s="735">
        <f t="shared" si="2"/>
        <v>178.32584892839751</v>
      </c>
      <c r="L23" s="735">
        <f t="shared" si="2"/>
        <v>0</v>
      </c>
      <c r="M23" s="735">
        <f t="shared" ca="1" si="2"/>
        <v>0</v>
      </c>
      <c r="N23" s="735">
        <f t="shared" si="2"/>
        <v>4736.4429053218009</v>
      </c>
      <c r="O23" s="735">
        <f t="shared" ca="1" si="2"/>
        <v>11544.299064689549</v>
      </c>
      <c r="P23" s="735">
        <f t="shared" si="2"/>
        <v>186.03666666666669</v>
      </c>
      <c r="Q23" s="736">
        <f t="shared" si="2"/>
        <v>438.53333333333336</v>
      </c>
      <c r="R23" s="737">
        <f ca="1">R20+R15+R22</f>
        <v>224710.31879030468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1776.0180894926432</v>
      </c>
      <c r="D36" s="718">
        <f ca="1">tertiair!C20</f>
        <v>0</v>
      </c>
      <c r="E36" s="718">
        <f ca="1">tertiair!D20</f>
        <v>1616.1608012455401</v>
      </c>
      <c r="F36" s="718">
        <f>tertiair!E20</f>
        <v>46.00171233701198</v>
      </c>
      <c r="G36" s="718">
        <f ca="1">tertiair!F20</f>
        <v>442.58273882171176</v>
      </c>
      <c r="H36" s="718">
        <f>tertiair!G20</f>
        <v>0</v>
      </c>
      <c r="I36" s="718">
        <f>tertiair!H20</f>
        <v>0</v>
      </c>
      <c r="J36" s="718">
        <f>tertiair!I20</f>
        <v>0</v>
      </c>
      <c r="K36" s="718">
        <f>tertiair!J20</f>
        <v>8.5304475548553076E-3</v>
      </c>
      <c r="L36" s="718">
        <f>tertiair!K20</f>
        <v>0</v>
      </c>
      <c r="M36" s="718">
        <f ca="1">tertiair!L20</f>
        <v>0</v>
      </c>
      <c r="N36" s="718">
        <f>tertiair!M20</f>
        <v>0</v>
      </c>
      <c r="O36" s="718">
        <f ca="1">tertiair!N20</f>
        <v>0</v>
      </c>
      <c r="P36" s="718">
        <f>tertiair!O20</f>
        <v>0</v>
      </c>
      <c r="Q36" s="828">
        <f>tertiair!P20</f>
        <v>0</v>
      </c>
      <c r="R36" s="917">
        <f ca="1">SUM(C36:Q36)</f>
        <v>3880.7718723444618</v>
      </c>
    </row>
    <row r="37" spans="1:18">
      <c r="A37" s="885" t="s">
        <v>225</v>
      </c>
      <c r="B37" s="892"/>
      <c r="C37" s="718">
        <f ca="1">huishoudens!B12</f>
        <v>3029.8945921091295</v>
      </c>
      <c r="D37" s="718">
        <f ca="1">huishoudens!C12</f>
        <v>0</v>
      </c>
      <c r="E37" s="718">
        <f>huishoudens!D12</f>
        <v>4378.4751047004002</v>
      </c>
      <c r="F37" s="718">
        <f>huishoudens!E12</f>
        <v>403.14517432210431</v>
      </c>
      <c r="G37" s="718">
        <f>huishoudens!F12</f>
        <v>11722.353399187567</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19533.868270319203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826.94111813057691</v>
      </c>
      <c r="D39" s="718">
        <f ca="1">industrie!C22</f>
        <v>0</v>
      </c>
      <c r="E39" s="718">
        <f>industrie!D22</f>
        <v>473.10656994479996</v>
      </c>
      <c r="F39" s="718">
        <f>industrie!E22</f>
        <v>30.716850629125467</v>
      </c>
      <c r="G39" s="718">
        <f>industrie!F22</f>
        <v>200.05646214106486</v>
      </c>
      <c r="H39" s="718">
        <f>industrie!G22</f>
        <v>0</v>
      </c>
      <c r="I39" s="718">
        <f>industrie!H22</f>
        <v>0</v>
      </c>
      <c r="J39" s="718">
        <f>industrie!I22</f>
        <v>0</v>
      </c>
      <c r="K39" s="718">
        <f>industrie!J22</f>
        <v>0.42579900176355306</v>
      </c>
      <c r="L39" s="718">
        <f>industrie!K22</f>
        <v>0</v>
      </c>
      <c r="M39" s="718">
        <f>industrie!L22</f>
        <v>0</v>
      </c>
      <c r="N39" s="718">
        <f>industrie!M22</f>
        <v>0</v>
      </c>
      <c r="O39" s="718">
        <f>industrie!N22</f>
        <v>0</v>
      </c>
      <c r="P39" s="718">
        <f>industrie!O22</f>
        <v>0</v>
      </c>
      <c r="Q39" s="828">
        <f>industrie!P22</f>
        <v>0</v>
      </c>
      <c r="R39" s="918">
        <f ca="1">SUM(C39:Q39)</f>
        <v>1531.2467998473307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5632.8537997323492</v>
      </c>
      <c r="D41" s="763">
        <f t="shared" ref="D41:R41" ca="1" si="4">SUM(D35:D40)</f>
        <v>0</v>
      </c>
      <c r="E41" s="763">
        <f t="shared" ca="1" si="4"/>
        <v>6467.74247589074</v>
      </c>
      <c r="F41" s="763">
        <f t="shared" si="4"/>
        <v>479.86373728824174</v>
      </c>
      <c r="G41" s="763">
        <f t="shared" ca="1" si="4"/>
        <v>12364.992600150343</v>
      </c>
      <c r="H41" s="763">
        <f t="shared" si="4"/>
        <v>0</v>
      </c>
      <c r="I41" s="763">
        <f t="shared" si="4"/>
        <v>0</v>
      </c>
      <c r="J41" s="763">
        <f t="shared" si="4"/>
        <v>0</v>
      </c>
      <c r="K41" s="763">
        <f t="shared" si="4"/>
        <v>0.43432944931840839</v>
      </c>
      <c r="L41" s="763">
        <f t="shared" si="4"/>
        <v>0</v>
      </c>
      <c r="M41" s="763">
        <f t="shared" ca="1" si="4"/>
        <v>0</v>
      </c>
      <c r="N41" s="763">
        <f t="shared" si="4"/>
        <v>0</v>
      </c>
      <c r="O41" s="763">
        <f t="shared" ca="1" si="4"/>
        <v>0</v>
      </c>
      <c r="P41" s="763">
        <f t="shared" si="4"/>
        <v>0</v>
      </c>
      <c r="Q41" s="764">
        <f t="shared" si="4"/>
        <v>0</v>
      </c>
      <c r="R41" s="765">
        <f t="shared" ca="1" si="4"/>
        <v>24945.886942510995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125.98781396391516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125.98781396391516</v>
      </c>
    </row>
    <row r="45" spans="1:18" ht="15" thickBot="1">
      <c r="A45" s="888" t="s">
        <v>307</v>
      </c>
      <c r="B45" s="898"/>
      <c r="C45" s="727">
        <f ca="1">transport!B18</f>
        <v>7.1336756770267096</v>
      </c>
      <c r="D45" s="727">
        <f>transport!C18</f>
        <v>0</v>
      </c>
      <c r="E45" s="727">
        <f>transport!D18</f>
        <v>26.621971776762233</v>
      </c>
      <c r="F45" s="727">
        <f>transport!E18</f>
        <v>45.773310572832436</v>
      </c>
      <c r="G45" s="727">
        <f>transport!F18</f>
        <v>0</v>
      </c>
      <c r="H45" s="727">
        <f>transport!G18</f>
        <v>19455.627307234819</v>
      </c>
      <c r="I45" s="727">
        <f>transport!H18</f>
        <v>3794.6957044086516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23329.851969670093</v>
      </c>
    </row>
    <row r="46" spans="1:18" ht="15.75" thickBot="1">
      <c r="A46" s="886" t="s">
        <v>230</v>
      </c>
      <c r="B46" s="899"/>
      <c r="C46" s="763">
        <f t="shared" ref="C46:R46" ca="1" si="5">SUM(C43:C45)</f>
        <v>7.1336756770267096</v>
      </c>
      <c r="D46" s="763">
        <f t="shared" ca="1" si="5"/>
        <v>0</v>
      </c>
      <c r="E46" s="763">
        <f t="shared" si="5"/>
        <v>26.621971776762233</v>
      </c>
      <c r="F46" s="763">
        <f t="shared" si="5"/>
        <v>45.773310572832436</v>
      </c>
      <c r="G46" s="763">
        <f t="shared" si="5"/>
        <v>0</v>
      </c>
      <c r="H46" s="763">
        <f t="shared" si="5"/>
        <v>19581.615121198734</v>
      </c>
      <c r="I46" s="763">
        <f t="shared" si="5"/>
        <v>3794.6957044086516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23455.839783634008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230.47722339089904</v>
      </c>
      <c r="D48" s="718">
        <f ca="1">+landbouw!C12</f>
        <v>0</v>
      </c>
      <c r="E48" s="718">
        <f>+landbouw!D12</f>
        <v>405.39734976619997</v>
      </c>
      <c r="F48" s="718">
        <f>+landbouw!E12</f>
        <v>8.1560991395264395</v>
      </c>
      <c r="G48" s="718">
        <f>+landbouw!F12</f>
        <v>1359.6803302139112</v>
      </c>
      <c r="H48" s="718">
        <f>+landbouw!G12</f>
        <v>0</v>
      </c>
      <c r="I48" s="718">
        <f>+landbouw!H12</f>
        <v>0</v>
      </c>
      <c r="J48" s="718">
        <f>+landbouw!I12</f>
        <v>0</v>
      </c>
      <c r="K48" s="718">
        <f>+landbouw!J12</f>
        <v>62.693021071334307</v>
      </c>
      <c r="L48" s="718">
        <f>+landbouw!K12</f>
        <v>0</v>
      </c>
      <c r="M48" s="718">
        <f>+landbouw!L12</f>
        <v>0</v>
      </c>
      <c r="N48" s="718">
        <f>+landbouw!M12</f>
        <v>0</v>
      </c>
      <c r="O48" s="718">
        <f>+landbouw!N12</f>
        <v>0</v>
      </c>
      <c r="P48" s="718">
        <f>+landbouw!O12</f>
        <v>0</v>
      </c>
      <c r="Q48" s="719">
        <f>+landbouw!P12</f>
        <v>0</v>
      </c>
      <c r="R48" s="761">
        <f ca="1">SUM(C48:Q48)</f>
        <v>2066.4040235818711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5870.4646988002751</v>
      </c>
      <c r="D53" s="773">
        <f t="shared" ref="D53:Q53" ca="1" si="6">D41+D46+D48</f>
        <v>0</v>
      </c>
      <c r="E53" s="773">
        <f t="shared" ca="1" si="6"/>
        <v>6899.7617974337027</v>
      </c>
      <c r="F53" s="773">
        <f t="shared" si="6"/>
        <v>533.79314700060058</v>
      </c>
      <c r="G53" s="773">
        <f t="shared" ca="1" si="6"/>
        <v>13724.672930364253</v>
      </c>
      <c r="H53" s="773">
        <f t="shared" si="6"/>
        <v>19581.615121198734</v>
      </c>
      <c r="I53" s="773">
        <f t="shared" si="6"/>
        <v>3794.6957044086516</v>
      </c>
      <c r="J53" s="773">
        <f t="shared" si="6"/>
        <v>0</v>
      </c>
      <c r="K53" s="773">
        <f t="shared" si="6"/>
        <v>63.127350520652719</v>
      </c>
      <c r="L53" s="773">
        <f t="shared" si="6"/>
        <v>0</v>
      </c>
      <c r="M53" s="773">
        <f t="shared" ca="1" si="6"/>
        <v>0</v>
      </c>
      <c r="N53" s="773">
        <f t="shared" si="6"/>
        <v>0</v>
      </c>
      <c r="O53" s="773">
        <f t="shared" ca="1" si="6"/>
        <v>0</v>
      </c>
      <c r="P53" s="773">
        <f>P41+P46+P48</f>
        <v>0</v>
      </c>
      <c r="Q53" s="774">
        <f t="shared" si="6"/>
        <v>0</v>
      </c>
      <c r="R53" s="775">
        <f ca="1">R41+R46+R48</f>
        <v>50468.130749726872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0.18854546548357703</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4572.3503439694814</v>
      </c>
      <c r="C66" s="795">
        <f>'lokale energieproductie'!B6</f>
        <v>4572.3503439694814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4572.3503439694814</v>
      </c>
      <c r="C69" s="803">
        <f>SUM(C64:C68)</f>
        <v>4572.3503439694814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16069.83538075618</v>
      </c>
      <c r="C4" s="478">
        <f>huishoudens!C8</f>
        <v>0</v>
      </c>
      <c r="D4" s="478">
        <f>huishoudens!D8</f>
        <v>21675.619330199999</v>
      </c>
      <c r="E4" s="478">
        <f>huishoudens!E8</f>
        <v>1775.9699309343803</v>
      </c>
      <c r="F4" s="478">
        <f>huishoudens!F8</f>
        <v>43903.945315309233</v>
      </c>
      <c r="G4" s="478">
        <f>huishoudens!G8</f>
        <v>0</v>
      </c>
      <c r="H4" s="478">
        <f>huishoudens!H8</f>
        <v>0</v>
      </c>
      <c r="I4" s="478">
        <f>huishoudens!I8</f>
        <v>0</v>
      </c>
      <c r="J4" s="478">
        <f>huishoudens!J8</f>
        <v>0</v>
      </c>
      <c r="K4" s="478">
        <f>huishoudens!K8</f>
        <v>0</v>
      </c>
      <c r="L4" s="478">
        <f>huishoudens!L8</f>
        <v>0</v>
      </c>
      <c r="M4" s="478">
        <f>huishoudens!M8</f>
        <v>0</v>
      </c>
      <c r="N4" s="478">
        <f>huishoudens!N8</f>
        <v>9835.1648089878145</v>
      </c>
      <c r="O4" s="478">
        <f>huishoudens!O8</f>
        <v>184.47333333333336</v>
      </c>
      <c r="P4" s="479">
        <f>huishoudens!P8</f>
        <v>419.4666666666667</v>
      </c>
      <c r="Q4" s="480">
        <f>SUM(B4:P4)</f>
        <v>93864.474766187588</v>
      </c>
    </row>
    <row r="5" spans="1:17">
      <c r="A5" s="477" t="s">
        <v>156</v>
      </c>
      <c r="B5" s="478">
        <f ca="1">tertiair!B16</f>
        <v>8859.5126629999995</v>
      </c>
      <c r="C5" s="478">
        <f ca="1">tertiair!C16</f>
        <v>0</v>
      </c>
      <c r="D5" s="478">
        <f ca="1">tertiair!D16</f>
        <v>8000.7960457700001</v>
      </c>
      <c r="E5" s="478">
        <f>tertiair!E16</f>
        <v>202.65071514102192</v>
      </c>
      <c r="F5" s="478">
        <f ca="1">tertiair!F16</f>
        <v>1657.6132540139017</v>
      </c>
      <c r="G5" s="478">
        <f>tertiair!G16</f>
        <v>0</v>
      </c>
      <c r="H5" s="478">
        <f>tertiair!H16</f>
        <v>0</v>
      </c>
      <c r="I5" s="478">
        <f>tertiair!I16</f>
        <v>0</v>
      </c>
      <c r="J5" s="478">
        <f>tertiair!J16</f>
        <v>2.4097309476992398E-2</v>
      </c>
      <c r="K5" s="478">
        <f>tertiair!K16</f>
        <v>0</v>
      </c>
      <c r="L5" s="478">
        <f ca="1">tertiair!L16</f>
        <v>0</v>
      </c>
      <c r="M5" s="478">
        <f>tertiair!M16</f>
        <v>0</v>
      </c>
      <c r="N5" s="478">
        <f ca="1">tertiair!N16</f>
        <v>958.01338475339469</v>
      </c>
      <c r="O5" s="478">
        <f>tertiair!O16</f>
        <v>1.5633333333333335</v>
      </c>
      <c r="P5" s="479">
        <f>tertiair!P16</f>
        <v>19.066666666666666</v>
      </c>
      <c r="Q5" s="477">
        <f t="shared" ref="Q5:Q13" ca="1" si="0">SUM(B5:P5)</f>
        <v>19699.240159987792</v>
      </c>
    </row>
    <row r="6" spans="1:17">
      <c r="A6" s="477" t="s">
        <v>194</v>
      </c>
      <c r="B6" s="478">
        <f>'openbare verlichting'!B8</f>
        <v>560.06200000000001</v>
      </c>
      <c r="C6" s="478"/>
      <c r="D6" s="478"/>
      <c r="E6" s="478"/>
      <c r="F6" s="478"/>
      <c r="G6" s="478"/>
      <c r="H6" s="478"/>
      <c r="I6" s="478"/>
      <c r="J6" s="478"/>
      <c r="K6" s="478"/>
      <c r="L6" s="478"/>
      <c r="M6" s="478"/>
      <c r="N6" s="478"/>
      <c r="O6" s="478"/>
      <c r="P6" s="479"/>
      <c r="Q6" s="477">
        <f t="shared" si="0"/>
        <v>560.06200000000001</v>
      </c>
    </row>
    <row r="7" spans="1:17">
      <c r="A7" s="477" t="s">
        <v>112</v>
      </c>
      <c r="B7" s="478">
        <f>landbouw!B8</f>
        <v>1222.3960030000001</v>
      </c>
      <c r="C7" s="478">
        <f>landbouw!C8</f>
        <v>0</v>
      </c>
      <c r="D7" s="478">
        <f>landbouw!D8</f>
        <v>2006.9175730999996</v>
      </c>
      <c r="E7" s="478">
        <f>landbouw!E8</f>
        <v>35.929952156504136</v>
      </c>
      <c r="F7" s="478">
        <f>landbouw!F8</f>
        <v>5092.4356936850609</v>
      </c>
      <c r="G7" s="478">
        <f>landbouw!G8</f>
        <v>0</v>
      </c>
      <c r="H7" s="478">
        <f>landbouw!H8</f>
        <v>0</v>
      </c>
      <c r="I7" s="478">
        <f>landbouw!I8</f>
        <v>0</v>
      </c>
      <c r="J7" s="478">
        <f>landbouw!J8</f>
        <v>177.09892958004042</v>
      </c>
      <c r="K7" s="478">
        <f>landbouw!K8</f>
        <v>0</v>
      </c>
      <c r="L7" s="478">
        <f>landbouw!L8</f>
        <v>0</v>
      </c>
      <c r="M7" s="478">
        <f>landbouw!M8</f>
        <v>0</v>
      </c>
      <c r="N7" s="478">
        <f>landbouw!N8</f>
        <v>0</v>
      </c>
      <c r="O7" s="478">
        <f>landbouw!O8</f>
        <v>0</v>
      </c>
      <c r="P7" s="479">
        <f>landbouw!P8</f>
        <v>0</v>
      </c>
      <c r="Q7" s="477">
        <f t="shared" si="0"/>
        <v>8534.7781515216047</v>
      </c>
    </row>
    <row r="8" spans="1:17">
      <c r="A8" s="477" t="s">
        <v>635</v>
      </c>
      <c r="B8" s="478">
        <f>industrie!B18</f>
        <v>4385.8976720000001</v>
      </c>
      <c r="C8" s="478">
        <f>industrie!C18</f>
        <v>0</v>
      </c>
      <c r="D8" s="478">
        <f>industrie!D18</f>
        <v>2342.1117323999997</v>
      </c>
      <c r="E8" s="478">
        <f>industrie!E18</f>
        <v>135.31652259526638</v>
      </c>
      <c r="F8" s="478">
        <f>industrie!F18</f>
        <v>749.27513910511175</v>
      </c>
      <c r="G8" s="478">
        <f>industrie!G18</f>
        <v>0</v>
      </c>
      <c r="H8" s="478">
        <f>industrie!H18</f>
        <v>0</v>
      </c>
      <c r="I8" s="478">
        <f>industrie!I18</f>
        <v>0</v>
      </c>
      <c r="J8" s="478">
        <f>industrie!J18</f>
        <v>1.2028220388800934</v>
      </c>
      <c r="K8" s="478">
        <f>industrie!K18</f>
        <v>0</v>
      </c>
      <c r="L8" s="478">
        <f>industrie!L18</f>
        <v>0</v>
      </c>
      <c r="M8" s="478">
        <f>industrie!M18</f>
        <v>0</v>
      </c>
      <c r="N8" s="478">
        <f>industrie!N18</f>
        <v>751.12087094834055</v>
      </c>
      <c r="O8" s="478">
        <f>industrie!O18</f>
        <v>0</v>
      </c>
      <c r="P8" s="479">
        <f>industrie!P18</f>
        <v>0</v>
      </c>
      <c r="Q8" s="477">
        <f t="shared" si="0"/>
        <v>8364.9247590875984</v>
      </c>
    </row>
    <row r="9" spans="1:17" s="483" customFormat="1">
      <c r="A9" s="481" t="s">
        <v>561</v>
      </c>
      <c r="B9" s="482">
        <f>transport!B14</f>
        <v>37.835307567490013</v>
      </c>
      <c r="C9" s="482"/>
      <c r="D9" s="482">
        <f>transport!D14</f>
        <v>131.79193948892194</v>
      </c>
      <c r="E9" s="482">
        <f>transport!E14</f>
        <v>201.64453996842482</v>
      </c>
      <c r="F9" s="482"/>
      <c r="G9" s="482">
        <f>transport!G14</f>
        <v>72867.518004624784</v>
      </c>
      <c r="H9" s="482">
        <f>transport!H14</f>
        <v>15239.741784773702</v>
      </c>
      <c r="I9" s="482"/>
      <c r="J9" s="482"/>
      <c r="K9" s="482"/>
      <c r="L9" s="482"/>
      <c r="M9" s="482">
        <f>transport!M14</f>
        <v>4709.643086406737</v>
      </c>
      <c r="N9" s="482"/>
      <c r="O9" s="482"/>
      <c r="P9" s="482"/>
      <c r="Q9" s="481">
        <f>SUM(B9:P9)</f>
        <v>93188.174662830061</v>
      </c>
    </row>
    <row r="10" spans="1:17">
      <c r="A10" s="477" t="s">
        <v>551</v>
      </c>
      <c r="B10" s="478">
        <f>transport!B54</f>
        <v>0</v>
      </c>
      <c r="C10" s="478"/>
      <c r="D10" s="478">
        <f>transport!D54</f>
        <v>0</v>
      </c>
      <c r="E10" s="478"/>
      <c r="F10" s="478"/>
      <c r="G10" s="478">
        <f>transport!G54</f>
        <v>471.86447177496314</v>
      </c>
      <c r="H10" s="478"/>
      <c r="I10" s="478"/>
      <c r="J10" s="478"/>
      <c r="K10" s="478"/>
      <c r="L10" s="478"/>
      <c r="M10" s="478">
        <f>transport!M54</f>
        <v>26.799818915064094</v>
      </c>
      <c r="N10" s="478"/>
      <c r="O10" s="478"/>
      <c r="P10" s="479"/>
      <c r="Q10" s="477">
        <f t="shared" si="0"/>
        <v>498.6642906900272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31135.539026323673</v>
      </c>
      <c r="C14" s="488">
        <f t="shared" ref="C14:Q14" ca="1" si="1">SUM(C4:C13)</f>
        <v>0</v>
      </c>
      <c r="D14" s="488">
        <f t="shared" ca="1" si="1"/>
        <v>34157.236620958924</v>
      </c>
      <c r="E14" s="488">
        <f t="shared" si="1"/>
        <v>2351.5116607955974</v>
      </c>
      <c r="F14" s="488">
        <f t="shared" ca="1" si="1"/>
        <v>51403.269402113307</v>
      </c>
      <c r="G14" s="488">
        <f t="shared" si="1"/>
        <v>73339.382476399755</v>
      </c>
      <c r="H14" s="488">
        <f t="shared" si="1"/>
        <v>15239.741784773702</v>
      </c>
      <c r="I14" s="488">
        <f t="shared" si="1"/>
        <v>0</v>
      </c>
      <c r="J14" s="488">
        <f t="shared" si="1"/>
        <v>178.32584892839751</v>
      </c>
      <c r="K14" s="488">
        <f t="shared" si="1"/>
        <v>0</v>
      </c>
      <c r="L14" s="488">
        <f t="shared" ca="1" si="1"/>
        <v>0</v>
      </c>
      <c r="M14" s="488">
        <f t="shared" si="1"/>
        <v>4736.4429053218009</v>
      </c>
      <c r="N14" s="488">
        <f t="shared" ca="1" si="1"/>
        <v>11544.299064689549</v>
      </c>
      <c r="O14" s="488">
        <f t="shared" si="1"/>
        <v>186.03666666666669</v>
      </c>
      <c r="P14" s="489">
        <f t="shared" si="1"/>
        <v>438.53333333333336</v>
      </c>
      <c r="Q14" s="489">
        <f t="shared" ca="1" si="1"/>
        <v>224710.31879030471</v>
      </c>
    </row>
    <row r="16" spans="1:17">
      <c r="A16" s="491" t="s">
        <v>556</v>
      </c>
      <c r="B16" s="841">
        <f ca="1">huishoudens!B10</f>
        <v>0.18854546548357703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3029.8945921091295</v>
      </c>
      <c r="C21" s="478">
        <f t="shared" ref="C21:C28" ca="1" si="3">C4*$C$16</f>
        <v>0</v>
      </c>
      <c r="D21" s="478">
        <f t="shared" ref="D21:D30" si="4">D4*$D$16</f>
        <v>4378.4751047004002</v>
      </c>
      <c r="E21" s="478">
        <f t="shared" ref="E21:E30" si="5">E4*$E$16</f>
        <v>403.14517432210431</v>
      </c>
      <c r="F21" s="478">
        <f t="shared" ref="F21:F28" si="6">F4*$F$16</f>
        <v>11722.353399187567</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19533.868270319203</v>
      </c>
    </row>
    <row r="22" spans="1:17">
      <c r="A22" s="477" t="s">
        <v>156</v>
      </c>
      <c r="B22" s="478">
        <f t="shared" ca="1" si="2"/>
        <v>1670.42093900298</v>
      </c>
      <c r="C22" s="478">
        <f t="shared" ca="1" si="3"/>
        <v>0</v>
      </c>
      <c r="D22" s="478">
        <f t="shared" ca="1" si="4"/>
        <v>1616.1608012455401</v>
      </c>
      <c r="E22" s="478">
        <f t="shared" si="5"/>
        <v>46.00171233701198</v>
      </c>
      <c r="F22" s="478">
        <f t="shared" ca="1" si="6"/>
        <v>442.58273882171176</v>
      </c>
      <c r="G22" s="478">
        <f t="shared" si="7"/>
        <v>0</v>
      </c>
      <c r="H22" s="478">
        <f t="shared" si="8"/>
        <v>0</v>
      </c>
      <c r="I22" s="478">
        <f t="shared" si="9"/>
        <v>0</v>
      </c>
      <c r="J22" s="478">
        <f t="shared" si="10"/>
        <v>8.5304475548553076E-3</v>
      </c>
      <c r="K22" s="478">
        <f t="shared" si="11"/>
        <v>0</v>
      </c>
      <c r="L22" s="478">
        <f t="shared" ca="1" si="12"/>
        <v>0</v>
      </c>
      <c r="M22" s="478">
        <f t="shared" si="13"/>
        <v>0</v>
      </c>
      <c r="N22" s="478">
        <f t="shared" ca="1" si="14"/>
        <v>0</v>
      </c>
      <c r="O22" s="478">
        <f t="shared" si="15"/>
        <v>0</v>
      </c>
      <c r="P22" s="479">
        <f t="shared" si="16"/>
        <v>0</v>
      </c>
      <c r="Q22" s="477">
        <f t="shared" ref="Q22:Q30" ca="1" si="17">SUM(B22:P22)</f>
        <v>3775.1747218547985</v>
      </c>
    </row>
    <row r="23" spans="1:17">
      <c r="A23" s="477" t="s">
        <v>194</v>
      </c>
      <c r="B23" s="478">
        <f t="shared" ca="1" si="2"/>
        <v>105.59715048966312</v>
      </c>
      <c r="C23" s="478"/>
      <c r="D23" s="478"/>
      <c r="E23" s="478"/>
      <c r="F23" s="478"/>
      <c r="G23" s="478"/>
      <c r="H23" s="478"/>
      <c r="I23" s="478"/>
      <c r="J23" s="478"/>
      <c r="K23" s="478"/>
      <c r="L23" s="478"/>
      <c r="M23" s="478"/>
      <c r="N23" s="478"/>
      <c r="O23" s="478"/>
      <c r="P23" s="479"/>
      <c r="Q23" s="477">
        <f t="shared" ca="1" si="17"/>
        <v>105.59715048966312</v>
      </c>
    </row>
    <row r="24" spans="1:17">
      <c r="A24" s="477" t="s">
        <v>112</v>
      </c>
      <c r="B24" s="478">
        <f t="shared" ca="1" si="2"/>
        <v>230.47722339089904</v>
      </c>
      <c r="C24" s="478">
        <f t="shared" ca="1" si="3"/>
        <v>0</v>
      </c>
      <c r="D24" s="478">
        <f t="shared" si="4"/>
        <v>405.39734976619997</v>
      </c>
      <c r="E24" s="478">
        <f t="shared" si="5"/>
        <v>8.1560991395264395</v>
      </c>
      <c r="F24" s="478">
        <f t="shared" si="6"/>
        <v>1359.6803302139112</v>
      </c>
      <c r="G24" s="478">
        <f t="shared" si="7"/>
        <v>0</v>
      </c>
      <c r="H24" s="478">
        <f t="shared" si="8"/>
        <v>0</v>
      </c>
      <c r="I24" s="478">
        <f t="shared" si="9"/>
        <v>0</v>
      </c>
      <c r="J24" s="478">
        <f t="shared" si="10"/>
        <v>62.693021071334307</v>
      </c>
      <c r="K24" s="478">
        <f t="shared" si="11"/>
        <v>0</v>
      </c>
      <c r="L24" s="478">
        <f t="shared" si="12"/>
        <v>0</v>
      </c>
      <c r="M24" s="478">
        <f t="shared" si="13"/>
        <v>0</v>
      </c>
      <c r="N24" s="478">
        <f t="shared" si="14"/>
        <v>0</v>
      </c>
      <c r="O24" s="478">
        <f t="shared" si="15"/>
        <v>0</v>
      </c>
      <c r="P24" s="479">
        <f t="shared" si="16"/>
        <v>0</v>
      </c>
      <c r="Q24" s="477">
        <f t="shared" ca="1" si="17"/>
        <v>2066.4040235818711</v>
      </c>
    </row>
    <row r="25" spans="1:17">
      <c r="A25" s="477" t="s">
        <v>635</v>
      </c>
      <c r="B25" s="478">
        <f t="shared" ca="1" si="2"/>
        <v>826.94111813057691</v>
      </c>
      <c r="C25" s="478">
        <f t="shared" ca="1" si="3"/>
        <v>0</v>
      </c>
      <c r="D25" s="478">
        <f t="shared" si="4"/>
        <v>473.10656994479996</v>
      </c>
      <c r="E25" s="478">
        <f t="shared" si="5"/>
        <v>30.716850629125467</v>
      </c>
      <c r="F25" s="478">
        <f t="shared" si="6"/>
        <v>200.05646214106486</v>
      </c>
      <c r="G25" s="478">
        <f t="shared" si="7"/>
        <v>0</v>
      </c>
      <c r="H25" s="478">
        <f t="shared" si="8"/>
        <v>0</v>
      </c>
      <c r="I25" s="478">
        <f t="shared" si="9"/>
        <v>0</v>
      </c>
      <c r="J25" s="478">
        <f t="shared" si="10"/>
        <v>0.42579900176355306</v>
      </c>
      <c r="K25" s="478">
        <f t="shared" si="11"/>
        <v>0</v>
      </c>
      <c r="L25" s="478">
        <f t="shared" si="12"/>
        <v>0</v>
      </c>
      <c r="M25" s="478">
        <f t="shared" si="13"/>
        <v>0</v>
      </c>
      <c r="N25" s="478">
        <f t="shared" si="14"/>
        <v>0</v>
      </c>
      <c r="O25" s="478">
        <f t="shared" si="15"/>
        <v>0</v>
      </c>
      <c r="P25" s="479">
        <f t="shared" si="16"/>
        <v>0</v>
      </c>
      <c r="Q25" s="477">
        <f t="shared" ca="1" si="17"/>
        <v>1531.2467998473307</v>
      </c>
    </row>
    <row r="26" spans="1:17" s="483" customFormat="1">
      <c r="A26" s="481" t="s">
        <v>561</v>
      </c>
      <c r="B26" s="835">
        <f t="shared" ca="1" si="2"/>
        <v>7.1336756770267096</v>
      </c>
      <c r="C26" s="482"/>
      <c r="D26" s="482">
        <f t="shared" si="4"/>
        <v>26.621971776762233</v>
      </c>
      <c r="E26" s="482">
        <f t="shared" si="5"/>
        <v>45.773310572832436</v>
      </c>
      <c r="F26" s="482"/>
      <c r="G26" s="482">
        <f t="shared" si="7"/>
        <v>19455.627307234819</v>
      </c>
      <c r="H26" s="482">
        <f t="shared" si="8"/>
        <v>3794.6957044086516</v>
      </c>
      <c r="I26" s="482"/>
      <c r="J26" s="482"/>
      <c r="K26" s="482"/>
      <c r="L26" s="482"/>
      <c r="M26" s="482">
        <f t="shared" si="13"/>
        <v>0</v>
      </c>
      <c r="N26" s="482"/>
      <c r="O26" s="482"/>
      <c r="P26" s="493"/>
      <c r="Q26" s="481">
        <f t="shared" ca="1" si="17"/>
        <v>23329.851969670093</v>
      </c>
    </row>
    <row r="27" spans="1:17">
      <c r="A27" s="477" t="s">
        <v>551</v>
      </c>
      <c r="B27" s="478">
        <f t="shared" ca="1" si="2"/>
        <v>0</v>
      </c>
      <c r="C27" s="478"/>
      <c r="D27" s="482">
        <f t="shared" si="4"/>
        <v>0</v>
      </c>
      <c r="E27" s="478"/>
      <c r="F27" s="478"/>
      <c r="G27" s="478">
        <f t="shared" si="7"/>
        <v>125.98781396391516</v>
      </c>
      <c r="H27" s="478"/>
      <c r="I27" s="478"/>
      <c r="J27" s="478"/>
      <c r="K27" s="478"/>
      <c r="L27" s="478"/>
      <c r="M27" s="478">
        <f t="shared" si="13"/>
        <v>0</v>
      </c>
      <c r="N27" s="478"/>
      <c r="O27" s="478"/>
      <c r="P27" s="479"/>
      <c r="Q27" s="477">
        <f t="shared" ca="1" si="17"/>
        <v>125.98781396391516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5870.464698800276</v>
      </c>
      <c r="C31" s="488">
        <f t="shared" ca="1" si="18"/>
        <v>0</v>
      </c>
      <c r="D31" s="488">
        <f t="shared" ca="1" si="18"/>
        <v>6899.7617974337027</v>
      </c>
      <c r="E31" s="488">
        <f t="shared" si="18"/>
        <v>533.79314700060058</v>
      </c>
      <c r="F31" s="488">
        <f t="shared" ca="1" si="18"/>
        <v>13724.672930364253</v>
      </c>
      <c r="G31" s="488">
        <f t="shared" si="18"/>
        <v>19581.615121198734</v>
      </c>
      <c r="H31" s="488">
        <f t="shared" si="18"/>
        <v>3794.6957044086516</v>
      </c>
      <c r="I31" s="488">
        <f t="shared" si="18"/>
        <v>0</v>
      </c>
      <c r="J31" s="488">
        <f t="shared" si="18"/>
        <v>63.127350520652712</v>
      </c>
      <c r="K31" s="488">
        <f t="shared" si="18"/>
        <v>0</v>
      </c>
      <c r="L31" s="488">
        <f t="shared" ca="1" si="18"/>
        <v>0</v>
      </c>
      <c r="M31" s="488">
        <f t="shared" si="18"/>
        <v>0</v>
      </c>
      <c r="N31" s="488">
        <f t="shared" ca="1" si="18"/>
        <v>0</v>
      </c>
      <c r="O31" s="488">
        <f t="shared" si="18"/>
        <v>0</v>
      </c>
      <c r="P31" s="489">
        <f t="shared" si="18"/>
        <v>0</v>
      </c>
      <c r="Q31" s="489">
        <f t="shared" ca="1" si="18"/>
        <v>50468.130749726872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0.18854546548357703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0.18854546548357703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0.18854546548357703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73032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3916</v>
      </c>
      <c r="C9" s="342">
        <v>4041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1664.26</v>
      </c>
    </row>
    <row r="15" spans="1:6">
      <c r="A15" s="348" t="s">
        <v>184</v>
      </c>
      <c r="B15" s="334">
        <v>4</v>
      </c>
    </row>
    <row r="16" spans="1:6">
      <c r="A16" s="348" t="s">
        <v>6</v>
      </c>
      <c r="B16" s="334">
        <v>78</v>
      </c>
    </row>
    <row r="17" spans="1:6">
      <c r="A17" s="348" t="s">
        <v>7</v>
      </c>
      <c r="B17" s="334">
        <v>217</v>
      </c>
    </row>
    <row r="18" spans="1:6">
      <c r="A18" s="348" t="s">
        <v>8</v>
      </c>
      <c r="B18" s="334">
        <v>188</v>
      </c>
    </row>
    <row r="19" spans="1:6">
      <c r="A19" s="348" t="s">
        <v>9</v>
      </c>
      <c r="B19" s="334">
        <v>211</v>
      </c>
    </row>
    <row r="20" spans="1:6">
      <c r="A20" s="348" t="s">
        <v>10</v>
      </c>
      <c r="B20" s="334">
        <v>212</v>
      </c>
    </row>
    <row r="21" spans="1:6">
      <c r="A21" s="348" t="s">
        <v>11</v>
      </c>
      <c r="B21" s="334">
        <v>1399</v>
      </c>
    </row>
    <row r="22" spans="1:6">
      <c r="A22" s="348" t="s">
        <v>12</v>
      </c>
      <c r="B22" s="334">
        <v>6996</v>
      </c>
    </row>
    <row r="23" spans="1:6">
      <c r="A23" s="348" t="s">
        <v>13</v>
      </c>
      <c r="B23" s="334">
        <v>78</v>
      </c>
    </row>
    <row r="24" spans="1:6">
      <c r="A24" s="348" t="s">
        <v>14</v>
      </c>
      <c r="B24" s="334">
        <v>5</v>
      </c>
    </row>
    <row r="25" spans="1:6">
      <c r="A25" s="348" t="s">
        <v>15</v>
      </c>
      <c r="B25" s="334">
        <v>533</v>
      </c>
    </row>
    <row r="26" spans="1:6">
      <c r="A26" s="348" t="s">
        <v>16</v>
      </c>
      <c r="B26" s="334">
        <v>93</v>
      </c>
    </row>
    <row r="27" spans="1:6">
      <c r="A27" s="348" t="s">
        <v>17</v>
      </c>
      <c r="B27" s="334">
        <v>16</v>
      </c>
    </row>
    <row r="28" spans="1:6" s="356" customFormat="1">
      <c r="A28" s="355" t="s">
        <v>18</v>
      </c>
      <c r="B28" s="355">
        <v>0</v>
      </c>
    </row>
    <row r="29" spans="1:6">
      <c r="A29" s="355" t="s">
        <v>744</v>
      </c>
      <c r="B29" s="355">
        <v>38</v>
      </c>
      <c r="C29" s="356"/>
      <c r="D29" s="356"/>
      <c r="E29" s="356"/>
      <c r="F29" s="356"/>
    </row>
    <row r="30" spans="1:6">
      <c r="A30" s="341" t="s">
        <v>745</v>
      </c>
      <c r="B30" s="341">
        <v>38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19171</v>
      </c>
    </row>
    <row r="39" spans="1:6">
      <c r="A39" s="348" t="s">
        <v>30</v>
      </c>
      <c r="B39" s="348" t="s">
        <v>31</v>
      </c>
      <c r="C39" s="334">
        <v>1583</v>
      </c>
      <c r="D39" s="334">
        <v>24030620.100000001</v>
      </c>
      <c r="E39" s="334">
        <v>3880</v>
      </c>
      <c r="F39" s="334">
        <v>12729635.449999999</v>
      </c>
    </row>
    <row r="40" spans="1:6">
      <c r="A40" s="348" t="s">
        <v>30</v>
      </c>
      <c r="B40" s="348" t="s">
        <v>29</v>
      </c>
      <c r="C40" s="334">
        <v>0</v>
      </c>
      <c r="D40" s="334">
        <v>0</v>
      </c>
      <c r="E40" s="334">
        <v>1</v>
      </c>
      <c r="F40" s="334">
        <v>15030</v>
      </c>
    </row>
    <row r="41" spans="1:6">
      <c r="A41" s="348" t="s">
        <v>32</v>
      </c>
      <c r="B41" s="348" t="s">
        <v>33</v>
      </c>
      <c r="C41" s="334">
        <v>18</v>
      </c>
      <c r="D41" s="334">
        <v>445958.2</v>
      </c>
      <c r="E41" s="334">
        <v>60</v>
      </c>
      <c r="F41" s="334">
        <v>349717.67200000002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680669</v>
      </c>
      <c r="E44" s="334">
        <v>19</v>
      </c>
      <c r="F44" s="334">
        <v>751800</v>
      </c>
    </row>
    <row r="45" spans="1:6">
      <c r="A45" s="348" t="s">
        <v>32</v>
      </c>
      <c r="B45" s="348" t="s">
        <v>37</v>
      </c>
      <c r="C45" s="334">
        <v>4</v>
      </c>
      <c r="D45" s="334">
        <v>953864</v>
      </c>
      <c r="E45" s="334">
        <v>7</v>
      </c>
      <c r="F45" s="334">
        <v>679164</v>
      </c>
    </row>
    <row r="46" spans="1:6">
      <c r="A46" s="348" t="s">
        <v>32</v>
      </c>
      <c r="B46" s="348" t="s">
        <v>38</v>
      </c>
      <c r="C46" s="334">
        <v>0</v>
      </c>
      <c r="D46" s="334">
        <v>0</v>
      </c>
      <c r="E46" s="334">
        <v>0</v>
      </c>
      <c r="F46" s="334">
        <v>0</v>
      </c>
    </row>
    <row r="47" spans="1:6">
      <c r="A47" s="348" t="s">
        <v>32</v>
      </c>
      <c r="B47" s="348" t="s">
        <v>39</v>
      </c>
      <c r="C47" s="334">
        <v>0</v>
      </c>
      <c r="D47" s="334">
        <v>0</v>
      </c>
      <c r="E47" s="334">
        <v>4</v>
      </c>
      <c r="F47" s="334">
        <v>103359</v>
      </c>
    </row>
    <row r="48" spans="1:6">
      <c r="A48" s="348" t="s">
        <v>32</v>
      </c>
      <c r="B48" s="348" t="s">
        <v>29</v>
      </c>
      <c r="C48" s="334">
        <v>2</v>
      </c>
      <c r="D48" s="334">
        <v>149037</v>
      </c>
      <c r="E48" s="334">
        <v>4</v>
      </c>
      <c r="F48" s="334">
        <v>19767</v>
      </c>
    </row>
    <row r="49" spans="1:6">
      <c r="A49" s="348" t="s">
        <v>32</v>
      </c>
      <c r="B49" s="348" t="s">
        <v>40</v>
      </c>
      <c r="C49" s="334">
        <v>0</v>
      </c>
      <c r="D49" s="334">
        <v>0</v>
      </c>
      <c r="E49" s="334">
        <v>0</v>
      </c>
      <c r="F49" s="334">
        <v>0</v>
      </c>
    </row>
    <row r="50" spans="1:6">
      <c r="A50" s="348" t="s">
        <v>32</v>
      </c>
      <c r="B50" s="348" t="s">
        <v>41</v>
      </c>
      <c r="C50" s="334">
        <v>6</v>
      </c>
      <c r="D50" s="334">
        <v>367048</v>
      </c>
      <c r="E50" s="334">
        <v>15</v>
      </c>
      <c r="F50" s="334">
        <v>2482090</v>
      </c>
    </row>
    <row r="51" spans="1:6">
      <c r="A51" s="348" t="s">
        <v>42</v>
      </c>
      <c r="B51" s="348" t="s">
        <v>43</v>
      </c>
      <c r="C51" s="334">
        <v>14</v>
      </c>
      <c r="D51" s="334">
        <v>595084</v>
      </c>
      <c r="E51" s="334">
        <v>74</v>
      </c>
      <c r="F51" s="334">
        <v>1222396.003</v>
      </c>
    </row>
    <row r="52" spans="1:6">
      <c r="A52" s="348" t="s">
        <v>42</v>
      </c>
      <c r="B52" s="348" t="s">
        <v>29</v>
      </c>
      <c r="C52" s="334">
        <v>0</v>
      </c>
      <c r="D52" s="334">
        <v>0</v>
      </c>
      <c r="E52" s="334">
        <v>0</v>
      </c>
      <c r="F52" s="334">
        <v>0</v>
      </c>
    </row>
    <row r="53" spans="1:6">
      <c r="A53" s="348" t="s">
        <v>44</v>
      </c>
      <c r="B53" s="348" t="s">
        <v>45</v>
      </c>
      <c r="C53" s="334">
        <v>33</v>
      </c>
      <c r="D53" s="334">
        <v>1629880.05</v>
      </c>
      <c r="E53" s="334">
        <v>93</v>
      </c>
      <c r="F53" s="334">
        <v>413227.6</v>
      </c>
    </row>
    <row r="54" spans="1:6">
      <c r="A54" s="348" t="s">
        <v>46</v>
      </c>
      <c r="B54" s="348" t="s">
        <v>47</v>
      </c>
      <c r="C54" s="334">
        <v>0</v>
      </c>
      <c r="D54" s="334">
        <v>0</v>
      </c>
      <c r="E54" s="334">
        <v>3</v>
      </c>
      <c r="F54" s="334">
        <v>560062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542755</v>
      </c>
      <c r="E57" s="334">
        <v>87</v>
      </c>
      <c r="F57" s="334">
        <v>1110164.0349999999</v>
      </c>
    </row>
    <row r="58" spans="1:6">
      <c r="A58" s="348" t="s">
        <v>49</v>
      </c>
      <c r="B58" s="348" t="s">
        <v>51</v>
      </c>
      <c r="C58" s="334">
        <v>10</v>
      </c>
      <c r="D58" s="334">
        <v>459868</v>
      </c>
      <c r="E58" s="334">
        <v>19</v>
      </c>
      <c r="F58" s="334">
        <v>406871</v>
      </c>
    </row>
    <row r="59" spans="1:6">
      <c r="A59" s="348" t="s">
        <v>49</v>
      </c>
      <c r="B59" s="348" t="s">
        <v>52</v>
      </c>
      <c r="C59" s="334">
        <v>50</v>
      </c>
      <c r="D59" s="334">
        <v>5063359.335</v>
      </c>
      <c r="E59" s="334">
        <v>112</v>
      </c>
      <c r="F59" s="334">
        <v>5160308.3779999996</v>
      </c>
    </row>
    <row r="60" spans="1:6">
      <c r="A60" s="348" t="s">
        <v>49</v>
      </c>
      <c r="B60" s="348" t="s">
        <v>53</v>
      </c>
      <c r="C60" s="334">
        <v>25</v>
      </c>
      <c r="D60" s="334">
        <v>819859</v>
      </c>
      <c r="E60" s="334">
        <v>45</v>
      </c>
      <c r="F60" s="334">
        <v>813830</v>
      </c>
    </row>
    <row r="61" spans="1:6">
      <c r="A61" s="348" t="s">
        <v>49</v>
      </c>
      <c r="B61" s="348" t="s">
        <v>54</v>
      </c>
      <c r="C61" s="334">
        <v>59</v>
      </c>
      <c r="D61" s="334">
        <v>1750112.8</v>
      </c>
      <c r="E61" s="334">
        <v>133</v>
      </c>
      <c r="F61" s="334">
        <v>1204189.25</v>
      </c>
    </row>
    <row r="62" spans="1:6">
      <c r="A62" s="348" t="s">
        <v>49</v>
      </c>
      <c r="B62" s="348" t="s">
        <v>55</v>
      </c>
      <c r="C62" s="334">
        <v>7</v>
      </c>
      <c r="D62" s="334">
        <v>234108</v>
      </c>
      <c r="E62" s="334">
        <v>13</v>
      </c>
      <c r="F62" s="334">
        <v>164150</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70769</v>
      </c>
      <c r="E65" s="334">
        <v>0</v>
      </c>
      <c r="F65" s="334">
        <v>0</v>
      </c>
    </row>
    <row r="66" spans="1:6">
      <c r="A66" s="348" t="s">
        <v>56</v>
      </c>
      <c r="B66" s="348" t="s">
        <v>58</v>
      </c>
      <c r="C66" s="334">
        <v>0</v>
      </c>
      <c r="D66" s="334">
        <v>0</v>
      </c>
      <c r="E66" s="334">
        <v>9</v>
      </c>
      <c r="F66" s="334">
        <v>406036</v>
      </c>
    </row>
    <row r="67" spans="1:6">
      <c r="A67" s="355" t="s">
        <v>56</v>
      </c>
      <c r="B67" s="355" t="s">
        <v>59</v>
      </c>
      <c r="C67" s="334">
        <v>0</v>
      </c>
      <c r="D67" s="334">
        <v>0</v>
      </c>
      <c r="E67" s="334">
        <v>0</v>
      </c>
      <c r="F67" s="334">
        <v>0</v>
      </c>
    </row>
    <row r="68" spans="1:6">
      <c r="A68" s="341" t="s">
        <v>56</v>
      </c>
      <c r="B68" s="341" t="s">
        <v>60</v>
      </c>
      <c r="C68" s="334">
        <v>0</v>
      </c>
      <c r="D68" s="334">
        <v>0</v>
      </c>
      <c r="E68" s="334">
        <v>8</v>
      </c>
      <c r="F68" s="334">
        <v>79373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19246668</v>
      </c>
      <c r="E73" s="476">
        <v>18650354.536412165</v>
      </c>
    </row>
    <row r="74" spans="1:6">
      <c r="A74" s="348" t="s">
        <v>64</v>
      </c>
      <c r="B74" s="348" t="s">
        <v>657</v>
      </c>
      <c r="C74" s="1272" t="s">
        <v>659</v>
      </c>
      <c r="D74" s="476">
        <v>274365.9551552101</v>
      </c>
      <c r="E74" s="476">
        <v>260891.81507532106</v>
      </c>
    </row>
    <row r="75" spans="1:6">
      <c r="A75" s="348" t="s">
        <v>65</v>
      </c>
      <c r="B75" s="348" t="s">
        <v>656</v>
      </c>
      <c r="C75" s="1272" t="s">
        <v>660</v>
      </c>
      <c r="D75" s="476">
        <v>16357626</v>
      </c>
      <c r="E75" s="476">
        <v>17038028.565752774</v>
      </c>
    </row>
    <row r="76" spans="1:6">
      <c r="A76" s="348" t="s">
        <v>65</v>
      </c>
      <c r="B76" s="348" t="s">
        <v>657</v>
      </c>
      <c r="C76" s="1272" t="s">
        <v>661</v>
      </c>
      <c r="D76" s="476">
        <v>13537.955155210118</v>
      </c>
      <c r="E76" s="476">
        <v>15831.076615666811</v>
      </c>
    </row>
    <row r="77" spans="1:6">
      <c r="A77" s="348" t="s">
        <v>66</v>
      </c>
      <c r="B77" s="348" t="s">
        <v>656</v>
      </c>
      <c r="C77" s="1272" t="s">
        <v>662</v>
      </c>
      <c r="D77" s="476">
        <v>60570055</v>
      </c>
      <c r="E77" s="476">
        <v>63024722.006048411</v>
      </c>
    </row>
    <row r="78" spans="1:6">
      <c r="A78" s="341" t="s">
        <v>66</v>
      </c>
      <c r="B78" s="341" t="s">
        <v>657</v>
      </c>
      <c r="C78" s="341" t="s">
        <v>663</v>
      </c>
      <c r="D78" s="1273">
        <v>9783036</v>
      </c>
      <c r="E78" s="1273">
        <v>9567291.3368578814</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135246.08968957976</v>
      </c>
      <c r="C83" s="476">
        <v>138295.743710576</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3325.1699307561807</v>
      </c>
    </row>
    <row r="92" spans="1:6">
      <c r="A92" s="341" t="s">
        <v>69</v>
      </c>
      <c r="B92" s="342">
        <v>1247.1804132133009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314</v>
      </c>
    </row>
    <row r="98" spans="1:6">
      <c r="A98" s="348" t="s">
        <v>72</v>
      </c>
      <c r="B98" s="334">
        <v>1</v>
      </c>
    </row>
    <row r="99" spans="1:6">
      <c r="A99" s="348" t="s">
        <v>73</v>
      </c>
      <c r="B99" s="334">
        <v>24</v>
      </c>
    </row>
    <row r="100" spans="1:6">
      <c r="A100" s="348" t="s">
        <v>74</v>
      </c>
      <c r="B100" s="334">
        <v>113</v>
      </c>
    </row>
    <row r="101" spans="1:6">
      <c r="A101" s="348" t="s">
        <v>75</v>
      </c>
      <c r="B101" s="334">
        <v>39</v>
      </c>
    </row>
    <row r="102" spans="1:6">
      <c r="A102" s="348" t="s">
        <v>76</v>
      </c>
      <c r="B102" s="334">
        <v>41</v>
      </c>
    </row>
    <row r="103" spans="1:6">
      <c r="A103" s="348" t="s">
        <v>77</v>
      </c>
      <c r="B103" s="334">
        <v>91</v>
      </c>
    </row>
    <row r="104" spans="1:6">
      <c r="A104" s="348" t="s">
        <v>78</v>
      </c>
      <c r="B104" s="334">
        <v>2838</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97</v>
      </c>
    </row>
    <row r="130" spans="1:6">
      <c r="A130" s="348" t="s">
        <v>295</v>
      </c>
      <c r="B130" s="334">
        <v>1</v>
      </c>
    </row>
    <row r="131" spans="1:6">
      <c r="A131" s="348" t="s">
        <v>296</v>
      </c>
      <c r="B131" s="334">
        <v>1</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31135.53902632367</v>
      </c>
      <c r="C3" s="43" t="s">
        <v>170</v>
      </c>
      <c r="D3" s="43"/>
      <c r="E3" s="154"/>
      <c r="F3" s="43"/>
      <c r="G3" s="43"/>
      <c r="H3" s="43"/>
      <c r="I3" s="43"/>
      <c r="J3" s="43"/>
      <c r="K3" s="96"/>
    </row>
    <row r="4" spans="1:11">
      <c r="A4" s="383" t="s">
        <v>171</v>
      </c>
      <c r="B4" s="49">
        <f>IF(ISERROR('SEAP template'!B69),0,'SEAP template'!B69)</f>
        <v>4572.3503439694814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0.18854546548357703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560.06200000000001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560.06200000000001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0.18854546548357703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105.59715048966312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12744.665449999999</v>
      </c>
      <c r="C5" s="17">
        <f>IF(ISERROR('Eigen informatie GS &amp; warmtenet'!B57),0,'Eigen informatie GS &amp; warmtenet'!B57)</f>
        <v>0</v>
      </c>
      <c r="D5" s="30">
        <f>(SUM(HH_hh_gas_kWh,HH_rest_gas_kWh)/1000)*0.902</f>
        <v>21675.619330199999</v>
      </c>
      <c r="E5" s="17">
        <f>B46*B57</f>
        <v>1775.9699309343803</v>
      </c>
      <c r="F5" s="17">
        <f>B51*B62</f>
        <v>43903.945315309233</v>
      </c>
      <c r="G5" s="18"/>
      <c r="H5" s="17"/>
      <c r="I5" s="17"/>
      <c r="J5" s="17">
        <f>B50*B61+C50*C61</f>
        <v>0</v>
      </c>
      <c r="K5" s="17"/>
      <c r="L5" s="17"/>
      <c r="M5" s="17"/>
      <c r="N5" s="17">
        <f>B48*B59+C48*C59</f>
        <v>9835.1648089878145</v>
      </c>
      <c r="O5" s="17">
        <f>B69*B70*B71</f>
        <v>184.47333333333336</v>
      </c>
      <c r="P5" s="17">
        <f>B77*B78*B79/1000-B77*B78*B79/1000/B80</f>
        <v>419.4666666666667</v>
      </c>
    </row>
    <row r="6" spans="1:16">
      <c r="A6" s="16" t="s">
        <v>621</v>
      </c>
      <c r="B6" s="843">
        <f>kWh_PV_kleiner_dan_10kW</f>
        <v>3325.1699307561807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16069.83538075618</v>
      </c>
      <c r="C8" s="21">
        <f>C5</f>
        <v>0</v>
      </c>
      <c r="D8" s="21">
        <f>D5</f>
        <v>21675.619330199999</v>
      </c>
      <c r="E8" s="21">
        <f>E5</f>
        <v>1775.9699309343803</v>
      </c>
      <c r="F8" s="21">
        <f>F5</f>
        <v>43903.945315309233</v>
      </c>
      <c r="G8" s="21"/>
      <c r="H8" s="21"/>
      <c r="I8" s="21"/>
      <c r="J8" s="21">
        <f>J5</f>
        <v>0</v>
      </c>
      <c r="K8" s="21"/>
      <c r="L8" s="21">
        <f>L5</f>
        <v>0</v>
      </c>
      <c r="M8" s="21">
        <f>M5</f>
        <v>0</v>
      </c>
      <c r="N8" s="21">
        <f>N5</f>
        <v>9835.1648089878145</v>
      </c>
      <c r="O8" s="21">
        <f>O5</f>
        <v>184.47333333333336</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0.18854546548357703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3029.8945921091295</v>
      </c>
      <c r="C12" s="23">
        <f ca="1">C10*C8</f>
        <v>0</v>
      </c>
      <c r="D12" s="23">
        <f>D8*D10</f>
        <v>4378.4751047004002</v>
      </c>
      <c r="E12" s="23">
        <f>E10*E8</f>
        <v>403.14517432210431</v>
      </c>
      <c r="F12" s="23">
        <f>F10*F8</f>
        <v>11722.353399187567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v>
      </c>
      <c r="C18" s="166" t="s">
        <v>111</v>
      </c>
      <c r="D18" s="228"/>
      <c r="E18" s="15"/>
    </row>
    <row r="19" spans="1:7">
      <c r="A19" s="171" t="s">
        <v>72</v>
      </c>
      <c r="B19" s="37">
        <f>aantalw2001_ander</f>
        <v>1</v>
      </c>
      <c r="C19" s="166" t="s">
        <v>111</v>
      </c>
      <c r="D19" s="229"/>
      <c r="E19" s="15"/>
    </row>
    <row r="20" spans="1:7">
      <c r="A20" s="171" t="s">
        <v>73</v>
      </c>
      <c r="B20" s="37">
        <f>aantalw2001_propaan</f>
        <v>24</v>
      </c>
      <c r="C20" s="167">
        <f>IF(ISERROR(B20/SUM($B$20,$B$21,$B$22)*100),0,B20/SUM($B$20,$B$21,$B$22)*100)</f>
        <v>13.636363636363635</v>
      </c>
      <c r="D20" s="229"/>
      <c r="E20" s="15"/>
    </row>
    <row r="21" spans="1:7">
      <c r="A21" s="171" t="s">
        <v>74</v>
      </c>
      <c r="B21" s="37">
        <f>aantalw2001_elektriciteit</f>
        <v>113</v>
      </c>
      <c r="C21" s="167">
        <f>IF(ISERROR(B21/SUM($B$20,$B$21,$B$22)*100),0,B21/SUM($B$20,$B$21,$B$22)*100)</f>
        <v>64.204545454545453</v>
      </c>
      <c r="D21" s="229"/>
      <c r="E21" s="15"/>
    </row>
    <row r="22" spans="1:7">
      <c r="A22" s="171" t="s">
        <v>75</v>
      </c>
      <c r="B22" s="37">
        <f>aantalw2001_hout</f>
        <v>39</v>
      </c>
      <c r="C22" s="167">
        <f>IF(ISERROR(B22/SUM($B$20,$B$21,$B$22)*100),0,B22/SUM($B$20,$B$21,$B$22)*100)</f>
        <v>22.15909090909091</v>
      </c>
      <c r="D22" s="229"/>
      <c r="E22" s="15"/>
    </row>
    <row r="23" spans="1:7">
      <c r="A23" s="171" t="s">
        <v>76</v>
      </c>
      <c r="B23" s="37">
        <f>aantalw2001_niet_gespec</f>
        <v>41</v>
      </c>
      <c r="C23" s="166" t="s">
        <v>111</v>
      </c>
      <c r="D23" s="228"/>
      <c r="E23" s="15"/>
    </row>
    <row r="24" spans="1:7">
      <c r="A24" s="171" t="s">
        <v>77</v>
      </c>
      <c r="B24" s="37">
        <f>aantalw2001_steenkool</f>
        <v>91</v>
      </c>
      <c r="C24" s="166" t="s">
        <v>111</v>
      </c>
      <c r="D24" s="229"/>
      <c r="E24" s="15"/>
    </row>
    <row r="25" spans="1:7">
      <c r="A25" s="171" t="s">
        <v>78</v>
      </c>
      <c r="B25" s="37">
        <f>aantalw2001_stookolie</f>
        <v>2838</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794</v>
      </c>
      <c r="B28" s="37">
        <f>aantalHuishoudens2011</f>
        <v>3916</v>
      </c>
      <c r="C28" s="36"/>
      <c r="D28" s="228"/>
    </row>
    <row r="29" spans="1:7" s="15" customFormat="1">
      <c r="A29" s="230" t="s">
        <v>795</v>
      </c>
      <c r="B29" s="37">
        <f>SUM(HH_hh_gas_aantal,HH_rest_gas_aantal)</f>
        <v>1583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1583</v>
      </c>
      <c r="C32" s="167">
        <f>IF(ISERROR(B32/SUM($B$32,$B$34,$B$35,$B$36,$B$38,$B$39)*100),0,B32/SUM($B$32,$B$34,$B$35,$B$36,$B$38,$B$39)*100)</f>
        <v>40.652285567539806</v>
      </c>
      <c r="D32" s="233"/>
      <c r="G32" s="15"/>
    </row>
    <row r="33" spans="1:7">
      <c r="A33" s="171" t="s">
        <v>72</v>
      </c>
      <c r="B33" s="34" t="s">
        <v>111</v>
      </c>
      <c r="C33" s="167"/>
      <c r="D33" s="233"/>
      <c r="G33" s="15"/>
    </row>
    <row r="34" spans="1:7">
      <c r="A34" s="171" t="s">
        <v>73</v>
      </c>
      <c r="B34" s="33">
        <f>IF((($B$28-$B$32-$B$39-$B$77-$B$38)*C20/100)&lt;0,0,($B$28-$B$32-$B$39-$B$77-$B$38)*C20/100)</f>
        <v>83.877272727272739</v>
      </c>
      <c r="C34" s="167">
        <f>IF(ISERROR(B34/SUM($B$32,$B$34,$B$35,$B$36,$B$38,$B$39)*100),0,B34/SUM($B$32,$B$34,$B$35,$B$36,$B$38,$B$39)*100)</f>
        <v>2.1540131671102398</v>
      </c>
      <c r="D34" s="233"/>
      <c r="G34" s="15"/>
    </row>
    <row r="35" spans="1:7">
      <c r="A35" s="171" t="s">
        <v>74</v>
      </c>
      <c r="B35" s="33">
        <f>IF((($B$28-$B$32-$B$39-$B$77-$B$38)*C21/100)&lt;0,0,($B$28-$B$32-$B$39-$B$77-$B$38)*C21/100)</f>
        <v>394.92215909090919</v>
      </c>
      <c r="C35" s="167">
        <f>IF(ISERROR(B35/SUM($B$32,$B$34,$B$35,$B$36,$B$38,$B$39)*100),0,B35/SUM($B$32,$B$34,$B$35,$B$36,$B$38,$B$39)*100)</f>
        <v>10.141811995144048</v>
      </c>
      <c r="D35" s="233"/>
      <c r="G35" s="15"/>
    </row>
    <row r="36" spans="1:7">
      <c r="A36" s="171" t="s">
        <v>75</v>
      </c>
      <c r="B36" s="33">
        <f>IF((($B$28-$B$32-$B$39-$B$77-$B$38)*C22/100)&lt;0,0,($B$28-$B$32-$B$39-$B$77-$B$38)*C22/100)</f>
        <v>136.30056818181822</v>
      </c>
      <c r="C36" s="167">
        <f>IF(ISERROR(B36/SUM($B$32,$B$34,$B$35,$B$36,$B$38,$B$39)*100),0,B36/SUM($B$32,$B$34,$B$35,$B$36,$B$38,$B$39)*100)</f>
        <v>3.5002713965541403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1695.8999999999999</v>
      </c>
      <c r="C39" s="167">
        <f>IF(ISERROR(B39/SUM($B$32,$B$34,$B$35,$B$36,$B$38,$B$39)*100),0,B39/SUM($B$32,$B$34,$B$35,$B$36,$B$38,$B$39)*100)</f>
        <v>43.551617873651772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1583</v>
      </c>
      <c r="C44" s="34" t="s">
        <v>111</v>
      </c>
      <c r="D44" s="174"/>
    </row>
    <row r="45" spans="1:7">
      <c r="A45" s="171" t="s">
        <v>72</v>
      </c>
      <c r="B45" s="33" t="str">
        <f t="shared" si="0"/>
        <v>-</v>
      </c>
      <c r="C45" s="34" t="s">
        <v>111</v>
      </c>
      <c r="D45" s="174"/>
    </row>
    <row r="46" spans="1:7">
      <c r="A46" s="171" t="s">
        <v>73</v>
      </c>
      <c r="B46" s="33">
        <f t="shared" si="0"/>
        <v>83.877272727272739</v>
      </c>
      <c r="C46" s="34" t="s">
        <v>111</v>
      </c>
      <c r="D46" s="174"/>
    </row>
    <row r="47" spans="1:7">
      <c r="A47" s="171" t="s">
        <v>74</v>
      </c>
      <c r="B47" s="33">
        <f t="shared" si="0"/>
        <v>394.92215909090919</v>
      </c>
      <c r="C47" s="34" t="s">
        <v>111</v>
      </c>
      <c r="D47" s="174"/>
    </row>
    <row r="48" spans="1:7">
      <c r="A48" s="171" t="s">
        <v>75</v>
      </c>
      <c r="B48" s="33">
        <f t="shared" si="0"/>
        <v>136.30056818181822</v>
      </c>
      <c r="C48" s="33">
        <f>B48*10</f>
        <v>1363.0056818181822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1695.8999999999999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8859.5126629999995</v>
      </c>
      <c r="C5" s="17">
        <f>IF(ISERROR('Eigen informatie GS &amp; warmtenet'!B58),0,'Eigen informatie GS &amp; warmtenet'!B58)</f>
        <v>0</v>
      </c>
      <c r="D5" s="30">
        <f>SUM(D6:D12)</f>
        <v>8000.7960457700001</v>
      </c>
      <c r="E5" s="17">
        <f>SUM(E6:E12)</f>
        <v>202.65071514102192</v>
      </c>
      <c r="F5" s="17">
        <f>SUM(F6:F12)</f>
        <v>1657.6132540139017</v>
      </c>
      <c r="G5" s="18"/>
      <c r="H5" s="17"/>
      <c r="I5" s="17"/>
      <c r="J5" s="17">
        <f>SUM(J6:J12)</f>
        <v>2.4097309476992398E-2</v>
      </c>
      <c r="K5" s="17"/>
      <c r="L5" s="17"/>
      <c r="M5" s="17"/>
      <c r="N5" s="17">
        <f>SUM(N6:N12)</f>
        <v>958.01338475339469</v>
      </c>
      <c r="O5" s="17">
        <f>B38*B39*B40</f>
        <v>1.5633333333333335</v>
      </c>
      <c r="P5" s="17">
        <f>B46*B47*B48/1000-B46*B47*B48/1000/B49</f>
        <v>19.066666666666666</v>
      </c>
      <c r="R5" s="32"/>
    </row>
    <row r="6" spans="1:18">
      <c r="A6" s="32" t="s">
        <v>54</v>
      </c>
      <c r="B6" s="37">
        <f>B26</f>
        <v>1204.1892499999999</v>
      </c>
      <c r="C6" s="33"/>
      <c r="D6" s="37">
        <f>IF(ISERROR(TER_kantoor_gas_kWh/1000),0,TER_kantoor_gas_kWh/1000)*0.902</f>
        <v>1578.6017456000002</v>
      </c>
      <c r="E6" s="33">
        <f>$C$26*'E Balans VL '!I12/100/3.6*1000000</f>
        <v>7.5474577119299582E-3</v>
      </c>
      <c r="F6" s="33">
        <f>$C$26*('E Balans VL '!L12+'E Balans VL '!N12)/100/3.6*1000000</f>
        <v>180.95599601819413</v>
      </c>
      <c r="G6" s="34"/>
      <c r="H6" s="33"/>
      <c r="I6" s="33"/>
      <c r="J6" s="33">
        <f>$C$26*('E Balans VL '!D12+'E Balans VL '!E12)/100/3.6*1000000</f>
        <v>0</v>
      </c>
      <c r="K6" s="33"/>
      <c r="L6" s="33"/>
      <c r="M6" s="33"/>
      <c r="N6" s="33">
        <f>$C$26*'E Balans VL '!Y12/100/3.6*1000000</f>
        <v>1.1516284769748926</v>
      </c>
      <c r="O6" s="33"/>
      <c r="P6" s="33"/>
      <c r="R6" s="32"/>
    </row>
    <row r="7" spans="1:18">
      <c r="A7" s="32" t="s">
        <v>53</v>
      </c>
      <c r="B7" s="37">
        <f t="shared" ref="B7:B12" si="0">B27</f>
        <v>813.83</v>
      </c>
      <c r="C7" s="33"/>
      <c r="D7" s="37">
        <f>IF(ISERROR(TER_horeca_gas_kWh/1000),0,TER_horeca_gas_kWh/1000)*0.902</f>
        <v>739.51281800000004</v>
      </c>
      <c r="E7" s="33">
        <f>$C$27*'E Balans VL '!I9/100/3.6*1000000</f>
        <v>11.653910041799801</v>
      </c>
      <c r="F7" s="33">
        <f>$C$27*('E Balans VL '!L9+'E Balans VL '!N9)/100/3.6*1000000</f>
        <v>103.05771914747838</v>
      </c>
      <c r="G7" s="34"/>
      <c r="H7" s="33"/>
      <c r="I7" s="33"/>
      <c r="J7" s="33">
        <f>$C$27*('E Balans VL '!D9+'E Balans VL '!E9)/100/3.6*1000000</f>
        <v>0</v>
      </c>
      <c r="K7" s="33"/>
      <c r="L7" s="33"/>
      <c r="M7" s="33"/>
      <c r="N7" s="33">
        <f>$C$27*'E Balans VL '!Y9/100/3.6*1000000</f>
        <v>0.23395818158875636</v>
      </c>
      <c r="O7" s="33"/>
      <c r="P7" s="33"/>
      <c r="R7" s="32"/>
    </row>
    <row r="8" spans="1:18">
      <c r="A8" s="6" t="s">
        <v>52</v>
      </c>
      <c r="B8" s="37">
        <f t="shared" si="0"/>
        <v>5160.3083779999997</v>
      </c>
      <c r="C8" s="33"/>
      <c r="D8" s="37">
        <f>IF(ISERROR(TER_handel_gas_kWh/1000),0,TER_handel_gas_kWh/1000)*0.902</f>
        <v>4567.1501201700003</v>
      </c>
      <c r="E8" s="33">
        <f>$C$28*'E Balans VL '!I13/100/3.6*1000000</f>
        <v>187.1637485293399</v>
      </c>
      <c r="F8" s="33">
        <f>$C$28*('E Balans VL '!L13+'E Balans VL '!N13)/100/3.6*1000000</f>
        <v>993.92764504717036</v>
      </c>
      <c r="G8" s="34"/>
      <c r="H8" s="33"/>
      <c r="I8" s="33"/>
      <c r="J8" s="33">
        <f>$C$28*('E Balans VL '!D13+'E Balans VL '!E13)/100/3.6*1000000</f>
        <v>0</v>
      </c>
      <c r="K8" s="33"/>
      <c r="L8" s="33"/>
      <c r="M8" s="33"/>
      <c r="N8" s="33">
        <f>$C$28*'E Balans VL '!Y13/100/3.6*1000000</f>
        <v>7.1482144375342687</v>
      </c>
      <c r="O8" s="33"/>
      <c r="P8" s="33"/>
      <c r="R8" s="32"/>
    </row>
    <row r="9" spans="1:18">
      <c r="A9" s="32" t="s">
        <v>51</v>
      </c>
      <c r="B9" s="37">
        <f t="shared" si="0"/>
        <v>406.87099999999998</v>
      </c>
      <c r="C9" s="33"/>
      <c r="D9" s="37">
        <f>IF(ISERROR(TER_gezond_gas_kWh/1000),0,TER_gezond_gas_kWh/1000)*0.902</f>
        <v>414.80093599999998</v>
      </c>
      <c r="E9" s="33">
        <f>$C$29*'E Balans VL '!I10/100/3.6*1000000</f>
        <v>2.5474141725389334E-2</v>
      </c>
      <c r="F9" s="33">
        <f>$C$29*('E Balans VL '!L10+'E Balans VL '!N10)/100/3.6*1000000</f>
        <v>60.441925854217523</v>
      </c>
      <c r="G9" s="34"/>
      <c r="H9" s="33"/>
      <c r="I9" s="33"/>
      <c r="J9" s="33">
        <f>$C$29*('E Balans VL '!D10+'E Balans VL '!E10)/100/3.6*1000000</f>
        <v>0</v>
      </c>
      <c r="K9" s="33"/>
      <c r="L9" s="33"/>
      <c r="M9" s="33"/>
      <c r="N9" s="33">
        <f>$C$29*'E Balans VL '!Y10/100/3.6*1000000</f>
        <v>6.2935198876955756</v>
      </c>
      <c r="O9" s="33"/>
      <c r="P9" s="33"/>
      <c r="R9" s="32"/>
    </row>
    <row r="10" spans="1:18">
      <c r="A10" s="32" t="s">
        <v>50</v>
      </c>
      <c r="B10" s="37">
        <f t="shared" si="0"/>
        <v>1110.164035</v>
      </c>
      <c r="C10" s="33"/>
      <c r="D10" s="37">
        <f>IF(ISERROR(TER_ander_gas_kWh/1000),0,TER_ander_gas_kWh/1000)*0.902</f>
        <v>489.56501000000003</v>
      </c>
      <c r="E10" s="33">
        <f>$C$30*'E Balans VL '!I14/100/3.6*1000000</f>
        <v>1.323275859160536</v>
      </c>
      <c r="F10" s="33">
        <f>$C$30*('E Balans VL '!L14+'E Balans VL '!N14)/100/3.6*1000000</f>
        <v>290.46826557257657</v>
      </c>
      <c r="G10" s="34"/>
      <c r="H10" s="33"/>
      <c r="I10" s="33"/>
      <c r="J10" s="33">
        <f>$C$30*('E Balans VL '!D14+'E Balans VL '!E14)/100/3.6*1000000</f>
        <v>2.4097309476992398E-2</v>
      </c>
      <c r="K10" s="33"/>
      <c r="L10" s="33"/>
      <c r="M10" s="33"/>
      <c r="N10" s="33">
        <f>$C$30*'E Balans VL '!Y14/100/3.6*1000000</f>
        <v>942.72413319044301</v>
      </c>
      <c r="O10" s="33"/>
      <c r="P10" s="33"/>
      <c r="R10" s="32"/>
    </row>
    <row r="11" spans="1:18">
      <c r="A11" s="32" t="s">
        <v>55</v>
      </c>
      <c r="B11" s="37">
        <f t="shared" si="0"/>
        <v>164.15</v>
      </c>
      <c r="C11" s="33"/>
      <c r="D11" s="37">
        <f>IF(ISERROR(TER_onderwijs_gas_kWh/1000),0,TER_onderwijs_gas_kWh/1000)*0.902</f>
        <v>211.16541600000002</v>
      </c>
      <c r="E11" s="33">
        <f>$C$31*'E Balans VL '!I11/100/3.6*1000000</f>
        <v>2.4767591112843581</v>
      </c>
      <c r="F11" s="33">
        <f>$C$31*('E Balans VL '!L11+'E Balans VL '!N11)/100/3.6*1000000</f>
        <v>28.761702374264758</v>
      </c>
      <c r="G11" s="34"/>
      <c r="H11" s="33"/>
      <c r="I11" s="33"/>
      <c r="J11" s="33">
        <f>$C$31*('E Balans VL '!D11+'E Balans VL '!E11)/100/3.6*1000000</f>
        <v>0</v>
      </c>
      <c r="K11" s="33"/>
      <c r="L11" s="33"/>
      <c r="M11" s="33"/>
      <c r="N11" s="33">
        <f>$C$31*'E Balans VL '!Y11/100/3.6*1000000</f>
        <v>0.46193057915822977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8859.5126629999995</v>
      </c>
      <c r="C16" s="21">
        <f t="shared" ca="1" si="1"/>
        <v>0</v>
      </c>
      <c r="D16" s="21">
        <f t="shared" ca="1" si="1"/>
        <v>8000.7960457700001</v>
      </c>
      <c r="E16" s="21">
        <f t="shared" si="1"/>
        <v>202.65071514102192</v>
      </c>
      <c r="F16" s="21">
        <f t="shared" ca="1" si="1"/>
        <v>1657.6132540139017</v>
      </c>
      <c r="G16" s="21">
        <f t="shared" si="1"/>
        <v>0</v>
      </c>
      <c r="H16" s="21">
        <f t="shared" si="1"/>
        <v>0</v>
      </c>
      <c r="I16" s="21">
        <f t="shared" si="1"/>
        <v>0</v>
      </c>
      <c r="J16" s="21">
        <f t="shared" si="1"/>
        <v>2.4097309476992398E-2</v>
      </c>
      <c r="K16" s="21">
        <f t="shared" si="1"/>
        <v>0</v>
      </c>
      <c r="L16" s="21">
        <f t="shared" ca="1" si="1"/>
        <v>0</v>
      </c>
      <c r="M16" s="21">
        <f t="shared" si="1"/>
        <v>0</v>
      </c>
      <c r="N16" s="21">
        <f t="shared" ca="1" si="1"/>
        <v>958.01338475339469</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0.18854546548357703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1670.42093900298</v>
      </c>
      <c r="C20" s="23">
        <f t="shared" ref="C20:P20" ca="1" si="2">C16*C18</f>
        <v>0</v>
      </c>
      <c r="D20" s="23">
        <f t="shared" ca="1" si="2"/>
        <v>1616.1608012455401</v>
      </c>
      <c r="E20" s="23">
        <f t="shared" si="2"/>
        <v>46.00171233701198</v>
      </c>
      <c r="F20" s="23">
        <f t="shared" ca="1" si="2"/>
        <v>442.58273882171176</v>
      </c>
      <c r="G20" s="23">
        <f t="shared" si="2"/>
        <v>0</v>
      </c>
      <c r="H20" s="23">
        <f t="shared" si="2"/>
        <v>0</v>
      </c>
      <c r="I20" s="23">
        <f t="shared" si="2"/>
        <v>0</v>
      </c>
      <c r="J20" s="23">
        <f t="shared" si="2"/>
        <v>8.5304475548553076E-3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1204.1892499999999</v>
      </c>
      <c r="C26" s="39">
        <f>IF(ISERROR(B26*3.6/1000000/'E Balans VL '!Z12*100),0,B26*3.6/1000000/'E Balans VL '!Z12*100)</f>
        <v>2.5454653155142296E-2</v>
      </c>
      <c r="D26" s="237" t="s">
        <v>754</v>
      </c>
      <c r="F26" s="6"/>
    </row>
    <row r="27" spans="1:18">
      <c r="A27" s="231" t="s">
        <v>53</v>
      </c>
      <c r="B27" s="33">
        <f>IF(ISERROR(TER_horeca_ele_kWh/1000),0,TER_horeca_ele_kWh/1000)</f>
        <v>813.83</v>
      </c>
      <c r="C27" s="39">
        <f>IF(ISERROR(B27*3.6/1000000/'E Balans VL '!Z9*100),0,B27*3.6/1000000/'E Balans VL '!Z9*100)</f>
        <v>6.4153915570073439E-2</v>
      </c>
      <c r="D27" s="237" t="s">
        <v>754</v>
      </c>
      <c r="F27" s="6"/>
    </row>
    <row r="28" spans="1:18">
      <c r="A28" s="171" t="s">
        <v>52</v>
      </c>
      <c r="B28" s="33">
        <f>IF(ISERROR(TER_handel_ele_kWh/1000),0,TER_handel_ele_kWh/1000)</f>
        <v>5160.3083779999997</v>
      </c>
      <c r="C28" s="39">
        <f>IF(ISERROR(B28*3.6/1000000/'E Balans VL '!Z13*100),0,B28*3.6/1000000/'E Balans VL '!Z13*100)</f>
        <v>0.14977299911177491</v>
      </c>
      <c r="D28" s="237" t="s">
        <v>754</v>
      </c>
      <c r="F28" s="6"/>
    </row>
    <row r="29" spans="1:18">
      <c r="A29" s="231" t="s">
        <v>51</v>
      </c>
      <c r="B29" s="33">
        <f>IF(ISERROR(TER_gezond_ele_kWh/1000),0,TER_gezond_ele_kWh/1000)</f>
        <v>406.87099999999998</v>
      </c>
      <c r="C29" s="39">
        <f>IF(ISERROR(B29*3.6/1000000/'E Balans VL '!Z10*100),0,B29*3.6/1000000/'E Balans VL '!Z10*100)</f>
        <v>4.2850197298172528E-2</v>
      </c>
      <c r="D29" s="237" t="s">
        <v>754</v>
      </c>
      <c r="F29" s="6"/>
    </row>
    <row r="30" spans="1:18">
      <c r="A30" s="231" t="s">
        <v>50</v>
      </c>
      <c r="B30" s="33">
        <f>IF(ISERROR(TER_ander_ele_kWh/1000),0,TER_ander_ele_kWh/1000)</f>
        <v>1110.164035</v>
      </c>
      <c r="C30" s="39">
        <f>IF(ISERROR(B30*3.6/1000000/'E Balans VL '!Z14*100),0,B30*3.6/1000000/'E Balans VL '!Z14*100)</f>
        <v>8.1885940348028957E-2</v>
      </c>
      <c r="D30" s="237" t="s">
        <v>754</v>
      </c>
      <c r="F30" s="6"/>
    </row>
    <row r="31" spans="1:18">
      <c r="A31" s="231" t="s">
        <v>55</v>
      </c>
      <c r="B31" s="33">
        <f>IF(ISERROR(TER_onderwijs_ele_kWh/1000),0,TER_onderwijs_ele_kWh/1000)</f>
        <v>164.15</v>
      </c>
      <c r="C31" s="39">
        <f>IF(ISERROR(B31*3.6/1000000/'E Balans VL '!Z11*100),0,B31*3.6/1000000/'E Balans VL '!Z11*100)</f>
        <v>4.0766134238835114E-2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4385.8976720000001</v>
      </c>
      <c r="C5" s="17">
        <f>IF(ISERROR('Eigen informatie GS &amp; warmtenet'!B59),0,'Eigen informatie GS &amp; warmtenet'!B59)</f>
        <v>0</v>
      </c>
      <c r="D5" s="30">
        <f>SUM(D6:D15)</f>
        <v>2342.1117323999997</v>
      </c>
      <c r="E5" s="17">
        <f>SUM(E6:E15)</f>
        <v>135.31652259526638</v>
      </c>
      <c r="F5" s="17">
        <f>SUM(F6:F15)</f>
        <v>749.27513910511175</v>
      </c>
      <c r="G5" s="18"/>
      <c r="H5" s="17"/>
      <c r="I5" s="17"/>
      <c r="J5" s="17">
        <f>SUM(J6:J15)</f>
        <v>1.2028220388800934</v>
      </c>
      <c r="K5" s="17"/>
      <c r="L5" s="17"/>
      <c r="M5" s="17"/>
      <c r="N5" s="17">
        <f>SUM(N6:N15)</f>
        <v>751.12087094834055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751.8</v>
      </c>
      <c r="C8" s="33"/>
      <c r="D8" s="37">
        <f>IF( ISERROR(IND_metaal_Gas_kWH/1000),0,IND_metaal_Gas_kWH/1000)*0.902</f>
        <v>613.963438</v>
      </c>
      <c r="E8" s="33">
        <f>C30*'E Balans VL '!I18/100/3.6*1000000</f>
        <v>6.912074904654812</v>
      </c>
      <c r="F8" s="33">
        <f>C30*'E Balans VL '!L18/100/3.6*1000000+C30*'E Balans VL '!N18/100/3.6*1000000</f>
        <v>70.493810044353125</v>
      </c>
      <c r="G8" s="34"/>
      <c r="H8" s="33"/>
      <c r="I8" s="33"/>
      <c r="J8" s="40">
        <f>C30*'E Balans VL '!D18/100/3.6*1000000+C30*'E Balans VL '!E18/100/3.6*1000000</f>
        <v>0</v>
      </c>
      <c r="K8" s="33"/>
      <c r="L8" s="33"/>
      <c r="M8" s="33"/>
      <c r="N8" s="33">
        <f>C30*'E Balans VL '!Y18/100/3.6*1000000</f>
        <v>10.725669401818843</v>
      </c>
      <c r="O8" s="33"/>
      <c r="P8" s="33"/>
      <c r="R8" s="32"/>
    </row>
    <row r="9" spans="1:18">
      <c r="A9" s="6" t="s">
        <v>33</v>
      </c>
      <c r="B9" s="37">
        <f t="shared" si="0"/>
        <v>349.71767199999999</v>
      </c>
      <c r="C9" s="33"/>
      <c r="D9" s="37">
        <f>IF( ISERROR(IND_andere_gas_kWh/1000),0,IND_andere_gas_kWh/1000)*0.902</f>
        <v>402.25429640000004</v>
      </c>
      <c r="E9" s="33">
        <f>C31*'E Balans VL '!I19/100/3.6*1000000</f>
        <v>102.22928372565127</v>
      </c>
      <c r="F9" s="33">
        <f>C31*'E Balans VL '!L19/100/3.6*1000000+C31*'E Balans VL '!N19/100/3.6*1000000</f>
        <v>281.0246206474402</v>
      </c>
      <c r="G9" s="34"/>
      <c r="H9" s="33"/>
      <c r="I9" s="33"/>
      <c r="J9" s="40">
        <f>C31*'E Balans VL '!D19/100/3.6*1000000+C31*'E Balans VL '!E19/100/3.6*1000000</f>
        <v>0</v>
      </c>
      <c r="K9" s="33"/>
      <c r="L9" s="33"/>
      <c r="M9" s="33"/>
      <c r="N9" s="33">
        <f>C31*'E Balans VL '!Y19/100/3.6*1000000</f>
        <v>115.5521425653495</v>
      </c>
      <c r="O9" s="33"/>
      <c r="P9" s="33"/>
      <c r="R9" s="32"/>
    </row>
    <row r="10" spans="1:18">
      <c r="A10" s="6" t="s">
        <v>41</v>
      </c>
      <c r="B10" s="37">
        <f t="shared" si="0"/>
        <v>2482.09</v>
      </c>
      <c r="C10" s="33"/>
      <c r="D10" s="37">
        <f>IF( ISERROR(IND_voed_gas_kWh/1000),0,IND_voed_gas_kWh/1000)*0.902</f>
        <v>331.07729599999999</v>
      </c>
      <c r="E10" s="33">
        <f>C32*'E Balans VL '!I20/100/3.6*1000000</f>
        <v>5.250899880261267</v>
      </c>
      <c r="F10" s="33">
        <f>C32*'E Balans VL '!L20/100/3.6*1000000+C32*'E Balans VL '!N20/100/3.6*1000000</f>
        <v>157.8138175805862</v>
      </c>
      <c r="G10" s="34"/>
      <c r="H10" s="33"/>
      <c r="I10" s="33"/>
      <c r="J10" s="40">
        <f>C32*'E Balans VL '!D20/100/3.6*1000000+C32*'E Balans VL '!E20/100/3.6*1000000</f>
        <v>0</v>
      </c>
      <c r="K10" s="33"/>
      <c r="L10" s="33"/>
      <c r="M10" s="33"/>
      <c r="N10" s="33">
        <f>C32*'E Balans VL '!Y20/100/3.6*1000000</f>
        <v>171.28870386261735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679.16399999999999</v>
      </c>
      <c r="C12" s="33"/>
      <c r="D12" s="37">
        <f>IF( ISERROR(IND_min_gas_kWh/1000),0,IND_min_gas_kWh/1000)*0.902</f>
        <v>860.38532800000007</v>
      </c>
      <c r="E12" s="33">
        <f>C34*'E Balans VL '!I22/100/3.6*1000000</f>
        <v>19.686167790758113</v>
      </c>
      <c r="F12" s="33">
        <f>C34*'E Balans VL '!L22/100/3.6*1000000+C34*'E Balans VL '!N22/100/3.6*1000000</f>
        <v>233.50425792424736</v>
      </c>
      <c r="G12" s="34"/>
      <c r="H12" s="33"/>
      <c r="I12" s="33"/>
      <c r="J12" s="40">
        <f>C34*'E Balans VL '!D22/100/3.6*1000000+C34*'E Balans VL '!E22/100/3.6*1000000</f>
        <v>1.116071115018582</v>
      </c>
      <c r="K12" s="33"/>
      <c r="L12" s="33"/>
      <c r="M12" s="33"/>
      <c r="N12" s="33">
        <f>C34*'E Balans VL '!Y22/100/3.6*1000000</f>
        <v>148.680160499842</v>
      </c>
      <c r="O12" s="33"/>
      <c r="P12" s="33"/>
      <c r="R12" s="32"/>
    </row>
    <row r="13" spans="1:18">
      <c r="A13" s="6" t="s">
        <v>39</v>
      </c>
      <c r="B13" s="37">
        <f t="shared" si="0"/>
        <v>103.35899999999999</v>
      </c>
      <c r="C13" s="33"/>
      <c r="D13" s="37">
        <f>IF( ISERROR(IND_papier_gas_kWh/1000),0,IND_papier_gas_kWh/1000)*0.902</f>
        <v>0</v>
      </c>
      <c r="E13" s="33">
        <f>C35*'E Balans VL '!I23/100/3.6*1000000</f>
        <v>0.14664278298020145</v>
      </c>
      <c r="F13" s="33">
        <f>C35*'E Balans VL '!L23/100/3.6*1000000+C35*'E Balans VL '!N23/100/3.6*1000000</f>
        <v>2.523381844898295</v>
      </c>
      <c r="G13" s="34"/>
      <c r="H13" s="33"/>
      <c r="I13" s="33"/>
      <c r="J13" s="40">
        <f>C35*'E Balans VL '!D23/100/3.6*1000000+C35*'E Balans VL '!E23/100/3.6*1000000</f>
        <v>1.5985439743425305E-2</v>
      </c>
      <c r="K13" s="33"/>
      <c r="L13" s="33"/>
      <c r="M13" s="33"/>
      <c r="N13" s="33">
        <f>C35*'E Balans VL '!Y23/100/3.6*1000000</f>
        <v>300.44014624416275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19.766999999999999</v>
      </c>
      <c r="C15" s="33"/>
      <c r="D15" s="37">
        <f>IF( ISERROR(IND_rest_gas_kWh/1000),0,IND_rest_gas_kWh/1000)*0.902</f>
        <v>134.43137400000001</v>
      </c>
      <c r="E15" s="33">
        <f>C37*'E Balans VL '!I15/100/3.6*1000000</f>
        <v>1.0914535109607175</v>
      </c>
      <c r="F15" s="33">
        <f>C37*'E Balans VL '!L15/100/3.6*1000000+C37*'E Balans VL '!N15/100/3.6*1000000</f>
        <v>3.9152510635865156</v>
      </c>
      <c r="G15" s="34"/>
      <c r="H15" s="33"/>
      <c r="I15" s="33"/>
      <c r="J15" s="40">
        <f>C37*'E Balans VL '!D15/100/3.6*1000000+C37*'E Balans VL '!E15/100/3.6*1000000</f>
        <v>7.0765484118085961E-2</v>
      </c>
      <c r="K15" s="33"/>
      <c r="L15" s="33"/>
      <c r="M15" s="33"/>
      <c r="N15" s="33">
        <f>C37*'E Balans VL '!Y15/100/3.6*1000000</f>
        <v>4.4340483745501098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4385.8976720000001</v>
      </c>
      <c r="C18" s="21">
        <f>C5+C16</f>
        <v>0</v>
      </c>
      <c r="D18" s="21">
        <f>MAX((D5+D16),0)</f>
        <v>2342.1117323999997</v>
      </c>
      <c r="E18" s="21">
        <f>MAX((E5+E16),0)</f>
        <v>135.31652259526638</v>
      </c>
      <c r="F18" s="21">
        <f>MAX((F5+F16),0)</f>
        <v>749.27513910511175</v>
      </c>
      <c r="G18" s="21"/>
      <c r="H18" s="21"/>
      <c r="I18" s="21"/>
      <c r="J18" s="21">
        <f>MAX((J5+J16),0)</f>
        <v>1.2028220388800934</v>
      </c>
      <c r="K18" s="21"/>
      <c r="L18" s="21">
        <f>MAX((L5+L16),0)</f>
        <v>0</v>
      </c>
      <c r="M18" s="21"/>
      <c r="N18" s="21">
        <f>MAX((N5+N16),0)</f>
        <v>751.12087094834055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0.18854546548357703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826.94111813057691</v>
      </c>
      <c r="C22" s="23">
        <f ca="1">C18*C20</f>
        <v>0</v>
      </c>
      <c r="D22" s="23">
        <f>D18*D20</f>
        <v>473.10656994479996</v>
      </c>
      <c r="E22" s="23">
        <f>E18*E20</f>
        <v>30.716850629125467</v>
      </c>
      <c r="F22" s="23">
        <f>F18*F20</f>
        <v>200.05646214106486</v>
      </c>
      <c r="G22" s="23"/>
      <c r="H22" s="23"/>
      <c r="I22" s="23"/>
      <c r="J22" s="23">
        <f>J18*J20</f>
        <v>0.42579900176355306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751.8</v>
      </c>
      <c r="C30" s="39">
        <f>IF(ISERROR(B30*3.6/1000000/'E Balans VL '!Z18*100),0,B30*3.6/1000000/'E Balans VL '!Z18*100)</f>
        <v>4.260643374128361E-2</v>
      </c>
      <c r="D30" s="237" t="s">
        <v>754</v>
      </c>
    </row>
    <row r="31" spans="1:18">
      <c r="A31" s="6" t="s">
        <v>33</v>
      </c>
      <c r="B31" s="37">
        <f>IF( ISERROR(IND_ander_ele_kWh/1000),0,IND_ander_ele_kWh/1000)</f>
        <v>349.71767199999999</v>
      </c>
      <c r="C31" s="39">
        <f>IF(ISERROR(B31*3.6/1000000/'E Balans VL '!Z19*100),0,B31*3.6/1000000/'E Balans VL '!Z19*100)</f>
        <v>1.5861737402878492E-2</v>
      </c>
      <c r="D31" s="237" t="s">
        <v>754</v>
      </c>
    </row>
    <row r="32" spans="1:18">
      <c r="A32" s="171" t="s">
        <v>41</v>
      </c>
      <c r="B32" s="37">
        <f>IF( ISERROR(IND_voed_ele_kWh/1000),0,IND_voed_ele_kWh/1000)</f>
        <v>2482.09</v>
      </c>
      <c r="C32" s="39">
        <f>IF(ISERROR(B32*3.6/1000000/'E Balans VL '!Z20*100),0,B32*3.6/1000000/'E Balans VL '!Z20*100)</f>
        <v>7.6782311437203071E-2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679.16399999999999</v>
      </c>
      <c r="C34" s="39">
        <f>IF(ISERROR(B34*3.6/1000000/'E Balans VL '!Z22*100),0,B34*3.6/1000000/'E Balans VL '!Z22*100)</f>
        <v>0.12216041392723968</v>
      </c>
      <c r="D34" s="237" t="s">
        <v>754</v>
      </c>
    </row>
    <row r="35" spans="1:5">
      <c r="A35" s="171" t="s">
        <v>39</v>
      </c>
      <c r="B35" s="37">
        <f>IF( ISERROR(IND_papier_ele_kWh/1000),0,IND_papier_ele_kWh/1000)</f>
        <v>103.35899999999999</v>
      </c>
      <c r="C35" s="39">
        <f>IF(ISERROR(B35*3.6/1000000/'E Balans VL '!Z22*100),0,B35*3.6/1000000/'E Balans VL '!Z22*100)</f>
        <v>1.8591059336339331E-2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19.766999999999999</v>
      </c>
      <c r="C37" s="39">
        <f>IF(ISERROR(B37*3.6/1000000/'E Balans VL '!Z15*100),0,B37*3.6/1000000/'E Balans VL '!Z15*100)</f>
        <v>1.56677751184782E-4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1222.3960030000001</v>
      </c>
      <c r="C5" s="17">
        <f>'Eigen informatie GS &amp; warmtenet'!B60</f>
        <v>0</v>
      </c>
      <c r="D5" s="30">
        <f>IF(ISERROR(SUM(LB_lb_gas_kWh,LB_rest_gas_kWh,onbekend_gas_kWh)/1000),0,SUM(LB_lb_gas_kWh,LB_rest_gas_kWh,onbekend_gas_kWh)/1000)*0.902</f>
        <v>2006.9175730999996</v>
      </c>
      <c r="E5" s="17">
        <f>B17*'E Balans VL '!I25/3.6*1000000/100</f>
        <v>35.929952156504136</v>
      </c>
      <c r="F5" s="17">
        <f>B17*('E Balans VL '!L25/3.6*1000000+'E Balans VL '!N25/3.6*1000000)/100</f>
        <v>5092.4356936850609</v>
      </c>
      <c r="G5" s="18"/>
      <c r="H5" s="17"/>
      <c r="I5" s="17"/>
      <c r="J5" s="17">
        <f>('E Balans VL '!D25+'E Balans VL '!E25)/3.6*1000000*landbouw!B17/100</f>
        <v>177.09892958004042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1222.3960030000001</v>
      </c>
      <c r="C8" s="21">
        <f>C5+C6</f>
        <v>0</v>
      </c>
      <c r="D8" s="21">
        <f>MAX((D5+D6),0)</f>
        <v>2006.9175730999996</v>
      </c>
      <c r="E8" s="21">
        <f>MAX((E5+E6),0)</f>
        <v>35.929952156504136</v>
      </c>
      <c r="F8" s="21">
        <f>MAX((F5+F6),0)</f>
        <v>5092.4356936850609</v>
      </c>
      <c r="G8" s="21"/>
      <c r="H8" s="21"/>
      <c r="I8" s="21"/>
      <c r="J8" s="21">
        <f>MAX((J5+J6),0)</f>
        <v>177.09892958004042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0.18854546548357703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230.47722339089904</v>
      </c>
      <c r="C12" s="23">
        <f ca="1">C8*C10</f>
        <v>0</v>
      </c>
      <c r="D12" s="23">
        <f>D8*D10</f>
        <v>405.39734976619997</v>
      </c>
      <c r="E12" s="23">
        <f>E8*E10</f>
        <v>8.1560991395264395</v>
      </c>
      <c r="F12" s="23">
        <f>F8*F10</f>
        <v>1359.6803302139112</v>
      </c>
      <c r="G12" s="23"/>
      <c r="H12" s="23"/>
      <c r="I12" s="23"/>
      <c r="J12" s="23">
        <f>J8*J10</f>
        <v>62.693021071334307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0.17346182797619925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73.777095098770545</v>
      </c>
      <c r="C26" s="247">
        <f>B26*'GWP N2O_CH4'!B5</f>
        <v>1549.3189970741814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48.790008150568276</v>
      </c>
      <c r="C27" s="247">
        <f>B27*'GWP N2O_CH4'!B5</f>
        <v>1024.5901711619338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1.0950790053586388</v>
      </c>
      <c r="C28" s="247">
        <f>B28*'GWP N2O_CH4'!B4</f>
        <v>339.47449166117804</v>
      </c>
      <c r="D28" s="50"/>
    </row>
    <row r="29" spans="1:4">
      <c r="A29" s="41" t="s">
        <v>277</v>
      </c>
      <c r="B29" s="247">
        <f>B34*'ha_N2O bodem landbouw'!B4</f>
        <v>10.828075623172138</v>
      </c>
      <c r="C29" s="247">
        <f>B29*'GWP N2O_CH4'!B4</f>
        <v>3356.7034431833627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2.4709295419992399E-3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1.3620710724296403E-4</v>
      </c>
      <c r="C5" s="463" t="s">
        <v>211</v>
      </c>
      <c r="D5" s="448">
        <f>SUM(D6:D11)</f>
        <v>4.7445098216011898E-4</v>
      </c>
      <c r="E5" s="448">
        <f>SUM(E6:E11)</f>
        <v>7.2592034388632937E-4</v>
      </c>
      <c r="F5" s="461" t="s">
        <v>211</v>
      </c>
      <c r="G5" s="448">
        <f>SUM(G6:G11)</f>
        <v>0.26232306481664924</v>
      </c>
      <c r="H5" s="448">
        <f>SUM(H6:H11)</f>
        <v>5.4863070425185324E-2</v>
      </c>
      <c r="I5" s="463" t="s">
        <v>211</v>
      </c>
      <c r="J5" s="463" t="s">
        <v>211</v>
      </c>
      <c r="K5" s="463" t="s">
        <v>211</v>
      </c>
      <c r="L5" s="463" t="s">
        <v>211</v>
      </c>
      <c r="M5" s="448">
        <f>SUM(M6:M11)</f>
        <v>1.695471511106425E-2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2.7258130672095569E-5</v>
      </c>
      <c r="C6" s="449"/>
      <c r="D6" s="962">
        <f>vkm_2011_GW_PW*SUMIFS(TableVerdeelsleutelVkm[CNG],TableVerdeelsleutelVkm[Voertuigtype],"Lichte voertuigen")*SUMIFS(TableECFTransport[EnergieConsumptieFactor (PJ per km)],TableECFTransport[Index],CONCATENATE($A6,"_CNG_CNG"))</f>
        <v>8.1758747272342271E-5</v>
      </c>
      <c r="E6" s="962">
        <f>vkm_2011_GW_PW*SUMIFS(TableVerdeelsleutelVkm[LPG],TableVerdeelsleutelVkm[Voertuigtype],"Lichte voertuigen")*SUMIFS(TableECFTransport[EnergieConsumptieFactor (PJ per km)],TableECFTransport[Index],CONCATENATE($A6,"_LPG_LPG"))</f>
        <v>1.116941928392912E-4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2.8878998126860202E-2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9.2974902680878872E-3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1.9631900016775831E-3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2.5746635911385175E-3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7.8456789526827543E-7</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1.5045479109411381E-4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2.3166519368093632E-5</v>
      </c>
      <c r="C8" s="449"/>
      <c r="D8" s="451">
        <f>vkm_2011_NGW_PW*SUMIFS(TableVerdeelsleutelVkm[CNG],TableVerdeelsleutelVkm[Voertuigtype],"Lichte voertuigen")*SUMIFS(TableECFTransport[EnergieConsumptieFactor (PJ per km)],TableECFTransport[Index],CONCATENATE($A8,"_CNG_CNG"))</f>
        <v>1.2354735176889231E-4</v>
      </c>
      <c r="E8" s="451">
        <f>vkm_2011_NGW_PW*SUMIFS(TableVerdeelsleutelVkm[LPG],TableVerdeelsleutelVkm[Voertuigtype],"Lichte voertuigen")*SUMIFS(TableECFTransport[EnergieConsumptieFactor (PJ per km)],TableECFTransport[Index],CONCATENATE($A8,"_LPG_LPG"))</f>
        <v>1.5631260795854839E-4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3.7662759957161902E-2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1.3653164901174868E-2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2.6056381748063131E-3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1.6289731108150575E-4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4.6730928318992899E-8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9.5190916727660781E-6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8.5782457202774812E-5</v>
      </c>
      <c r="C10" s="449"/>
      <c r="D10" s="451">
        <f>vkm_2011_SW_PW*SUMIFS(TableVerdeelsleutelVkm[CNG],TableVerdeelsleutelVkm[Voertuigtype],"Lichte voertuigen")*SUMIFS(TableECFTransport[EnergieConsumptieFactor (PJ per km)],TableECFTransport[Index],CONCATENATE($A10,"_CNG_CNG"))</f>
        <v>2.6914488311888441E-4</v>
      </c>
      <c r="E10" s="451">
        <f>vkm_2011_SW_PW*SUMIFS(TableVerdeelsleutelVkm[LPG],TableVerdeelsleutelVkm[Voertuigtype],"Lichte voertuigen")*SUMIFS(TableECFTransport[EnergieConsumptieFactor (PJ per km)],TableECFTransport[Index],CONCATENATE($A10,"_LPG_LPG"))</f>
        <v>4.5791354308848977E-4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0.10555010917550664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3.1882792341430412E-2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7.1130122509431145E-3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8.7493636654900467E-2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2.8791615668575118E-5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5.1129008008703588E-3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37.835307567490013</v>
      </c>
      <c r="C14" s="21"/>
      <c r="D14" s="21">
        <f t="shared" ref="D14:M14" si="0">((D5)*10^9/3600)+D12</f>
        <v>131.79193948892194</v>
      </c>
      <c r="E14" s="21">
        <f t="shared" si="0"/>
        <v>201.64453996842482</v>
      </c>
      <c r="F14" s="21"/>
      <c r="G14" s="21">
        <f t="shared" si="0"/>
        <v>72867.518004624784</v>
      </c>
      <c r="H14" s="21">
        <f t="shared" si="0"/>
        <v>15239.741784773702</v>
      </c>
      <c r="I14" s="21"/>
      <c r="J14" s="21"/>
      <c r="K14" s="21"/>
      <c r="L14" s="21"/>
      <c r="M14" s="21">
        <f t="shared" si="0"/>
        <v>4709.643086406737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0.18854546548357703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7.1336756770267096</v>
      </c>
      <c r="C18" s="23"/>
      <c r="D18" s="23">
        <f t="shared" ref="D18:M18" si="1">D14*D16</f>
        <v>26.621971776762233</v>
      </c>
      <c r="E18" s="23">
        <f t="shared" si="1"/>
        <v>45.773310572832436</v>
      </c>
      <c r="F18" s="23"/>
      <c r="G18" s="23">
        <f t="shared" si="1"/>
        <v>19455.627307234819</v>
      </c>
      <c r="H18" s="23">
        <f t="shared" si="1"/>
        <v>3794.6957044086516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1.6987120983898672E-3</v>
      </c>
      <c r="H50" s="321">
        <f t="shared" si="2"/>
        <v>0</v>
      </c>
      <c r="I50" s="321">
        <f t="shared" si="2"/>
        <v>0</v>
      </c>
      <c r="J50" s="321">
        <f t="shared" si="2"/>
        <v>0</v>
      </c>
      <c r="K50" s="321">
        <f t="shared" si="2"/>
        <v>0</v>
      </c>
      <c r="L50" s="321">
        <f t="shared" si="2"/>
        <v>0</v>
      </c>
      <c r="M50" s="321">
        <f t="shared" si="2"/>
        <v>9.6479348094230736E-5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1.6987120983898672E-3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9.6479348094230736E-5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471.86447177496314</v>
      </c>
      <c r="H54" s="21">
        <f t="shared" si="3"/>
        <v>0</v>
      </c>
      <c r="I54" s="21">
        <f t="shared" si="3"/>
        <v>0</v>
      </c>
      <c r="J54" s="21">
        <f t="shared" si="3"/>
        <v>0</v>
      </c>
      <c r="K54" s="21">
        <f t="shared" si="3"/>
        <v>0</v>
      </c>
      <c r="L54" s="21">
        <f t="shared" si="3"/>
        <v>0</v>
      </c>
      <c r="M54" s="21">
        <f t="shared" si="3"/>
        <v>26.799818915064094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0.18854546548357703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125.98781396391516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4572.3503439694814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4572.3503439694814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2019-01-01T21:21:56Z</dcterms:modified>
</cp:coreProperties>
</file>