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B8" i="9"/>
  <c r="B6" i="48" s="1"/>
  <c r="Q6" s="1"/>
  <c r="F16" i="16"/>
  <c r="C13" i="15"/>
  <c r="C16" s="1"/>
  <c r="D10" i="14" s="1"/>
  <c r="L6" i="17"/>
  <c r="L5" s="1"/>
  <c r="O4" i="48"/>
  <c r="E16"/>
  <c r="I16"/>
  <c r="F16"/>
  <c r="J16"/>
  <c r="K16"/>
  <c r="K21" s="1"/>
  <c r="D16"/>
  <c r="D27" s="1"/>
  <c r="H16"/>
  <c r="H24" s="1"/>
  <c r="L16" i="16"/>
  <c r="L18" s="1"/>
  <c r="I14" i="15"/>
  <c r="I16" s="1"/>
  <c r="J10" i="14" s="1"/>
  <c r="B13" i="16"/>
  <c r="C35"/>
  <c r="D8" i="17"/>
  <c r="D12" s="1"/>
  <c r="E48" i="14" s="1"/>
  <c r="E9"/>
  <c r="D14" i="15"/>
  <c r="P18" i="16"/>
  <c r="N6" i="17"/>
  <c r="N5" s="1"/>
  <c r="J8"/>
  <c r="J7" i="48" s="1"/>
  <c r="J24" s="1"/>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H21"/>
  <c r="K24"/>
  <c r="K25"/>
  <c r="Q11" i="14"/>
  <c r="P12" i="13"/>
  <c r="Q37" i="14" s="1"/>
  <c r="P4" i="48"/>
  <c r="P21" s="1"/>
  <c r="D12" i="13"/>
  <c r="E37" i="14" s="1"/>
  <c r="D4" i="48"/>
  <c r="D21" s="1"/>
  <c r="E11" i="14"/>
  <c r="H28" i="48"/>
  <c r="G25"/>
  <c r="C22" i="13"/>
  <c r="C21"/>
  <c r="C20"/>
  <c r="O24" i="48"/>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K28" i="48" l="1"/>
  <c r="K31" s="1"/>
  <c r="D28"/>
  <c r="D30"/>
  <c r="H25"/>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H14" i="22" l="1"/>
  <c r="I19" i="14" s="1"/>
  <c r="I20" s="1"/>
  <c r="I23" s="1"/>
  <c r="Q15"/>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P55"/>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C16" l="1"/>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<sst xmlns="http://schemas.openxmlformats.org/spreadsheetml/2006/main" count="2099" uniqueCount="844">
  <si>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</si>
  <si>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</si>
  <si>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</si>
  <si>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</si>
  <si>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</si>
  <si>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</si>
  <si>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</si>
  <si>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</si>
  <si>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</si>
  <si>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</si>
  <si>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</si>
  <si>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</si>
  <si>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</si>
  <si>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</si>
  <si>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</si>
  <si>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</si>
  <si>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</si>
  <si>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</si>
  <si>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</si>
  <si>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</si>
  <si>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</si>
  <si>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</si>
  <si>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</si>
  <si>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</si>
  <si>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</si>
  <si>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</si>
  <si>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</si>
  <si>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</si>
  <si>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</si>
  <si>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</si>
  <si>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</si>
  <si>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</si>
  <si>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</si>
  <si>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</si>
  <si>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</si>
  <si>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</si>
  <si>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</si>
  <si>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</si>
  <si>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</si>
  <si>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</si>
  <si>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</si>
  <si>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</si>
  <si>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</si>
  <si>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</si>
  <si>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</si>
  <si>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</si>
  <si>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</si>
  <si>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</si>
  <si>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</si>
  <si>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</si>
  <si>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</si>
  <si>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</si>
  <si>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</si>
  <si>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</si>
  <si>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</si>
  <si>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</si>
  <si>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</si>
  <si>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</si>
  <si>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</si>
  <si>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</si>
  <si>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</si>
  <si>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</si>
  <si>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</si>
  <si>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</si>
  <si>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</si>
  <si>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</si>
  <si>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</si>
  <si>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</si>
  <si>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</si>
  <si>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</si>
  <si>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</si>
  <si>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</si>
  <si>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</si>
  <si>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</si>
  <si>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</si>
  <si>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</si>
  <si>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</si>
  <si>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</si>
  <si>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</si>
  <si>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</si>
  <si>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</si>
  <si>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</si>
  <si>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</si>
  <si>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</si>
  <si>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</si>
  <si>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</si>
  <si>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</si>
  <si>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</si>
  <si>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</si>
  <si>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</si>
  <si>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</si>
  <si>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</si>
  <si>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</si>
  <si>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</si>
  <si>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</si>
  <si>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</si>
  <si>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</si>
  <si>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</si>
  <si>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</si>
  <si>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</si>
  <si>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</si>
  <si>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</si>
  <si>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</si>
  <si>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</si>
  <si>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</si>
  <si>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</si>
  <si>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</si>
  <si>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</si>
  <si>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</si>
  <si>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</si>
  <si>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</si>
  <si>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</si>
  <si>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</si>
  <si>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</si>
  <si>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</si>
  <si>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</si>
  <si>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</si>
  <si>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</si>
  <si>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</si>
  <si>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</si>
  <si>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</si>
  <si>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</si>
  <si>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</si>
  <si>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</si>
  <si>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</si>
  <si>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</si>
  <si>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</si>
  <si>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</si>
  <si>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</si>
  <si>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</si>
  <si>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</si>
  <si>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</si>
  <si>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</si>
  <si>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</si>
  <si>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</si>
  <si>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</si>
  <si>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</si>
  <si>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</si>
  <si>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</si>
  <si>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</si>
  <si>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</si>
  <si>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</si>
  <si>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</si>
  <si>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</si>
  <si>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</si>
  <si>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</si>
  <si>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</si>
  <si>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</si>
  <si>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</si>
  <si>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</si>
  <si>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</si>
  <si>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</si>
  <si>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</si>
  <si>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</si>
  <si>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</si>
  <si>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</si>
  <si>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</si>
  <si>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</si>
  <si>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</si>
  <si>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</si>
  <si>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</si>
  <si>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</si>
  <si>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</si>
  <si>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</si>
  <si>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</si>
  <si>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</si>
  <si>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</si>
  <si>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</si>
  <si>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</si>
  <si>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</si>
  <si>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</si>
  <si>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</si>
  <si>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</si>
  <si>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</si>
  <si>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</si>
  <si>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</si>
  <si>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</si>
  <si>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</si>
  <si>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</si>
  <si>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</si>
  <si>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</si>
  <si>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</si>
  <si>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</si>
  <si>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</si>
  <si>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</si>
  <si>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</si>
  <si>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</si>
  <si>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</si>
  <si>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</si>
  <si>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</si>
  <si>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</si>
  <si>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</si>
  <si>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</si>
  <si>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</si>
  <si>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</si>
  <si>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</si>
  <si>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</si>
  <si>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</si>
  <si>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</si>
  <si>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</si>
  <si>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</si>
  <si>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</si>
  <si>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</si>
  <si>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</si>
  <si>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</si>
  <si>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</si>
  <si>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</si>
  <si>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</si>
  <si>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</si>
  <si>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</si>
  <si>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</si>
  <si>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</si>
  <si>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</si>
  <si>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</si>
  <si>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</si>
  <si>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</si>
  <si>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</si>
  <si>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</si>
  <si>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</si>
  <si>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</si>
  <si>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</si>
  <si>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</si>
  <si>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</si>
  <si>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</si>
  <si>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</si>
  <si>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</si>
  <si>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</si>
  <si>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</si>
  <si>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</si>
  <si>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</si>
  <si>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</si>
  <si>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</si>
  <si>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</si>
  <si>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</si>
  <si>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</si>
  <si>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</si>
  <si>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</si>
  <si>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</si>
  <si>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</si>
  <si>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</si>
  <si>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</si>
  <si>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</si>
  <si>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</si>
  <si>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</si>
  <si>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</si>
  <si>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</si>
  <si>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</si>
  <si>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</si>
  <si>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</si>
  <si>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</si>
  <si>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</si>
  <si>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</si>
  <si>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</si>
  <si>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</si>
  <si>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</si>
  <si>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</si>
  <si>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</si>
  <si>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</si>
  <si>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</si>
  <si>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</si>
  <si>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</si>
  <si>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</si>
  <si>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</si>
  <si>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</si>
  <si>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</si>
  <si>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</si>
  <si>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</si>
  <si>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</si>
  <si>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</si>
  <si>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</si>
  <si>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</si>
  <si>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</si>
  <si>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</si>
  <si>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</si>
  <si>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</si>
  <si>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</si>
  <si>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</si>
  <si>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</si>
  <si>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</si>
  <si>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</si>
  <si>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</si>
  <si>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</si>
  <si>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</si>
  <si>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</si>
  <si>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</si>
  <si>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</si>
  <si>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</si>
  <si>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</si>
  <si>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</si>
  <si>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</si>
  <si>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</si>
  <si>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</si>
  <si>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</si>
  <si>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</si>
  <si>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</si>
  <si>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</si>
  <si>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</si>
  <si>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</si>
  <si>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</si>
  <si>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</si>
  <si>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</si>
  <si>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</si>
  <si>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</si>
  <si>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</si>
  <si>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</si>
  <si>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</si>
  <si>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</si>
  <si>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</si>
  <si>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</si>
  <si>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</si>
  <si>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</si>
  <si>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</si>
  <si>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</si>
  <si>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</si>
  <si>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</si>
  <si>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</si>
  <si>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</si>
  <si>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</si>
  <si>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</si>
  <si>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</si>
  <si>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</si>
  <si>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</si>
  <si>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</si>
  <si>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</si>
  <si>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</si>
  <si>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</si>
  <si>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</si>
  <si>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</si>
  <si>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</si>
  <si>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</si>
  <si>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</si>
  <si>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</si>
  <si>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</si>
  <si>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</si>
  <si>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</si>
  <si>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</si>
  <si>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</si>
  <si>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</si>
  <si>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</si>
  <si>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</si>
  <si>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</si>
  <si>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</si>
  <si>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</si>
  <si>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</si>
  <si>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</si>
  <si>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</si>
  <si>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</si>
  <si>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</si>
  <si>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</si>
  <si>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</si>
  <si>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</si>
  <si>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</si>
  <si>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</si>
  <si>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</si>
  <si>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</si>
  <si>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</si>
  <si>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</si>
  <si>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</si>
  <si>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</si>
  <si>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</si>
  <si>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</si>
  <si>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</si>
  <si>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</si>
  <si>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</si>
  <si>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</si>
  <si>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</si>
  <si>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</si>
  <si>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</si>
  <si>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</si>
  <si>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</si>
  <si>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</si>
  <si>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</si>
  <si>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</si>
  <si>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</si>
  <si>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</si>
  <si>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</si>
  <si>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</si>
  <si>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</si>
  <si>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</si>
  <si>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</si>
  <si>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</si>
  <si>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</si>
  <si>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</si>
  <si>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</si>
  <si>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</si>
  <si>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</si>
  <si>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</si>
  <si>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</si>
  <si>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</si>
  <si>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</si>
  <si>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</si>
  <si>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</si>
  <si>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</si>
  <si>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</si>
  <si>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</si>
  <si>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</si>
  <si>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</si>
  <si>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</si>
  <si>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</si>
  <si>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</si>
  <si>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</si>
  <si>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</si>
  <si>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</si>
  <si>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</si>
  <si>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</si>
  <si>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</si>
  <si>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</si>
  <si>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</si>
  <si>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</si>
  <si>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</si>
  <si>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</si>
  <si>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</si>
  <si>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</si>
  <si>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</si>
  <si>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</si>
  <si>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</si>
  <si>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</si>
  <si>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</si>
  <si>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</si>
  <si>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</si>
  <si>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</si>
  <si>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</si>
  <si>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</si>
  <si>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</si>
  <si>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</si>
  <si>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</si>
  <si>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</si>
  <si>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</si>
  <si>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</si>
  <si>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</si>
  <si>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</si>
  <si>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</si>
  <si>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</si>
  <si>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</si>
  <si>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</si>
  <si>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</si>
  <si>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</si>
  <si>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</si>
  <si>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</si>
  <si>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</si>
  <si>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</si>
  <si>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</si>
  <si>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</si>
  <si>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</si>
  <si>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</si>
  <si>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</si>
  <si>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</si>
  <si>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</si>
  <si>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</si>
  <si>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</si>
  <si>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</si>
  <si>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</si>
  <si>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</si>
  <si>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</si>
  <si>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</si>
  <si>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</si>
  <si>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</si>
  <si>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</si>
  <si>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</si>
  <si>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</si>
  <si>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</si>
  <si>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</si>
  <si>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</si>
  <si>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</si>
  <si>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</si>
  <si>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</si>
  <si>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</si>
  <si>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</si>
  <si>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</si>
  <si>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</si>
  <si>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</si>
  <si>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</si>
  <si>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</si>
  <si>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</si>
  <si>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</si>
  <si>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</si>
  <si>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</si>
  <si>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</si>
  <si>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</si>
  <si>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</si>
  <si>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</si>
  <si>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</si>
  <si>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</si>
  <si>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</si>
  <si>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</si>
  <si>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</si>
  <si>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</si>
  <si>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</si>
  <si>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</si>
  <si>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</si>
  <si>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</si>
  <si>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</si>
  <si>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</si>
  <si>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</si>
  <si>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</si>
  <si>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</si>
  <si>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</si>
  <si>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</si>
  <si>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</si>
  <si>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</si>
  <si>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</si>
  <si>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</si>
  <si>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</si>
  <si>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</si>
  <si>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</si>
  <si>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</si>
  <si>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</si>
  <si>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</si>
  <si>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</si>
  <si>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</si>
  <si>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</si>
  <si>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</si>
  <si>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</si>
  <si>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</si>
  <si>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</si>
  <si>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</si>
  <si>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</si>
  <si>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</si>
  <si>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</si>
  <si>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</si>
  <si>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</si>
  <si>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</si>
  <si>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</si>
  <si>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</si>
  <si>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</si>
  <si>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</si>
  <si>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</si>
  <si>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</si>
  <si>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</si>
  <si>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</si>
  <si>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</si>
  <si>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</si>
  <si>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</si>
  <si>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</si>
  <si>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</si>
  <si>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</si>
  <si>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</si>
  <si>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</si>
  <si>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</si>
  <si>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</si>
  <si>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</si>
  <si>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</si>
  <si>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</si>
  <si>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</si>
  <si>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</si>
  <si>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</si>
  <si>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</si>
  <si>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</si>
  <si>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</si>
  <si>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</si>
  <si>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</si>
  <si>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</si>
  <si>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</si>
  <si>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</si>
  <si>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</si>
  <si>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</si>
  <si>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</si>
  <si>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</si>
  <si>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</si>
  <si>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</si>
  <si>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</si>
  <si>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</si>
  <si>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</si>
  <si>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</si>
  <si>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</si>
  <si>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</si>
  <si>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</si>
  <si>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</si>
  <si>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</si>
  <si>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</si>
  <si>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</si>
  <si>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</si>
  <si>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</si>
  <si>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</si>
  <si>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</si>
  <si>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</si>
  <si>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</si>
  <si>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</si>
  <si>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</si>
  <si>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</si>
  <si>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</si>
  <si>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</si>
  <si>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</si>
  <si>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</si>
  <si>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</si>
  <si>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</si>
  <si>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</si>
  <si>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</si>
  <si>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</si>
  <si>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</si>
  <si>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</si>
  <si>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</si>
  <si>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</si>
  <si>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</si>
  <si>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</si>
  <si>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</si>
  <si>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</si>
  <si>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</si>
  <si>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</si>
  <si>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</si>
  <si>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</si>
  <si>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</si>
  <si>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</si>
  <si>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</si>
  <si>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</si>
  <si>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</si>
  <si>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</si>
  <si>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</si>
  <si>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</si>
  <si>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</si>
  <si>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</si>
  <si>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</si>
  <si>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</si>
  <si>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</si>
  <si>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</si>
  <si>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</si>
  <si>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</si>
  <si>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</si>
  <si>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</si>
  <si>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</si>
  <si>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</si>
  <si>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</si>
  <si>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</si>
  <si>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</si>
  <si>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</si>
  <si>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</si>
  <si>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</si>
  <si>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</si>
  <si>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</si>
  <si>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</si>
  <si>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</si>
  <si>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</si>
  <si>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</si>
  <si>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</si>
  <si>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</si>
  <si>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</si>
  <si>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</si>
  <si>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</si>
  <si>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</si>
  <si>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</si>
  <si>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</si>
  <si>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</si>
  <si>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</si>
  <si>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</si>
  <si>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</si>
  <si>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</si>
  <si>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</si>
  <si>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</si>
  <si>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</si>
  <si>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</si>
  <si>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</si>
  <si>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</si>
  <si>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</si>
  <si>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</si>
  <si>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</si>
  <si>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</si>
  <si>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</si>
  <si>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</si>
  <si>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</si>
  <si>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</si>
  <si>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</si>
  <si>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</si>
  <si>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</si>
  <si>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</si>
  <si>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</si>
  <si>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</si>
  <si>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</si>
  <si>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</si>
  <si>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</si>
  <si>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</si>
  <si>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</si>
  <si>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</si>
  <si>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</si>
  <si>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</si>
  <si>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</si>
  <si>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</si>
  <si>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</si>
  <si>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</si>
  <si>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</si>
  <si>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</si>
  <si>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</si>
  <si>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</si>
  <si>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</si>
  <si>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</si>
  <si>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</si>
  <si>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</si>
  <si>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</si>
  <si>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</si>
  <si>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</si>
  <si>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</si>
  <si>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</si>
  <si>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</si>
  <si>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</si>
  <si>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</si>
  <si>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</si>
  <si>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</si>
  <si>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</si>
  <si>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</si>
  <si>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</si>
  <si>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</si>
  <si>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</si>
  <si>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</si>
  <si>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</si>
  <si>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</si>
  <si>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</si>
  <si>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</si>
  <si>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</si>
  <si>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</si>
  <si>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</si>
  <si>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</si>
  <si>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</si>
  <si>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</si>
  <si>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</si>
  <si>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</si>
  <si>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</si>
  <si>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</si>
  <si>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</si>
  <si>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</si>
  <si>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</si>
  <si>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</si>
  <si>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</si>
  <si>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</si>
  <si>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</si>
  <si>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</si>
  <si>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</si>
  <si>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</si>
  <si>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</si>
  <si>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</si>
  <si>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</si>
  <si>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</si>
  <si>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</si>
  <si>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</si>
  <si>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</si>
  <si>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</si>
  <si>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</si>
  <si>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</si>
  <si>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</si>
  <si>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</si>
  <si>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</si>
  <si>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</si>
  <si>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</si>
  <si>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</si>
  <si>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</si>
  <si>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</si>
  <si>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</si>
  <si>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</si>
  <si>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</si>
  <si>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</si>
  <si>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</si>
  <si>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</si>
  <si>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</si>
  <si>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</si>
  <si>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</si>
  <si>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</si>
  <si>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</si>
  <si>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</si>
  <si>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</si>
  <si>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</si>
  <si>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</si>
  <si>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</si>
  <si>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</si>
  <si>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</si>
  <si>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</si>
  <si>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</si>
  <si>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</si>
  <si>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</si>
  <si>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</si>
  <si>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</si>
  <si>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</si>
  <si>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</si>
  <si>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</si>
  <si>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</si>
  <si>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</si>
  <si>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</si>
  <si>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</si>
  <si>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</si>
  <si>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</si>
  <si>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</si>
  <si>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</si>
  <si>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</si>
  <si>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</si>
  <si>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</si>
  <si>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</si>
  <si>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</si>
  <si>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</si>
  <si>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</si>
  <si>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</si>
  <si>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</si>
  <si>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</si>
  <si>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</si>
  <si>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</si>
  <si>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</si>
  <si>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</si>
  <si>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</si>
  <si>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</si>
  <si>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</si>
  <si>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</si>
  <si>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</si>
  <si>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</si>
  <si>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</si>
  <si>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</si>
  <si>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</si>
  <si>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</si>
  <si>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</si>
  <si>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</si>
  <si>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</si>
  <si>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</si>
  <si>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</si>
  <si>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</si>
  <si>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</si>
  <si>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</si>
  <si>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</si>
  <si>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</si>
  <si>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</si>
  <si>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</si>
  <si>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</si>
  <si>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</si>
  <si>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</si>
  <si>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</si>
  <si>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</si>
  <si>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</si>
  <si>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</si>
  <si>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</si>
  <si>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</si>
  <si>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</si>
  <si>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</si>
  <si>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</si>
  <si>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</si>
  <si>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</si>
  <si>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</si>
  <si>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</si>
  <si>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</si>
  <si>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</si>
  <si>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</si>
  <si>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</si>
  <si>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</si>
  <si>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73028</t>
  </si>
  <si>
    <t>HERSTAPPE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</si>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</sst>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830.27365445250859</c:v>
                </c:pt>
                <c:pt idx="1">
                  <c:v>33.734954184172111</c:v>
                </c:pt>
                <c:pt idx="2">
                  <c:v>10.807</c:v>
                </c:pt>
                <c:pt idx="3">
                  <c:v>1167.8953445485213</c:v>
                </c:pt>
                <c:pt idx="4">
                  <c:v>142.58888897541476</c:v>
                </c:pt>
                <c:pt idx="5">
                  <c:v>2841.1021660240881</c:v>
                </c:pt>
                <c:pt idx="6">
                  <c:v>15.324974045384119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381376"/>
        <c:axId val="183424128"/>
      </c:barChart>
      <c:catAx>
        <c:axId val="183381376"/>
        <c:scaling>
          <c:orientation val="minMax"/>
        </c:scaling>
        <c:axPos val="b"/>
        <c:numFmt formatCode="General" sourceLinked="0"/>
        <c:tickLblPos val="nextTo"/>
        <c:crossAx val="183424128"/>
        <c:crosses val="autoZero"/>
        <c:auto val="1"/>
        <c:lblAlgn val="ctr"/>
        <c:lblOffset val="100"/>
      </c:catAx>
      <c:valAx>
        <c:axId val="183424128"/>
        <c:scaling>
          <c:orientation val="minMax"/>
        </c:scaling>
        <c:axPos val="l"/>
        <c:majorGridlines>
          <c:spPr>
            <a:ln>
              <a:noFill/>
            </a:ln>
          </c:spPr>
        </c:majorGridlines>
        <c:numFmt formatCode="#,##0" sourceLinked="1"/>
        <c:tickLblPos val="nextTo"/>
        <c:crossAx val="1833813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830.27365445250859</c:v>
                </c:pt>
                <c:pt idx="1">
                  <c:v>33.734954184172111</c:v>
                </c:pt>
                <c:pt idx="2">
                  <c:v>10.807</c:v>
                </c:pt>
                <c:pt idx="3">
                  <c:v>1167.8953445485213</c:v>
                </c:pt>
                <c:pt idx="4">
                  <c:v>142.58888897541476</c:v>
                </c:pt>
                <c:pt idx="5">
                  <c:v>2841.1021660240881</c:v>
                </c:pt>
                <c:pt idx="6">
                  <c:v>15.324974045384119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204.73892081500099</c:v>
                </c:pt>
                <c:pt idx="1">
                  <c:v>6.7501023106273497</c:v>
                </c:pt>
                <c:pt idx="2">
                  <c:v>2.2326368069109281</c:v>
                </c:pt>
                <c:pt idx="3">
                  <c:v>295.77223321339392</c:v>
                </c:pt>
                <c:pt idx="4">
                  <c:v>27.74551113861947</c:v>
                </c:pt>
                <c:pt idx="5">
                  <c:v>710.29665371550323</c:v>
                </c:pt>
                <c:pt idx="6">
                  <c:v>3.8718633258459145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18816"/>
        <c:axId val="184020352"/>
      </c:barChart>
      <c:catAx>
        <c:axId val="184018816"/>
        <c:scaling>
          <c:orientation val="minMax"/>
        </c:scaling>
        <c:axPos val="b"/>
        <c:numFmt formatCode="General" sourceLinked="0"/>
        <c:tickLblPos val="nextTo"/>
        <c:crossAx val="184020352"/>
        <c:crosses val="autoZero"/>
        <c:auto val="1"/>
        <c:lblAlgn val="ctr"/>
        <c:lblOffset val="100"/>
      </c:catAx>
      <c:valAx>
        <c:axId val="184020352"/>
        <c:scaling>
          <c:orientation val="minMax"/>
        </c:scaling>
        <c:axPos val="l"/>
        <c:majorGridlines>
          <c:spPr>
            <a:ln>
              <a:noFill/>
            </a:ln>
          </c:spPr>
        </c:majorGridlines>
        <c:numFmt formatCode="#,##0" sourceLinked="1"/>
        <c:tickLblPos val="nextTo"/>
        <c:crossAx val="1840188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204.73892081500099</c:v>
                </c:pt>
                <c:pt idx="1">
                  <c:v>6.7501023106273497</c:v>
                </c:pt>
                <c:pt idx="2">
                  <c:v>2.2326368069109281</c:v>
                </c:pt>
                <c:pt idx="3">
                  <c:v>295.77223321339392</c:v>
                </c:pt>
                <c:pt idx="4">
                  <c:v>27.74551113861947</c:v>
                </c:pt>
                <c:pt idx="5">
                  <c:v>710.29665371550323</c:v>
                </c:pt>
                <c:pt idx="6">
                  <c:v>3.8718633258459145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73028</v>
      </c>
      <c r="B6" s="415"/>
      <c r="C6" s="416"/>
    </row>
    <row r="7" spans="1:7" s="413" customFormat="1" ht="15.75" customHeight="1">
      <c r="A7" s="417" t="str">
        <f>txtMunicipality</f>
        <v>HERSTAPPE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29.640999999999998</v>
      </c>
      <c r="D10" s="718">
        <f ca="1">tertiair!C16</f>
        <v>0</v>
      </c>
      <c r="E10" s="718">
        <f ca="1">tertiair!D16</f>
        <v>9.5864560000000001</v>
      </c>
      <c r="F10" s="718">
        <f>tertiair!E16</f>
        <v>0.23388027982865836</v>
      </c>
      <c r="G10" s="718">
        <f ca="1">tertiair!F16</f>
        <v>3.2568637485594518</v>
      </c>
      <c r="H10" s="718">
        <f>tertiair!G16</f>
        <v>0</v>
      </c>
      <c r="I10" s="718">
        <f>tertiair!H16</f>
        <v>0</v>
      </c>
      <c r="J10" s="718">
        <f>tertiair!I16</f>
        <v>0</v>
      </c>
      <c r="K10" s="718">
        <f>tertiair!J16</f>
        <v>4.560700630458252E-5</v>
      </c>
      <c r="L10" s="718">
        <f>tertiair!K16</f>
        <v>0</v>
      </c>
      <c r="M10" s="718">
        <f ca="1">tertiair!L16</f>
        <v>0</v>
      </c>
      <c r="N10" s="718">
        <f>tertiair!M16</f>
        <v>0</v>
      </c>
      <c r="O10" s="718">
        <f ca="1">tertiair!N16</f>
        <v>1.8237085487776969</v>
      </c>
      <c r="P10" s="718">
        <f>tertiair!O16</f>
        <v>0</v>
      </c>
      <c r="Q10" s="719">
        <f>tertiair!P16</f>
        <v>0</v>
      </c>
      <c r="R10" s="721">
        <f ca="1">SUM(C10:Q10)</f>
        <v>44.541954184172113</v>
      </c>
      <c r="S10" s="67"/>
    </row>
    <row r="11" spans="1:19" s="474" customFormat="1">
      <c r="A11" s="870" t="s">
        <v>225</v>
      </c>
      <c r="B11" s="875"/>
      <c r="C11" s="718">
        <f>huishoudens!B8</f>
        <v>140.21972349647456</v>
      </c>
      <c r="D11" s="718">
        <f>huishoudens!C8</f>
        <v>0</v>
      </c>
      <c r="E11" s="718">
        <f>huishoudens!D8</f>
        <v>227.77123600000002</v>
      </c>
      <c r="F11" s="718">
        <f>huishoudens!E8</f>
        <v>0</v>
      </c>
      <c r="G11" s="718">
        <f>huishoudens!F8</f>
        <v>383.14664229410738</v>
      </c>
      <c r="H11" s="718">
        <f>huishoudens!G8</f>
        <v>0</v>
      </c>
      <c r="I11" s="718">
        <f>huishoudens!H8</f>
        <v>0</v>
      </c>
      <c r="J11" s="718">
        <f>huishoudens!I8</f>
        <v>0</v>
      </c>
      <c r="K11" s="718">
        <f>huishoudens!J8</f>
        <v>77.572719328593166</v>
      </c>
      <c r="L11" s="718">
        <f>huishoudens!K8</f>
        <v>0</v>
      </c>
      <c r="M11" s="718">
        <f>huishoudens!L8</f>
        <v>0</v>
      </c>
      <c r="N11" s="718">
        <f>huishoudens!M8</f>
        <v>0</v>
      </c>
      <c r="O11" s="718">
        <f>huishoudens!N8</f>
        <v>0</v>
      </c>
      <c r="P11" s="718">
        <f>huishoudens!O8</f>
        <v>1.5633333333333335</v>
      </c>
      <c r="Q11" s="719">
        <f>huishoudens!P8</f>
        <v>0</v>
      </c>
      <c r="R11" s="721">
        <f>SUM(C11:Q11)</f>
        <v>830.27365445250859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40.795000000000002</v>
      </c>
      <c r="D13" s="718">
        <f>industrie!C18</f>
        <v>0</v>
      </c>
      <c r="E13" s="718">
        <f>industrie!D18</f>
        <v>82.164081999999993</v>
      </c>
      <c r="F13" s="718">
        <f>industrie!E18</f>
        <v>2.252534323855035</v>
      </c>
      <c r="G13" s="718">
        <f>industrie!F18</f>
        <v>8.0802684847985002</v>
      </c>
      <c r="H13" s="718">
        <f>industrie!G18</f>
        <v>0</v>
      </c>
      <c r="I13" s="718">
        <f>industrie!H18</f>
        <v>0</v>
      </c>
      <c r="J13" s="718">
        <f>industrie!I18</f>
        <v>0</v>
      </c>
      <c r="K13" s="718">
        <f>industrie!J18</f>
        <v>0.14604532425746533</v>
      </c>
      <c r="L13" s="718">
        <f>industrie!K18</f>
        <v>0</v>
      </c>
      <c r="M13" s="718">
        <f>industrie!L18</f>
        <v>0</v>
      </c>
      <c r="N13" s="718">
        <f>industrie!M18</f>
        <v>0</v>
      </c>
      <c r="O13" s="718">
        <f>industrie!N18</f>
        <v>9.1509588425037585</v>
      </c>
      <c r="P13" s="718">
        <f>industrie!O18</f>
        <v>0</v>
      </c>
      <c r="Q13" s="719">
        <f>industrie!P18</f>
        <v>0</v>
      </c>
      <c r="R13" s="721">
        <f>SUM(C13:Q13)</f>
        <v>142.58888897541476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210.65572349647454</v>
      </c>
      <c r="D15" s="723">
        <f t="shared" ref="D15:Q15" ca="1" si="0">SUM(D9:D14)</f>
        <v>0</v>
      </c>
      <c r="E15" s="723">
        <f t="shared" ca="1" si="0"/>
        <v>319.52177399999999</v>
      </c>
      <c r="F15" s="723">
        <f t="shared" si="0"/>
        <v>2.4864146036836936</v>
      </c>
      <c r="G15" s="723">
        <f t="shared" ca="1" si="0"/>
        <v>394.48377452746536</v>
      </c>
      <c r="H15" s="723">
        <f t="shared" si="0"/>
        <v>0</v>
      </c>
      <c r="I15" s="723">
        <f t="shared" si="0"/>
        <v>0</v>
      </c>
      <c r="J15" s="723">
        <f t="shared" si="0"/>
        <v>0</v>
      </c>
      <c r="K15" s="723">
        <f t="shared" si="0"/>
        <v>77.718810259856937</v>
      </c>
      <c r="L15" s="723">
        <f t="shared" si="0"/>
        <v>0</v>
      </c>
      <c r="M15" s="723">
        <f t="shared" ca="1" si="0"/>
        <v>0</v>
      </c>
      <c r="N15" s="723">
        <f t="shared" si="0"/>
        <v>0</v>
      </c>
      <c r="O15" s="723">
        <f t="shared" ca="1" si="0"/>
        <v>10.974667391281455</v>
      </c>
      <c r="P15" s="723">
        <f t="shared" si="0"/>
        <v>1.5633333333333335</v>
      </c>
      <c r="Q15" s="724">
        <f t="shared" si="0"/>
        <v>0</v>
      </c>
      <c r="R15" s="725">
        <f ca="1">SUM(R9:R14)</f>
        <v>1017.4044976120955</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14.501360770958481</v>
      </c>
      <c r="I18" s="718">
        <f>transport!H54</f>
        <v>0</v>
      </c>
      <c r="J18" s="718">
        <f>transport!I54</f>
        <v>0</v>
      </c>
      <c r="K18" s="718">
        <f>transport!J54</f>
        <v>0</v>
      </c>
      <c r="L18" s="718">
        <f>transport!K54</f>
        <v>0</v>
      </c>
      <c r="M18" s="718">
        <f>transport!L54</f>
        <v>0</v>
      </c>
      <c r="N18" s="718">
        <f>transport!M54</f>
        <v>0.82361327442563825</v>
      </c>
      <c r="O18" s="718">
        <f>transport!N54</f>
        <v>0</v>
      </c>
      <c r="P18" s="718">
        <f>transport!O54</f>
        <v>0</v>
      </c>
      <c r="Q18" s="719">
        <f>transport!P54</f>
        <v>0</v>
      </c>
      <c r="R18" s="721">
        <f>SUM(C18:Q18)</f>
        <v>15.324974045384119</v>
      </c>
      <c r="S18" s="67"/>
    </row>
    <row r="19" spans="1:19" s="474" customFormat="1" ht="15" thickBot="1">
      <c r="A19" s="870" t="s">
        <v>307</v>
      </c>
      <c r="B19" s="875"/>
      <c r="C19" s="727">
        <f>transport!B14</f>
        <v>1.4463933101628001</v>
      </c>
      <c r="D19" s="727">
        <f>transport!C14</f>
        <v>0</v>
      </c>
      <c r="E19" s="727">
        <f>transport!D14</f>
        <v>4.8831895989015539</v>
      </c>
      <c r="F19" s="727">
        <f>transport!E14</f>
        <v>6.545454686616238</v>
      </c>
      <c r="G19" s="727">
        <f>transport!F14</f>
        <v>0</v>
      </c>
      <c r="H19" s="727">
        <f>transport!G14</f>
        <v>2135.6285634601604</v>
      </c>
      <c r="I19" s="727">
        <f>transport!H14</f>
        <v>551.45699544242188</v>
      </c>
      <c r="J19" s="727">
        <f>transport!I14</f>
        <v>0</v>
      </c>
      <c r="K19" s="727">
        <f>transport!J14</f>
        <v>0</v>
      </c>
      <c r="L19" s="727">
        <f>transport!K14</f>
        <v>0</v>
      </c>
      <c r="M19" s="727">
        <f>transport!L14</f>
        <v>0</v>
      </c>
      <c r="N19" s="727">
        <f>transport!M14</f>
        <v>141.14156952582528</v>
      </c>
      <c r="O19" s="727">
        <f>transport!N14</f>
        <v>0</v>
      </c>
      <c r="P19" s="727">
        <f>transport!O14</f>
        <v>0</v>
      </c>
      <c r="Q19" s="728">
        <f>transport!P14</f>
        <v>0</v>
      </c>
      <c r="R19" s="729">
        <f>SUM(C19:Q19)</f>
        <v>2841.1021660240881</v>
      </c>
      <c r="S19" s="67"/>
    </row>
    <row r="20" spans="1:19" s="474" customFormat="1" ht="15.75" thickBot="1">
      <c r="A20" s="730" t="s">
        <v>230</v>
      </c>
      <c r="B20" s="878"/>
      <c r="C20" s="873">
        <f>SUM(C17:C19)</f>
        <v>1.4463933101628001</v>
      </c>
      <c r="D20" s="731">
        <f t="shared" ref="D20:R20" si="1">SUM(D17:D19)</f>
        <v>0</v>
      </c>
      <c r="E20" s="731">
        <f t="shared" si="1"/>
        <v>4.8831895989015539</v>
      </c>
      <c r="F20" s="731">
        <f t="shared" si="1"/>
        <v>6.545454686616238</v>
      </c>
      <c r="G20" s="731">
        <f t="shared" si="1"/>
        <v>0</v>
      </c>
      <c r="H20" s="731">
        <f t="shared" si="1"/>
        <v>2150.1299242311188</v>
      </c>
      <c r="I20" s="731">
        <f t="shared" si="1"/>
        <v>551.45699544242188</v>
      </c>
      <c r="J20" s="731">
        <f t="shared" si="1"/>
        <v>0</v>
      </c>
      <c r="K20" s="731">
        <f t="shared" si="1"/>
        <v>0</v>
      </c>
      <c r="L20" s="731">
        <f t="shared" si="1"/>
        <v>0</v>
      </c>
      <c r="M20" s="731">
        <f t="shared" si="1"/>
        <v>0</v>
      </c>
      <c r="N20" s="731">
        <f t="shared" si="1"/>
        <v>141.96518280025091</v>
      </c>
      <c r="O20" s="731">
        <f t="shared" si="1"/>
        <v>0</v>
      </c>
      <c r="P20" s="731">
        <f t="shared" si="1"/>
        <v>0</v>
      </c>
      <c r="Q20" s="732">
        <f t="shared" si="1"/>
        <v>0</v>
      </c>
      <c r="R20" s="733">
        <f t="shared" si="1"/>
        <v>2856.427140069472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200.773</v>
      </c>
      <c r="D22" s="727">
        <f>+landbouw!C8</f>
        <v>0</v>
      </c>
      <c r="E22" s="727">
        <f>+landbouw!D8</f>
        <v>95.723848000000004</v>
      </c>
      <c r="F22" s="727">
        <f>+landbouw!E8</f>
        <v>5.9013317015220998</v>
      </c>
      <c r="G22" s="727">
        <f>+landbouw!F8</f>
        <v>836.40946879652927</v>
      </c>
      <c r="H22" s="727">
        <f>+landbouw!G8</f>
        <v>0</v>
      </c>
      <c r="I22" s="727">
        <f>+landbouw!H8</f>
        <v>0</v>
      </c>
      <c r="J22" s="727">
        <f>+landbouw!I8</f>
        <v>0</v>
      </c>
      <c r="K22" s="727">
        <f>+landbouw!J8</f>
        <v>29.087696050470029</v>
      </c>
      <c r="L22" s="727">
        <f>+landbouw!K8</f>
        <v>0</v>
      </c>
      <c r="M22" s="727">
        <f>+landbouw!L8</f>
        <v>0</v>
      </c>
      <c r="N22" s="727">
        <f>+landbouw!M8</f>
        <v>0</v>
      </c>
      <c r="O22" s="727">
        <f>+landbouw!N8</f>
        <v>0</v>
      </c>
      <c r="P22" s="727">
        <f>+landbouw!O8</f>
        <v>0</v>
      </c>
      <c r="Q22" s="728">
        <f>+landbouw!P8</f>
        <v>0</v>
      </c>
      <c r="R22" s="729">
        <f>SUM(C22:Q22)</f>
        <v>1167.8953445485213</v>
      </c>
      <c r="S22" s="67"/>
    </row>
    <row r="23" spans="1:19" s="474" customFormat="1" ht="17.25" thickTop="1" thickBot="1">
      <c r="A23" s="734" t="s">
        <v>116</v>
      </c>
      <c r="B23" s="864"/>
      <c r="C23" s="735">
        <f ca="1">C20+C15+C22</f>
        <v>412.87511680663732</v>
      </c>
      <c r="D23" s="735">
        <f t="shared" ref="D23:Q23" ca="1" si="2">D20+D15+D22</f>
        <v>0</v>
      </c>
      <c r="E23" s="735">
        <f t="shared" ca="1" si="2"/>
        <v>420.12881159890151</v>
      </c>
      <c r="F23" s="735">
        <f t="shared" si="2"/>
        <v>14.933200991822032</v>
      </c>
      <c r="G23" s="735">
        <f t="shared" ca="1" si="2"/>
        <v>1230.8932433239947</v>
      </c>
      <c r="H23" s="735">
        <f t="shared" si="2"/>
        <v>2150.1299242311188</v>
      </c>
      <c r="I23" s="735">
        <f t="shared" si="2"/>
        <v>551.45699544242188</v>
      </c>
      <c r="J23" s="735">
        <f t="shared" si="2"/>
        <v>0</v>
      </c>
      <c r="K23" s="735">
        <f t="shared" si="2"/>
        <v>106.80650631032697</v>
      </c>
      <c r="L23" s="735">
        <f t="shared" si="2"/>
        <v>0</v>
      </c>
      <c r="M23" s="735">
        <f t="shared" ca="1" si="2"/>
        <v>0</v>
      </c>
      <c r="N23" s="735">
        <f t="shared" si="2"/>
        <v>141.96518280025091</v>
      </c>
      <c r="O23" s="735">
        <f t="shared" ca="1" si="2"/>
        <v>10.974667391281455</v>
      </c>
      <c r="P23" s="735">
        <f t="shared" si="2"/>
        <v>1.5633333333333335</v>
      </c>
      <c r="Q23" s="736">
        <f t="shared" si="2"/>
        <v>0</v>
      </c>
      <c r="R23" s="737">
        <f ca="1">R20+R15+R22</f>
        <v>5041.7269822300887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6.1235854162715668</v>
      </c>
      <c r="D36" s="718">
        <f ca="1">tertiair!C20</f>
        <v>0</v>
      </c>
      <c r="E36" s="718">
        <f ca="1">tertiair!D20</f>
        <v>1.9364641120000001</v>
      </c>
      <c r="F36" s="718">
        <f>tertiair!E20</f>
        <v>5.3090823521105453E-2</v>
      </c>
      <c r="G36" s="718">
        <f ca="1">tertiair!F20</f>
        <v>0.86958262086537363</v>
      </c>
      <c r="H36" s="718">
        <f>tertiair!G20</f>
        <v>0</v>
      </c>
      <c r="I36" s="718">
        <f>tertiair!H20</f>
        <v>0</v>
      </c>
      <c r="J36" s="718">
        <f>tertiair!I20</f>
        <v>0</v>
      </c>
      <c r="K36" s="718">
        <f>tertiair!J20</f>
        <v>1.6144880231822212E-5</v>
      </c>
      <c r="L36" s="718">
        <f>tertiair!K20</f>
        <v>0</v>
      </c>
      <c r="M36" s="718">
        <f ca="1">tertiair!L20</f>
        <v>0</v>
      </c>
      <c r="N36" s="718">
        <f>tertiair!M20</f>
        <v>0</v>
      </c>
      <c r="O36" s="718">
        <f ca="1">tertiair!N20</f>
        <v>0</v>
      </c>
      <c r="P36" s="718">
        <f>tertiair!O20</f>
        <v>0</v>
      </c>
      <c r="Q36" s="828">
        <f>tertiair!P20</f>
        <v>0</v>
      </c>
      <c r="R36" s="917">
        <f ca="1">SUM(C36:Q36)</f>
        <v>8.9827391175382765</v>
      </c>
    </row>
    <row r="37" spans="1:18">
      <c r="A37" s="885" t="s">
        <v>225</v>
      </c>
      <c r="B37" s="892"/>
      <c r="C37" s="718">
        <f ca="1">huishoudens!B12</f>
        <v>28.968235008152327</v>
      </c>
      <c r="D37" s="718">
        <f ca="1">huishoudens!C12</f>
        <v>0</v>
      </c>
      <c r="E37" s="718">
        <f>huishoudens!D12</f>
        <v>46.009789672000004</v>
      </c>
      <c r="F37" s="718">
        <f>huishoudens!E12</f>
        <v>0</v>
      </c>
      <c r="G37" s="718">
        <f>huishoudens!F12</f>
        <v>102.30015349252668</v>
      </c>
      <c r="H37" s="718">
        <f>huishoudens!G12</f>
        <v>0</v>
      </c>
      <c r="I37" s="718">
        <f>huishoudens!H12</f>
        <v>0</v>
      </c>
      <c r="J37" s="718">
        <f>huishoudens!I12</f>
        <v>0</v>
      </c>
      <c r="K37" s="718">
        <f>huishoudens!J12</f>
        <v>27.460742642321978</v>
      </c>
      <c r="L37" s="718">
        <f>huishoudens!K12</f>
        <v>0</v>
      </c>
      <c r="M37" s="718">
        <f>huishoudens!L12</f>
        <v>0</v>
      </c>
      <c r="N37" s="718">
        <f>huishoudens!M12</f>
        <v>0</v>
      </c>
      <c r="O37" s="718">
        <f>huishoudens!N12</f>
        <v>0</v>
      </c>
      <c r="P37" s="718">
        <f>huishoudens!O12</f>
        <v>0</v>
      </c>
      <c r="Q37" s="828">
        <f>huishoudens!P12</f>
        <v>0</v>
      </c>
      <c r="R37" s="917">
        <f ca="1">SUM(C37:Q37)</f>
        <v>204.73892081500099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8.4279095528760362</v>
      </c>
      <c r="D39" s="718">
        <f ca="1">industrie!C22</f>
        <v>0</v>
      </c>
      <c r="E39" s="718">
        <f>industrie!D22</f>
        <v>16.597144564000001</v>
      </c>
      <c r="F39" s="718">
        <f>industrie!E22</f>
        <v>0.51132529151509298</v>
      </c>
      <c r="G39" s="718">
        <f>industrie!F22</f>
        <v>2.1574316854411997</v>
      </c>
      <c r="H39" s="718">
        <f>industrie!G22</f>
        <v>0</v>
      </c>
      <c r="I39" s="718">
        <f>industrie!H22</f>
        <v>0</v>
      </c>
      <c r="J39" s="718">
        <f>industrie!I22</f>
        <v>0</v>
      </c>
      <c r="K39" s="718">
        <f>industrie!J22</f>
        <v>5.1700044787142727E-2</v>
      </c>
      <c r="L39" s="718">
        <f>industrie!K22</f>
        <v>0</v>
      </c>
      <c r="M39" s="718">
        <f>industrie!L22</f>
        <v>0</v>
      </c>
      <c r="N39" s="718">
        <f>industrie!M22</f>
        <v>0</v>
      </c>
      <c r="O39" s="718">
        <f>industrie!N22</f>
        <v>0</v>
      </c>
      <c r="P39" s="718">
        <f>industrie!O22</f>
        <v>0</v>
      </c>
      <c r="Q39" s="828">
        <f>industrie!P22</f>
        <v>0</v>
      </c>
      <c r="R39" s="918">
        <f ca="1">SUM(C39:Q39)</f>
        <v>27.74551113861947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43.519729977299932</v>
      </c>
      <c r="D41" s="763">
        <f t="shared" ref="D41:R41" ca="1" si="4">SUM(D35:D40)</f>
        <v>0</v>
      </c>
      <c r="E41" s="763">
        <f t="shared" ca="1" si="4"/>
        <v>64.543398348000011</v>
      </c>
      <c r="F41" s="763">
        <f t="shared" si="4"/>
        <v>0.56441611503619848</v>
      </c>
      <c r="G41" s="763">
        <f t="shared" ca="1" si="4"/>
        <v>105.32716779883324</v>
      </c>
      <c r="H41" s="763">
        <f t="shared" si="4"/>
        <v>0</v>
      </c>
      <c r="I41" s="763">
        <f t="shared" si="4"/>
        <v>0</v>
      </c>
      <c r="J41" s="763">
        <f t="shared" si="4"/>
        <v>0</v>
      </c>
      <c r="K41" s="763">
        <f t="shared" si="4"/>
        <v>27.512458831989353</v>
      </c>
      <c r="L41" s="763">
        <f t="shared" si="4"/>
        <v>0</v>
      </c>
      <c r="M41" s="763">
        <f t="shared" ca="1" si="4"/>
        <v>0</v>
      </c>
      <c r="N41" s="763">
        <f t="shared" si="4"/>
        <v>0</v>
      </c>
      <c r="O41" s="763">
        <f t="shared" ca="1" si="4"/>
        <v>0</v>
      </c>
      <c r="P41" s="763">
        <f t="shared" si="4"/>
        <v>0</v>
      </c>
      <c r="Q41" s="764">
        <f t="shared" si="4"/>
        <v>0</v>
      </c>
      <c r="R41" s="765">
        <f t="shared" ca="1" si="4"/>
        <v>241.46717107115873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3.8718633258459145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3.8718633258459145</v>
      </c>
    </row>
    <row r="45" spans="1:18" ht="15" thickBot="1">
      <c r="A45" s="888" t="s">
        <v>307</v>
      </c>
      <c r="B45" s="898"/>
      <c r="C45" s="727">
        <f ca="1">transport!B18</f>
        <v>0.29881289363738334</v>
      </c>
      <c r="D45" s="727">
        <f>transport!C18</f>
        <v>0</v>
      </c>
      <c r="E45" s="727">
        <f>transport!D18</f>
        <v>0.98640429897811399</v>
      </c>
      <c r="F45" s="727">
        <f>transport!E18</f>
        <v>1.4858182138618861</v>
      </c>
      <c r="G45" s="727">
        <f>transport!F18</f>
        <v>0</v>
      </c>
      <c r="H45" s="727">
        <f>transport!G18</f>
        <v>570.21282644386281</v>
      </c>
      <c r="I45" s="727">
        <f>transport!H18</f>
        <v>137.31279186516304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710.29665371550323</v>
      </c>
    </row>
    <row r="46" spans="1:18" ht="15.75" thickBot="1">
      <c r="A46" s="886" t="s">
        <v>230</v>
      </c>
      <c r="B46" s="899"/>
      <c r="C46" s="763">
        <f t="shared" ref="C46:R46" ca="1" si="5">SUM(C43:C45)</f>
        <v>0.29881289363738334</v>
      </c>
      <c r="D46" s="763">
        <f t="shared" ca="1" si="5"/>
        <v>0</v>
      </c>
      <c r="E46" s="763">
        <f t="shared" si="5"/>
        <v>0.98640429897811399</v>
      </c>
      <c r="F46" s="763">
        <f t="shared" si="5"/>
        <v>1.4858182138618861</v>
      </c>
      <c r="G46" s="763">
        <f t="shared" si="5"/>
        <v>0</v>
      </c>
      <c r="H46" s="763">
        <f t="shared" si="5"/>
        <v>574.08468976970869</v>
      </c>
      <c r="I46" s="763">
        <f t="shared" si="5"/>
        <v>137.31279186516304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714.16851704134911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41.47804105060866</v>
      </c>
      <c r="D48" s="718">
        <f ca="1">+landbouw!C12</f>
        <v>0</v>
      </c>
      <c r="E48" s="718">
        <f>+landbouw!D12</f>
        <v>19.336217296000001</v>
      </c>
      <c r="F48" s="718">
        <f>+landbouw!E12</f>
        <v>1.3396022962455167</v>
      </c>
      <c r="G48" s="718">
        <f>+landbouw!F12</f>
        <v>223.32132816867332</v>
      </c>
      <c r="H48" s="718">
        <f>+landbouw!G12</f>
        <v>0</v>
      </c>
      <c r="I48" s="718">
        <f>+landbouw!H12</f>
        <v>0</v>
      </c>
      <c r="J48" s="718">
        <f>+landbouw!I12</f>
        <v>0</v>
      </c>
      <c r="K48" s="718">
        <f>+landbouw!J12</f>
        <v>10.29704440186639</v>
      </c>
      <c r="L48" s="718">
        <f>+landbouw!K12</f>
        <v>0</v>
      </c>
      <c r="M48" s="718">
        <f>+landbouw!L12</f>
        <v>0</v>
      </c>
      <c r="N48" s="718">
        <f>+landbouw!M12</f>
        <v>0</v>
      </c>
      <c r="O48" s="718">
        <f>+landbouw!N12</f>
        <v>0</v>
      </c>
      <c r="P48" s="718">
        <f>+landbouw!O12</f>
        <v>0</v>
      </c>
      <c r="Q48" s="719">
        <f>+landbouw!P12</f>
        <v>0</v>
      </c>
      <c r="R48" s="761">
        <f ca="1">SUM(C48:Q48)</f>
        <v>295.77223321339392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85.296583921545974</v>
      </c>
      <c r="D53" s="773">
        <f t="shared" ref="D53:Q53" ca="1" si="6">D41+D46+D48</f>
        <v>0</v>
      </c>
      <c r="E53" s="773">
        <f t="shared" ca="1" si="6"/>
        <v>84.866019942978127</v>
      </c>
      <c r="F53" s="773">
        <f t="shared" si="6"/>
        <v>3.3898366251436012</v>
      </c>
      <c r="G53" s="773">
        <f t="shared" ca="1" si="6"/>
        <v>328.64849596750656</v>
      </c>
      <c r="H53" s="773">
        <f t="shared" si="6"/>
        <v>574.08468976970869</v>
      </c>
      <c r="I53" s="773">
        <f t="shared" si="6"/>
        <v>137.31279186516304</v>
      </c>
      <c r="J53" s="773">
        <f t="shared" si="6"/>
        <v>0</v>
      </c>
      <c r="K53" s="773">
        <f t="shared" si="6"/>
        <v>37.809503233855743</v>
      </c>
      <c r="L53" s="773">
        <f t="shared" si="6"/>
        <v>0</v>
      </c>
      <c r="M53" s="773">
        <f t="shared" ca="1" si="6"/>
        <v>0</v>
      </c>
      <c r="N53" s="773">
        <f t="shared" si="6"/>
        <v>0</v>
      </c>
      <c r="O53" s="773">
        <f t="shared" ca="1" si="6"/>
        <v>0</v>
      </c>
      <c r="P53" s="773">
        <f>P41+P46+P48</f>
        <v>0</v>
      </c>
      <c r="Q53" s="774">
        <f t="shared" si="6"/>
        <v>0</v>
      </c>
      <c r="R53" s="775">
        <f ca="1">R41+R46+R48</f>
        <v>1251.4079213259017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0.20659172822345964</v>
      </c>
      <c r="D55" s="836">
        <f t="shared" ca="1" si="7"/>
        <v>0</v>
      </c>
      <c r="E55" s="836">
        <f t="shared" ca="1" si="7"/>
        <v>0.20200000000000004</v>
      </c>
      <c r="F55" s="836">
        <f t="shared" si="7"/>
        <v>0.22700000000000001</v>
      </c>
      <c r="G55" s="836">
        <f t="shared" ca="1" si="7"/>
        <v>0.26699999999999996</v>
      </c>
      <c r="H55" s="836">
        <f t="shared" si="7"/>
        <v>0.26699999999999996</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26.917723496474565</v>
      </c>
      <c r="C66" s="795">
        <f>'lokale energieproductie'!B6</f>
        <v>26.917723496474565</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26.917723496474565</v>
      </c>
      <c r="C69" s="803">
        <f>SUM(C64:C68)</f>
        <v>26.917723496474565</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140.21972349647456</v>
      </c>
      <c r="C4" s="478">
        <f>huishoudens!C8</f>
        <v>0</v>
      </c>
      <c r="D4" s="478">
        <f>huishoudens!D8</f>
        <v>227.77123600000002</v>
      </c>
      <c r="E4" s="478">
        <f>huishoudens!E8</f>
        <v>0</v>
      </c>
      <c r="F4" s="478">
        <f>huishoudens!F8</f>
        <v>383.14664229410738</v>
      </c>
      <c r="G4" s="478">
        <f>huishoudens!G8</f>
        <v>0</v>
      </c>
      <c r="H4" s="478">
        <f>huishoudens!H8</f>
        <v>0</v>
      </c>
      <c r="I4" s="478">
        <f>huishoudens!I8</f>
        <v>0</v>
      </c>
      <c r="J4" s="478">
        <f>huishoudens!J8</f>
        <v>77.572719328593166</v>
      </c>
      <c r="K4" s="478">
        <f>huishoudens!K8</f>
        <v>0</v>
      </c>
      <c r="L4" s="478">
        <f>huishoudens!L8</f>
        <v>0</v>
      </c>
      <c r="M4" s="478">
        <f>huishoudens!M8</f>
        <v>0</v>
      </c>
      <c r="N4" s="478">
        <f>huishoudens!N8</f>
        <v>0</v>
      </c>
      <c r="O4" s="478">
        <f>huishoudens!O8</f>
        <v>1.5633333333333335</v>
      </c>
      <c r="P4" s="479">
        <f>huishoudens!P8</f>
        <v>0</v>
      </c>
      <c r="Q4" s="480">
        <f>SUM(B4:P4)</f>
        <v>830.27365445250859</v>
      </c>
    </row>
    <row r="5" spans="1:17">
      <c r="A5" s="477" t="s">
        <v>156</v>
      </c>
      <c r="B5" s="478">
        <f ca="1">tertiair!B16</f>
        <v>18.834</v>
      </c>
      <c r="C5" s="478">
        <f ca="1">tertiair!C16</f>
        <v>0</v>
      </c>
      <c r="D5" s="478">
        <f ca="1">tertiair!D16</f>
        <v>9.5864560000000001</v>
      </c>
      <c r="E5" s="478">
        <f>tertiair!E16</f>
        <v>0.23388027982865836</v>
      </c>
      <c r="F5" s="478">
        <f ca="1">tertiair!F16</f>
        <v>3.2568637485594518</v>
      </c>
      <c r="G5" s="478">
        <f>tertiair!G16</f>
        <v>0</v>
      </c>
      <c r="H5" s="478">
        <f>tertiair!H16</f>
        <v>0</v>
      </c>
      <c r="I5" s="478">
        <f>tertiair!I16</f>
        <v>0</v>
      </c>
      <c r="J5" s="478">
        <f>tertiair!J16</f>
        <v>4.560700630458252E-5</v>
      </c>
      <c r="K5" s="478">
        <f>tertiair!K16</f>
        <v>0</v>
      </c>
      <c r="L5" s="478">
        <f ca="1">tertiair!L16</f>
        <v>0</v>
      </c>
      <c r="M5" s="478">
        <f>tertiair!M16</f>
        <v>0</v>
      </c>
      <c r="N5" s="478">
        <f ca="1">tertiair!N16</f>
        <v>1.8237085487776969</v>
      </c>
      <c r="O5" s="478">
        <f>tertiair!O16</f>
        <v>0</v>
      </c>
      <c r="P5" s="479">
        <f>tertiair!P16</f>
        <v>0</v>
      </c>
      <c r="Q5" s="477">
        <f t="shared" ref="Q5:Q13" ca="1" si="0">SUM(B5:P5)</f>
        <v>33.734954184172111</v>
      </c>
    </row>
    <row r="6" spans="1:17">
      <c r="A6" s="477" t="s">
        <v>194</v>
      </c>
      <c r="B6" s="478">
        <f>'openbare verlichting'!B8</f>
        <v>10.807</v>
      </c>
      <c r="C6" s="478"/>
      <c r="D6" s="478"/>
      <c r="E6" s="478"/>
      <c r="F6" s="478"/>
      <c r="G6" s="478"/>
      <c r="H6" s="478"/>
      <c r="I6" s="478"/>
      <c r="J6" s="478"/>
      <c r="K6" s="478"/>
      <c r="L6" s="478"/>
      <c r="M6" s="478"/>
      <c r="N6" s="478"/>
      <c r="O6" s="478"/>
      <c r="P6" s="479"/>
      <c r="Q6" s="477">
        <f t="shared" si="0"/>
        <v>10.807</v>
      </c>
    </row>
    <row r="7" spans="1:17">
      <c r="A7" s="477" t="s">
        <v>112</v>
      </c>
      <c r="B7" s="478">
        <f>landbouw!B8</f>
        <v>200.773</v>
      </c>
      <c r="C7" s="478">
        <f>landbouw!C8</f>
        <v>0</v>
      </c>
      <c r="D7" s="478">
        <f>landbouw!D8</f>
        <v>95.723848000000004</v>
      </c>
      <c r="E7" s="478">
        <f>landbouw!E8</f>
        <v>5.9013317015220998</v>
      </c>
      <c r="F7" s="478">
        <f>landbouw!F8</f>
        <v>836.40946879652927</v>
      </c>
      <c r="G7" s="478">
        <f>landbouw!G8</f>
        <v>0</v>
      </c>
      <c r="H7" s="478">
        <f>landbouw!H8</f>
        <v>0</v>
      </c>
      <c r="I7" s="478">
        <f>landbouw!I8</f>
        <v>0</v>
      </c>
      <c r="J7" s="478">
        <f>landbouw!J8</f>
        <v>29.087696050470029</v>
      </c>
      <c r="K7" s="478">
        <f>landbouw!K8</f>
        <v>0</v>
      </c>
      <c r="L7" s="478">
        <f>landbouw!L8</f>
        <v>0</v>
      </c>
      <c r="M7" s="478">
        <f>landbouw!M8</f>
        <v>0</v>
      </c>
      <c r="N7" s="478">
        <f>landbouw!N8</f>
        <v>0</v>
      </c>
      <c r="O7" s="478">
        <f>landbouw!O8</f>
        <v>0</v>
      </c>
      <c r="P7" s="479">
        <f>landbouw!P8</f>
        <v>0</v>
      </c>
      <c r="Q7" s="477">
        <f t="shared" si="0"/>
        <v>1167.8953445485213</v>
      </c>
    </row>
    <row r="8" spans="1:17">
      <c r="A8" s="477" t="s">
        <v>635</v>
      </c>
      <c r="B8" s="478">
        <f>industrie!B18</f>
        <v>40.795000000000002</v>
      </c>
      <c r="C8" s="478">
        <f>industrie!C18</f>
        <v>0</v>
      </c>
      <c r="D8" s="478">
        <f>industrie!D18</f>
        <v>82.164081999999993</v>
      </c>
      <c r="E8" s="478">
        <f>industrie!E18</f>
        <v>2.252534323855035</v>
      </c>
      <c r="F8" s="478">
        <f>industrie!F18</f>
        <v>8.0802684847985002</v>
      </c>
      <c r="G8" s="478">
        <f>industrie!G18</f>
        <v>0</v>
      </c>
      <c r="H8" s="478">
        <f>industrie!H18</f>
        <v>0</v>
      </c>
      <c r="I8" s="478">
        <f>industrie!I18</f>
        <v>0</v>
      </c>
      <c r="J8" s="478">
        <f>industrie!J18</f>
        <v>0.14604532425746533</v>
      </c>
      <c r="K8" s="478">
        <f>industrie!K18</f>
        <v>0</v>
      </c>
      <c r="L8" s="478">
        <f>industrie!L18</f>
        <v>0</v>
      </c>
      <c r="M8" s="478">
        <f>industrie!M18</f>
        <v>0</v>
      </c>
      <c r="N8" s="478">
        <f>industrie!N18</f>
        <v>9.1509588425037585</v>
      </c>
      <c r="O8" s="478">
        <f>industrie!O18</f>
        <v>0</v>
      </c>
      <c r="P8" s="479">
        <f>industrie!P18</f>
        <v>0</v>
      </c>
      <c r="Q8" s="477">
        <f t="shared" si="0"/>
        <v>142.58888897541476</v>
      </c>
    </row>
    <row r="9" spans="1:17" s="483" customFormat="1">
      <c r="A9" s="481" t="s">
        <v>561</v>
      </c>
      <c r="B9" s="482">
        <f>transport!B14</f>
        <v>1.4463933101628001</v>
      </c>
      <c r="C9" s="482"/>
      <c r="D9" s="482">
        <f>transport!D14</f>
        <v>4.8831895989015539</v>
      </c>
      <c r="E9" s="482">
        <f>transport!E14</f>
        <v>6.545454686616238</v>
      </c>
      <c r="F9" s="482"/>
      <c r="G9" s="482">
        <f>transport!G14</f>
        <v>2135.6285634601604</v>
      </c>
      <c r="H9" s="482">
        <f>transport!H14</f>
        <v>551.45699544242188</v>
      </c>
      <c r="I9" s="482"/>
      <c r="J9" s="482"/>
      <c r="K9" s="482"/>
      <c r="L9" s="482"/>
      <c r="M9" s="482">
        <f>transport!M14</f>
        <v>141.14156952582528</v>
      </c>
      <c r="N9" s="482"/>
      <c r="O9" s="482"/>
      <c r="P9" s="482"/>
      <c r="Q9" s="481">
        <f>SUM(B9:P9)</f>
        <v>2841.1021660240881</v>
      </c>
    </row>
    <row r="10" spans="1:17">
      <c r="A10" s="477" t="s">
        <v>551</v>
      </c>
      <c r="B10" s="478">
        <f>transport!B54</f>
        <v>0</v>
      </c>
      <c r="C10" s="478"/>
      <c r="D10" s="478">
        <f>transport!D54</f>
        <v>0</v>
      </c>
      <c r="E10" s="478"/>
      <c r="F10" s="478"/>
      <c r="G10" s="478">
        <f>transport!G54</f>
        <v>14.501360770958481</v>
      </c>
      <c r="H10" s="478"/>
      <c r="I10" s="478"/>
      <c r="J10" s="478"/>
      <c r="K10" s="478"/>
      <c r="L10" s="478"/>
      <c r="M10" s="478">
        <f>transport!M54</f>
        <v>0.82361327442563825</v>
      </c>
      <c r="N10" s="478"/>
      <c r="O10" s="478"/>
      <c r="P10" s="479"/>
      <c r="Q10" s="477">
        <f t="shared" si="0"/>
        <v>15.324974045384119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412.87511680663738</v>
      </c>
      <c r="C14" s="488">
        <f t="shared" ref="C14:Q14" ca="1" si="1">SUM(C4:C13)</f>
        <v>0</v>
      </c>
      <c r="D14" s="488">
        <f t="shared" ca="1" si="1"/>
        <v>420.12881159890156</v>
      </c>
      <c r="E14" s="488">
        <f t="shared" si="1"/>
        <v>14.93320099182203</v>
      </c>
      <c r="F14" s="488">
        <f t="shared" ca="1" si="1"/>
        <v>1230.8932433239947</v>
      </c>
      <c r="G14" s="488">
        <f t="shared" si="1"/>
        <v>2150.1299242311188</v>
      </c>
      <c r="H14" s="488">
        <f t="shared" si="1"/>
        <v>551.45699544242188</v>
      </c>
      <c r="I14" s="488">
        <f t="shared" si="1"/>
        <v>0</v>
      </c>
      <c r="J14" s="488">
        <f t="shared" si="1"/>
        <v>106.80650631032697</v>
      </c>
      <c r="K14" s="488">
        <f t="shared" si="1"/>
        <v>0</v>
      </c>
      <c r="L14" s="488">
        <f t="shared" ca="1" si="1"/>
        <v>0</v>
      </c>
      <c r="M14" s="488">
        <f t="shared" si="1"/>
        <v>141.96518280025091</v>
      </c>
      <c r="N14" s="488">
        <f t="shared" ca="1" si="1"/>
        <v>10.974667391281455</v>
      </c>
      <c r="O14" s="488">
        <f t="shared" si="1"/>
        <v>1.5633333333333335</v>
      </c>
      <c r="P14" s="489">
        <f t="shared" si="1"/>
        <v>0</v>
      </c>
      <c r="Q14" s="489">
        <f t="shared" ca="1" si="1"/>
        <v>5041.7269822300887</v>
      </c>
    </row>
    <row r="16" spans="1:17">
      <c r="A16" s="491" t="s">
        <v>556</v>
      </c>
      <c r="B16" s="841">
        <f ca="1">huishoudens!B10</f>
        <v>0.20659172822345961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28.968235008152327</v>
      </c>
      <c r="C21" s="478">
        <f t="shared" ref="C21:C28" ca="1" si="3">C4*$C$16</f>
        <v>0</v>
      </c>
      <c r="D21" s="478">
        <f t="shared" ref="D21:D30" si="4">D4*$D$16</f>
        <v>46.009789672000004</v>
      </c>
      <c r="E21" s="478">
        <f t="shared" ref="E21:E30" si="5">E4*$E$16</f>
        <v>0</v>
      </c>
      <c r="F21" s="478">
        <f t="shared" ref="F21:F28" si="6">F4*$F$16</f>
        <v>102.30015349252668</v>
      </c>
      <c r="G21" s="478">
        <f t="shared" ref="G21:G30" si="7">G4*$G$16</f>
        <v>0</v>
      </c>
      <c r="H21" s="478">
        <f t="shared" ref="H21:H30" si="8">H4*$H$16</f>
        <v>0</v>
      </c>
      <c r="I21" s="478">
        <f t="shared" ref="I21:I28" si="9">I4*$I$16</f>
        <v>0</v>
      </c>
      <c r="J21" s="478">
        <f t="shared" ref="J21:J28" si="10">J4*$J$16</f>
        <v>27.460742642321978</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204.73892081500099</v>
      </c>
    </row>
    <row r="22" spans="1:17">
      <c r="A22" s="477" t="s">
        <v>156</v>
      </c>
      <c r="B22" s="478">
        <f t="shared" ca="1" si="2"/>
        <v>3.8909486093606382</v>
      </c>
      <c r="C22" s="478">
        <f t="shared" ca="1" si="3"/>
        <v>0</v>
      </c>
      <c r="D22" s="478">
        <f t="shared" ca="1" si="4"/>
        <v>1.9364641120000001</v>
      </c>
      <c r="E22" s="478">
        <f t="shared" si="5"/>
        <v>5.3090823521105453E-2</v>
      </c>
      <c r="F22" s="478">
        <f t="shared" ca="1" si="6"/>
        <v>0.86958262086537363</v>
      </c>
      <c r="G22" s="478">
        <f t="shared" si="7"/>
        <v>0</v>
      </c>
      <c r="H22" s="478">
        <f t="shared" si="8"/>
        <v>0</v>
      </c>
      <c r="I22" s="478">
        <f t="shared" si="9"/>
        <v>0</v>
      </c>
      <c r="J22" s="478">
        <f t="shared" si="10"/>
        <v>1.6144880231822212E-5</v>
      </c>
      <c r="K22" s="478">
        <f t="shared" si="11"/>
        <v>0</v>
      </c>
      <c r="L22" s="478">
        <f t="shared" ca="1" si="12"/>
        <v>0</v>
      </c>
      <c r="M22" s="478">
        <f t="shared" si="13"/>
        <v>0</v>
      </c>
      <c r="N22" s="478">
        <f t="shared" ca="1" si="14"/>
        <v>0</v>
      </c>
      <c r="O22" s="478">
        <f t="shared" si="15"/>
        <v>0</v>
      </c>
      <c r="P22" s="479">
        <f t="shared" si="16"/>
        <v>0</v>
      </c>
      <c r="Q22" s="477">
        <f t="shared" ref="Q22:Q30" ca="1" si="17">SUM(B22:P22)</f>
        <v>6.7501023106273497</v>
      </c>
    </row>
    <row r="23" spans="1:17">
      <c r="A23" s="477" t="s">
        <v>194</v>
      </c>
      <c r="B23" s="478">
        <f t="shared" ca="1" si="2"/>
        <v>2.2326368069109281</v>
      </c>
      <c r="C23" s="478"/>
      <c r="D23" s="478"/>
      <c r="E23" s="478"/>
      <c r="F23" s="478"/>
      <c r="G23" s="478"/>
      <c r="H23" s="478"/>
      <c r="I23" s="478"/>
      <c r="J23" s="478"/>
      <c r="K23" s="478"/>
      <c r="L23" s="478"/>
      <c r="M23" s="478"/>
      <c r="N23" s="478"/>
      <c r="O23" s="478"/>
      <c r="P23" s="479"/>
      <c r="Q23" s="477">
        <f t="shared" ca="1" si="17"/>
        <v>2.2326368069109281</v>
      </c>
    </row>
    <row r="24" spans="1:17">
      <c r="A24" s="477" t="s">
        <v>112</v>
      </c>
      <c r="B24" s="478">
        <f t="shared" ca="1" si="2"/>
        <v>41.47804105060866</v>
      </c>
      <c r="C24" s="478">
        <f t="shared" ca="1" si="3"/>
        <v>0</v>
      </c>
      <c r="D24" s="478">
        <f t="shared" si="4"/>
        <v>19.336217296000001</v>
      </c>
      <c r="E24" s="478">
        <f t="shared" si="5"/>
        <v>1.3396022962455167</v>
      </c>
      <c r="F24" s="478">
        <f t="shared" si="6"/>
        <v>223.32132816867332</v>
      </c>
      <c r="G24" s="478">
        <f t="shared" si="7"/>
        <v>0</v>
      </c>
      <c r="H24" s="478">
        <f t="shared" si="8"/>
        <v>0</v>
      </c>
      <c r="I24" s="478">
        <f t="shared" si="9"/>
        <v>0</v>
      </c>
      <c r="J24" s="478">
        <f t="shared" si="10"/>
        <v>10.29704440186639</v>
      </c>
      <c r="K24" s="478">
        <f t="shared" si="11"/>
        <v>0</v>
      </c>
      <c r="L24" s="478">
        <f t="shared" si="12"/>
        <v>0</v>
      </c>
      <c r="M24" s="478">
        <f t="shared" si="13"/>
        <v>0</v>
      </c>
      <c r="N24" s="478">
        <f t="shared" si="14"/>
        <v>0</v>
      </c>
      <c r="O24" s="478">
        <f t="shared" si="15"/>
        <v>0</v>
      </c>
      <c r="P24" s="479">
        <f t="shared" si="16"/>
        <v>0</v>
      </c>
      <c r="Q24" s="477">
        <f t="shared" ca="1" si="17"/>
        <v>295.77223321339392</v>
      </c>
    </row>
    <row r="25" spans="1:17">
      <c r="A25" s="477" t="s">
        <v>635</v>
      </c>
      <c r="B25" s="478">
        <f t="shared" ca="1" si="2"/>
        <v>8.4279095528760362</v>
      </c>
      <c r="C25" s="478">
        <f t="shared" ca="1" si="3"/>
        <v>0</v>
      </c>
      <c r="D25" s="478">
        <f t="shared" si="4"/>
        <v>16.597144564000001</v>
      </c>
      <c r="E25" s="478">
        <f t="shared" si="5"/>
        <v>0.51132529151509298</v>
      </c>
      <c r="F25" s="478">
        <f t="shared" si="6"/>
        <v>2.1574316854411997</v>
      </c>
      <c r="G25" s="478">
        <f t="shared" si="7"/>
        <v>0</v>
      </c>
      <c r="H25" s="478">
        <f t="shared" si="8"/>
        <v>0</v>
      </c>
      <c r="I25" s="478">
        <f t="shared" si="9"/>
        <v>0</v>
      </c>
      <c r="J25" s="478">
        <f t="shared" si="10"/>
        <v>5.1700044787142727E-2</v>
      </c>
      <c r="K25" s="478">
        <f t="shared" si="11"/>
        <v>0</v>
      </c>
      <c r="L25" s="478">
        <f t="shared" si="12"/>
        <v>0</v>
      </c>
      <c r="M25" s="478">
        <f t="shared" si="13"/>
        <v>0</v>
      </c>
      <c r="N25" s="478">
        <f t="shared" si="14"/>
        <v>0</v>
      </c>
      <c r="O25" s="478">
        <f t="shared" si="15"/>
        <v>0</v>
      </c>
      <c r="P25" s="479">
        <f t="shared" si="16"/>
        <v>0</v>
      </c>
      <c r="Q25" s="477">
        <f t="shared" ca="1" si="17"/>
        <v>27.74551113861947</v>
      </c>
    </row>
    <row r="26" spans="1:17" s="483" customFormat="1">
      <c r="A26" s="481" t="s">
        <v>561</v>
      </c>
      <c r="B26" s="835">
        <f t="shared" ca="1" si="2"/>
        <v>0.29881289363738334</v>
      </c>
      <c r="C26" s="482"/>
      <c r="D26" s="482">
        <f t="shared" si="4"/>
        <v>0.98640429897811399</v>
      </c>
      <c r="E26" s="482">
        <f t="shared" si="5"/>
        <v>1.4858182138618861</v>
      </c>
      <c r="F26" s="482"/>
      <c r="G26" s="482">
        <f t="shared" si="7"/>
        <v>570.21282644386281</v>
      </c>
      <c r="H26" s="482">
        <f t="shared" si="8"/>
        <v>137.31279186516304</v>
      </c>
      <c r="I26" s="482"/>
      <c r="J26" s="482"/>
      <c r="K26" s="482"/>
      <c r="L26" s="482"/>
      <c r="M26" s="482">
        <f t="shared" si="13"/>
        <v>0</v>
      </c>
      <c r="N26" s="482"/>
      <c r="O26" s="482"/>
      <c r="P26" s="493"/>
      <c r="Q26" s="481">
        <f t="shared" ca="1" si="17"/>
        <v>710.29665371550323</v>
      </c>
    </row>
    <row r="27" spans="1:17">
      <c r="A27" s="477" t="s">
        <v>551</v>
      </c>
      <c r="B27" s="478">
        <f t="shared" ca="1" si="2"/>
        <v>0</v>
      </c>
      <c r="C27" s="478"/>
      <c r="D27" s="482">
        <f t="shared" si="4"/>
        <v>0</v>
      </c>
      <c r="E27" s="478"/>
      <c r="F27" s="478"/>
      <c r="G27" s="478">
        <f t="shared" si="7"/>
        <v>3.8718633258459145</v>
      </c>
      <c r="H27" s="478"/>
      <c r="I27" s="478"/>
      <c r="J27" s="478"/>
      <c r="K27" s="478"/>
      <c r="L27" s="478"/>
      <c r="M27" s="478">
        <f t="shared" si="13"/>
        <v>0</v>
      </c>
      <c r="N27" s="478"/>
      <c r="O27" s="478"/>
      <c r="P27" s="479"/>
      <c r="Q27" s="477">
        <f t="shared" ca="1" si="17"/>
        <v>3.8718633258459145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85.296583921545974</v>
      </c>
      <c r="C31" s="488">
        <f t="shared" ca="1" si="18"/>
        <v>0</v>
      </c>
      <c r="D31" s="488">
        <f t="shared" ca="1" si="18"/>
        <v>84.866019942978127</v>
      </c>
      <c r="E31" s="488">
        <f t="shared" si="18"/>
        <v>3.3898366251436012</v>
      </c>
      <c r="F31" s="488">
        <f t="shared" ca="1" si="18"/>
        <v>328.64849596750662</v>
      </c>
      <c r="G31" s="488">
        <f t="shared" si="18"/>
        <v>574.08468976970869</v>
      </c>
      <c r="H31" s="488">
        <f t="shared" si="18"/>
        <v>137.31279186516304</v>
      </c>
      <c r="I31" s="488">
        <f t="shared" si="18"/>
        <v>0</v>
      </c>
      <c r="J31" s="488">
        <f t="shared" si="18"/>
        <v>37.809503233855736</v>
      </c>
      <c r="K31" s="488">
        <f t="shared" si="18"/>
        <v>0</v>
      </c>
      <c r="L31" s="488">
        <f t="shared" ca="1" si="18"/>
        <v>0</v>
      </c>
      <c r="M31" s="488">
        <f t="shared" si="18"/>
        <v>0</v>
      </c>
      <c r="N31" s="488">
        <f t="shared" ca="1" si="18"/>
        <v>0</v>
      </c>
      <c r="O31" s="488">
        <f t="shared" si="18"/>
        <v>0</v>
      </c>
      <c r="P31" s="489">
        <f t="shared" si="18"/>
        <v>0</v>
      </c>
      <c r="Q31" s="489">
        <f t="shared" ca="1" si="18"/>
        <v>1251.4079213259017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0.20659172822345961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0.20659172822345961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0.20659172822345961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73028</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34</v>
      </c>
      <c r="C9" s="342">
        <v>34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116</v>
      </c>
    </row>
    <row r="15" spans="1:6">
      <c r="A15" s="348" t="s">
        <v>184</v>
      </c>
      <c r="B15" s="334">
        <v>0</v>
      </c>
    </row>
    <row r="16" spans="1:6">
      <c r="A16" s="348" t="s">
        <v>6</v>
      </c>
      <c r="B16" s="334">
        <v>0</v>
      </c>
    </row>
    <row r="17" spans="1:6">
      <c r="A17" s="348" t="s">
        <v>7</v>
      </c>
      <c r="B17" s="334">
        <v>2</v>
      </c>
    </row>
    <row r="18" spans="1:6">
      <c r="A18" s="348" t="s">
        <v>8</v>
      </c>
      <c r="B18" s="334">
        <v>1</v>
      </c>
    </row>
    <row r="19" spans="1:6">
      <c r="A19" s="348" t="s">
        <v>9</v>
      </c>
      <c r="B19" s="334">
        <v>1</v>
      </c>
    </row>
    <row r="20" spans="1:6">
      <c r="A20" s="348" t="s">
        <v>10</v>
      </c>
      <c r="B20" s="334">
        <v>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5</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12</v>
      </c>
      <c r="D39" s="334">
        <v>252518</v>
      </c>
      <c r="E39" s="334">
        <v>30</v>
      </c>
      <c r="F39" s="334">
        <v>113302</v>
      </c>
    </row>
    <row r="40" spans="1:6">
      <c r="A40" s="348" t="s">
        <v>30</v>
      </c>
      <c r="B40" s="348" t="s">
        <v>29</v>
      </c>
      <c r="C40" s="334">
        <v>0</v>
      </c>
      <c r="D40" s="334">
        <v>0</v>
      </c>
      <c r="E40" s="334">
        <v>0</v>
      </c>
      <c r="F40" s="334">
        <v>0</v>
      </c>
    </row>
    <row r="41" spans="1:6">
      <c r="A41" s="348" t="s">
        <v>32</v>
      </c>
      <c r="B41" s="348" t="s">
        <v>33</v>
      </c>
      <c r="C41" s="334">
        <v>0</v>
      </c>
      <c r="D41" s="334">
        <v>0</v>
      </c>
      <c r="E41" s="334">
        <v>0</v>
      </c>
      <c r="F41" s="334">
        <v>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91091</v>
      </c>
      <c r="E48" s="334">
        <v>1</v>
      </c>
      <c r="F48" s="334">
        <v>40795</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6</v>
      </c>
      <c r="F51" s="334">
        <v>200773</v>
      </c>
    </row>
    <row r="52" spans="1:6">
      <c r="A52" s="348" t="s">
        <v>42</v>
      </c>
      <c r="B52" s="348" t="s">
        <v>29</v>
      </c>
      <c r="C52" s="334">
        <v>2</v>
      </c>
      <c r="D52" s="334">
        <v>49215</v>
      </c>
      <c r="E52" s="334">
        <v>0</v>
      </c>
      <c r="F52" s="334">
        <v>0</v>
      </c>
    </row>
    <row r="53" spans="1:6">
      <c r="A53" s="348" t="s">
        <v>44</v>
      </c>
      <c r="B53" s="348" t="s">
        <v>45</v>
      </c>
      <c r="C53" s="334">
        <v>3</v>
      </c>
      <c r="D53" s="334">
        <v>56909</v>
      </c>
      <c r="E53" s="334">
        <v>1</v>
      </c>
      <c r="F53" s="334">
        <v>23086</v>
      </c>
    </row>
    <row r="54" spans="1:6">
      <c r="A54" s="348" t="s">
        <v>46</v>
      </c>
      <c r="B54" s="348" t="s">
        <v>47</v>
      </c>
      <c r="C54" s="334">
        <v>0</v>
      </c>
      <c r="D54" s="334">
        <v>0</v>
      </c>
      <c r="E54" s="334">
        <v>1</v>
      </c>
      <c r="F54" s="334">
        <v>10807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0</v>
      </c>
      <c r="F57" s="334">
        <v>0</v>
      </c>
    </row>
    <row r="58" spans="1:6">
      <c r="A58" s="348" t="s">
        <v>49</v>
      </c>
      <c r="B58" s="348" t="s">
        <v>51</v>
      </c>
      <c r="C58" s="334">
        <v>0</v>
      </c>
      <c r="D58" s="334">
        <v>0</v>
      </c>
      <c r="E58" s="334">
        <v>0</v>
      </c>
      <c r="F58" s="334">
        <v>0</v>
      </c>
    </row>
    <row r="59" spans="1:6">
      <c r="A59" s="348" t="s">
        <v>49</v>
      </c>
      <c r="B59" s="348" t="s">
        <v>52</v>
      </c>
      <c r="C59" s="334">
        <v>0</v>
      </c>
      <c r="D59" s="334">
        <v>0</v>
      </c>
      <c r="E59" s="334">
        <v>0</v>
      </c>
      <c r="F59" s="334">
        <v>0</v>
      </c>
    </row>
    <row r="60" spans="1:6">
      <c r="A60" s="348" t="s">
        <v>49</v>
      </c>
      <c r="B60" s="348" t="s">
        <v>53</v>
      </c>
      <c r="C60" s="334">
        <v>0</v>
      </c>
      <c r="D60" s="334">
        <v>0</v>
      </c>
      <c r="E60" s="334">
        <v>0</v>
      </c>
      <c r="F60" s="334">
        <v>0</v>
      </c>
    </row>
    <row r="61" spans="1:6">
      <c r="A61" s="348" t="s">
        <v>49</v>
      </c>
      <c r="B61" s="348" t="s">
        <v>54</v>
      </c>
      <c r="C61" s="334">
        <v>0</v>
      </c>
      <c r="D61" s="334">
        <v>0</v>
      </c>
      <c r="E61" s="334">
        <v>0</v>
      </c>
      <c r="F61" s="334">
        <v>0</v>
      </c>
    </row>
    <row r="62" spans="1:6">
      <c r="A62" s="348" t="s">
        <v>49</v>
      </c>
      <c r="B62" s="348" t="s">
        <v>55</v>
      </c>
      <c r="C62" s="334">
        <v>0</v>
      </c>
      <c r="D62" s="334">
        <v>0</v>
      </c>
      <c r="E62" s="334">
        <v>0</v>
      </c>
      <c r="F62" s="334">
        <v>0</v>
      </c>
    </row>
    <row r="63" spans="1:6">
      <c r="A63" s="348" t="s">
        <v>49</v>
      </c>
      <c r="B63" s="348" t="s">
        <v>29</v>
      </c>
      <c r="C63" s="334">
        <v>1</v>
      </c>
      <c r="D63" s="334">
        <v>10628</v>
      </c>
      <c r="E63" s="334">
        <v>3</v>
      </c>
      <c r="F63" s="334">
        <v>18834</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3083136</v>
      </c>
      <c r="E73" s="476">
        <v>3131831.7077630996</v>
      </c>
    </row>
    <row r="74" spans="1:6">
      <c r="A74" s="348" t="s">
        <v>64</v>
      </c>
      <c r="B74" s="348" t="s">
        <v>657</v>
      </c>
      <c r="C74" s="1272" t="s">
        <v>659</v>
      </c>
      <c r="D74" s="476">
        <v>173473.8054581726</v>
      </c>
      <c r="E74" s="476">
        <v>178508.64880544622</v>
      </c>
    </row>
    <row r="75" spans="1:6">
      <c r="A75" s="348" t="s">
        <v>65</v>
      </c>
      <c r="B75" s="348" t="s">
        <v>656</v>
      </c>
      <c r="C75" s="1272" t="s">
        <v>660</v>
      </c>
      <c r="D75" s="476">
        <v>593481</v>
      </c>
      <c r="E75" s="476">
        <v>602854.802153436</v>
      </c>
    </row>
    <row r="76" spans="1:6">
      <c r="A76" s="348" t="s">
        <v>65</v>
      </c>
      <c r="B76" s="348" t="s">
        <v>657</v>
      </c>
      <c r="C76" s="1272" t="s">
        <v>661</v>
      </c>
      <c r="D76" s="476">
        <v>5631.8054581725901</v>
      </c>
      <c r="E76" s="476">
        <v>5847.0225592570805</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4156.3890836548189</v>
      </c>
      <c r="C83" s="476">
        <v>4250.1111920787007</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26.917723496474565</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v>
      </c>
    </row>
    <row r="98" spans="1:6">
      <c r="A98" s="348" t="s">
        <v>72</v>
      </c>
      <c r="B98" s="334">
        <v>1</v>
      </c>
    </row>
    <row r="99" spans="1:6">
      <c r="A99" s="348" t="s">
        <v>73</v>
      </c>
      <c r="B99" s="334">
        <v>0</v>
      </c>
    </row>
    <row r="100" spans="1:6">
      <c r="A100" s="348" t="s">
        <v>74</v>
      </c>
      <c r="B100" s="334">
        <v>3</v>
      </c>
    </row>
    <row r="101" spans="1:6">
      <c r="A101" s="348" t="s">
        <v>75</v>
      </c>
      <c r="B101" s="334">
        <v>0</v>
      </c>
    </row>
    <row r="102" spans="1:6">
      <c r="A102" s="348" t="s">
        <v>76</v>
      </c>
      <c r="B102" s="334">
        <v>1</v>
      </c>
    </row>
    <row r="103" spans="1:6">
      <c r="A103" s="348" t="s">
        <v>77</v>
      </c>
      <c r="B103" s="334">
        <v>3</v>
      </c>
    </row>
    <row r="104" spans="1:6">
      <c r="A104" s="348" t="s">
        <v>78</v>
      </c>
      <c r="B104" s="334">
        <v>22</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0</v>
      </c>
      <c r="C123" s="334">
        <v>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v>
      </c>
    </row>
    <row r="130" spans="1:6">
      <c r="A130" s="348" t="s">
        <v>295</v>
      </c>
      <c r="B130" s="334">
        <v>0</v>
      </c>
    </row>
    <row r="131" spans="1:6">
      <c r="A131" s="348" t="s">
        <v>296</v>
      </c>
      <c r="B131" s="334">
        <v>0</v>
      </c>
    </row>
    <row r="132" spans="1:6">
      <c r="A132" s="341" t="s">
        <v>297</v>
      </c>
      <c r="B132" s="342">
        <v>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412.87511680663732</v>
      </c>
      <c r="C3" s="43" t="s">
        <v>170</v>
      </c>
      <c r="D3" s="43"/>
      <c r="E3" s="154"/>
      <c r="F3" s="43"/>
      <c r="G3" s="43"/>
      <c r="H3" s="43"/>
      <c r="I3" s="43"/>
      <c r="J3" s="43"/>
      <c r="K3" s="96"/>
    </row>
    <row r="4" spans="1:11">
      <c r="A4" s="383" t="s">
        <v>171</v>
      </c>
      <c r="B4" s="49">
        <f>IF(ISERROR('SEAP template'!B69),0,'SEAP template'!B69)</f>
        <v>26.917723496474565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0.20659172822345961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10.807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10.807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0.20659172822345961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2.2326368069109281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113.30200000000001</v>
      </c>
      <c r="C5" s="17">
        <f>IF(ISERROR('Eigen informatie GS &amp; warmtenet'!B57),0,'Eigen informatie GS &amp; warmtenet'!B57)</f>
        <v>0</v>
      </c>
      <c r="D5" s="30">
        <f>(SUM(HH_hh_gas_kWh,HH_rest_gas_kWh)/1000)*0.902</f>
        <v>227.77123600000002</v>
      </c>
      <c r="E5" s="17">
        <f>B46*B57</f>
        <v>0</v>
      </c>
      <c r="F5" s="17">
        <f>B51*B62</f>
        <v>383.14664229410738</v>
      </c>
      <c r="G5" s="18"/>
      <c r="H5" s="17"/>
      <c r="I5" s="17"/>
      <c r="J5" s="17">
        <f>B50*B61+C50*C61</f>
        <v>77.572719328593166</v>
      </c>
      <c r="K5" s="17"/>
      <c r="L5" s="17"/>
      <c r="M5" s="17"/>
      <c r="N5" s="17">
        <f>B48*B59+C48*C59</f>
        <v>0</v>
      </c>
      <c r="O5" s="17">
        <f>B69*B70*B71</f>
        <v>1.5633333333333335</v>
      </c>
      <c r="P5" s="17">
        <f>B77*B78*B79/1000-B77*B78*B79/1000/B80</f>
        <v>0</v>
      </c>
    </row>
    <row r="6" spans="1:16">
      <c r="A6" s="16" t="s">
        <v>621</v>
      </c>
      <c r="B6" s="843">
        <f>kWh_PV_kleiner_dan_10kW</f>
        <v>26.917723496474565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140.21972349647456</v>
      </c>
      <c r="C8" s="21">
        <f>C5</f>
        <v>0</v>
      </c>
      <c r="D8" s="21">
        <f>D5</f>
        <v>227.77123600000002</v>
      </c>
      <c r="E8" s="21">
        <f>E5</f>
        <v>0</v>
      </c>
      <c r="F8" s="21">
        <f>F5</f>
        <v>383.14664229410738</v>
      </c>
      <c r="G8" s="21"/>
      <c r="H8" s="21"/>
      <c r="I8" s="21"/>
      <c r="J8" s="21">
        <f>J5</f>
        <v>77.572719328593166</v>
      </c>
      <c r="K8" s="21"/>
      <c r="L8" s="21">
        <f>L5</f>
        <v>0</v>
      </c>
      <c r="M8" s="21">
        <f>M5</f>
        <v>0</v>
      </c>
      <c r="N8" s="21">
        <f>N5</f>
        <v>0</v>
      </c>
      <c r="O8" s="21">
        <f>O5</f>
        <v>1.5633333333333335</v>
      </c>
      <c r="P8" s="21">
        <f>P5</f>
        <v>0</v>
      </c>
    </row>
    <row r="9" spans="1:16">
      <c r="B9" s="19"/>
      <c r="C9" s="19"/>
      <c r="D9" s="258"/>
      <c r="E9" s="19"/>
      <c r="F9" s="19"/>
      <c r="G9" s="19"/>
      <c r="H9" s="19"/>
      <c r="I9" s="19"/>
      <c r="J9" s="19"/>
      <c r="K9" s="19"/>
      <c r="L9" s="19"/>
      <c r="M9" s="19"/>
      <c r="N9" s="19"/>
      <c r="O9" s="19"/>
      <c r="P9" s="19"/>
    </row>
    <row r="10" spans="1:16">
      <c r="A10" s="24" t="s">
        <v>214</v>
      </c>
      <c r="B10" s="25">
        <f ca="1">'EF ele_warmte'!B12</f>
        <v>0.20659172822345961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28.968235008152327</v>
      </c>
      <c r="C12" s="23">
        <f ca="1">C10*C8</f>
        <v>0</v>
      </c>
      <c r="D12" s="23">
        <f>D8*D10</f>
        <v>46.009789672000004</v>
      </c>
      <c r="E12" s="23">
        <f>E10*E8</f>
        <v>0</v>
      </c>
      <c r="F12" s="23">
        <f>F10*F8</f>
        <v>102.30015349252668</v>
      </c>
      <c r="G12" s="23"/>
      <c r="H12" s="23"/>
      <c r="I12" s="23"/>
      <c r="J12" s="23">
        <f>J10*J8</f>
        <v>27.460742642321978</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v>
      </c>
      <c r="C18" s="166" t="s">
        <v>111</v>
      </c>
      <c r="D18" s="228"/>
      <c r="E18" s="15"/>
    </row>
    <row r="19" spans="1:7">
      <c r="A19" s="171" t="s">
        <v>72</v>
      </c>
      <c r="B19" s="37">
        <f>aantalw2001_ander</f>
        <v>1</v>
      </c>
      <c r="C19" s="166" t="s">
        <v>111</v>
      </c>
      <c r="D19" s="229"/>
      <c r="E19" s="15"/>
    </row>
    <row r="20" spans="1:7">
      <c r="A20" s="171" t="s">
        <v>73</v>
      </c>
      <c r="B20" s="37">
        <f>aantalw2001_propaan</f>
        <v>0</v>
      </c>
      <c r="C20" s="167">
        <f>IF(ISERROR(B20/SUM($B$20,$B$21,$B$22)*100),0,B20/SUM($B$20,$B$21,$B$22)*100)</f>
        <v>0</v>
      </c>
      <c r="D20" s="229"/>
      <c r="E20" s="15"/>
    </row>
    <row r="21" spans="1:7">
      <c r="A21" s="171" t="s">
        <v>74</v>
      </c>
      <c r="B21" s="37">
        <f>aantalw2001_elektriciteit</f>
        <v>3</v>
      </c>
      <c r="C21" s="167">
        <f>IF(ISERROR(B21/SUM($B$20,$B$21,$B$22)*100),0,B21/SUM($B$20,$B$21,$B$22)*100)</f>
        <v>100</v>
      </c>
      <c r="D21" s="229"/>
      <c r="E21" s="15"/>
    </row>
    <row r="22" spans="1:7">
      <c r="A22" s="171" t="s">
        <v>75</v>
      </c>
      <c r="B22" s="37">
        <f>aantalw2001_hout</f>
        <v>0</v>
      </c>
      <c r="C22" s="167">
        <f>IF(ISERROR(B22/SUM($B$20,$B$21,$B$22)*100),0,B22/SUM($B$20,$B$21,$B$22)*100)</f>
        <v>0</v>
      </c>
      <c r="D22" s="229"/>
      <c r="E22" s="15"/>
    </row>
    <row r="23" spans="1:7">
      <c r="A23" s="171" t="s">
        <v>76</v>
      </c>
      <c r="B23" s="37">
        <f>aantalw2001_niet_gespec</f>
        <v>1</v>
      </c>
      <c r="C23" s="166" t="s">
        <v>111</v>
      </c>
      <c r="D23" s="228"/>
      <c r="E23" s="15"/>
    </row>
    <row r="24" spans="1:7">
      <c r="A24" s="171" t="s">
        <v>77</v>
      </c>
      <c r="B24" s="37">
        <f>aantalw2001_steenkool</f>
        <v>3</v>
      </c>
      <c r="C24" s="166" t="s">
        <v>111</v>
      </c>
      <c r="D24" s="229"/>
      <c r="E24" s="15"/>
    </row>
    <row r="25" spans="1:7">
      <c r="A25" s="171" t="s">
        <v>78</v>
      </c>
      <c r="B25" s="37">
        <f>aantalw2001_stookolie</f>
        <v>22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34</v>
      </c>
      <c r="C28" s="36"/>
      <c r="D28" s="228"/>
    </row>
    <row r="29" spans="1:7" s="15" customFormat="1">
      <c r="A29" s="230" t="s">
        <v>795</v>
      </c>
      <c r="B29" s="37">
        <f>SUM(HH_hh_gas_aantal,HH_rest_gas_aantal)</f>
        <v>12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12</v>
      </c>
      <c r="C32" s="167">
        <f>IF(ISERROR(B32/SUM($B$32,$B$34,$B$35,$B$36,$B$38,$B$39)*100),0,B32/SUM($B$32,$B$34,$B$35,$B$36,$B$38,$B$39)*100)</f>
        <v>35.294117647058826</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4.9999999999999991</v>
      </c>
      <c r="C35" s="167">
        <f>IF(ISERROR(B35/SUM($B$32,$B$34,$B$35,$B$36,$B$38,$B$39)*100),0,B35/SUM($B$32,$B$34,$B$35,$B$36,$B$38,$B$39)*100)</f>
        <v>14.705882352941174</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2.2000000000000002</v>
      </c>
      <c r="C38" s="167">
        <f>IF(ISERROR(B38/SUM($B$32,$B$34,$B$35,$B$36,$B$38,$B$39)*100),0,B38/SUM($B$32,$B$34,$B$35,$B$36,$B$38,$B$39)*100)</f>
        <v>6.4705882352941186</v>
      </c>
      <c r="D38" s="234"/>
      <c r="G38" s="15"/>
    </row>
    <row r="39" spans="1:7">
      <c r="A39" s="171" t="s">
        <v>78</v>
      </c>
      <c r="B39" s="33">
        <f>IF((B25-(B29-B18))&lt;0,0,B25-(B29-B18)*0.9)</f>
        <v>14.8</v>
      </c>
      <c r="C39" s="167">
        <f>IF(ISERROR(B39/SUM($B$32,$B$34,$B$35,$B$36,$B$38,$B$39)*100),0,B39/SUM($B$32,$B$34,$B$35,$B$36,$B$38,$B$39)*100)</f>
        <v>43.529411764705884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12</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4.9999999999999991</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2.2000000000000002</v>
      </c>
      <c r="C50" s="33">
        <f>B50*2</f>
        <v>4.4000000000000004</v>
      </c>
      <c r="D50" s="234"/>
    </row>
    <row r="51" spans="1:6">
      <c r="A51" s="171" t="s">
        <v>78</v>
      </c>
      <c r="B51" s="33">
        <f t="shared" si="0"/>
        <v>14.8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18.834</v>
      </c>
      <c r="C5" s="17">
        <f>IF(ISERROR('Eigen informatie GS &amp; warmtenet'!B58),0,'Eigen informatie GS &amp; warmtenet'!B58)</f>
        <v>0</v>
      </c>
      <c r="D5" s="30">
        <f>SUM(D6:D12)</f>
        <v>9.5864560000000001</v>
      </c>
      <c r="E5" s="17">
        <f>SUM(E6:E12)</f>
        <v>0.23388027982865836</v>
      </c>
      <c r="F5" s="17">
        <f>SUM(F6:F12)</f>
        <v>3.2568637485594518</v>
      </c>
      <c r="G5" s="18"/>
      <c r="H5" s="17"/>
      <c r="I5" s="17"/>
      <c r="J5" s="17">
        <f>SUM(J6:J12)</f>
        <v>4.560700630458252E-5</v>
      </c>
      <c r="K5" s="17"/>
      <c r="L5" s="17"/>
      <c r="M5" s="17"/>
      <c r="N5" s="17">
        <f>SUM(N6:N12)</f>
        <v>1.8237085487776969</v>
      </c>
      <c r="O5" s="17">
        <f>B38*B39*B40</f>
        <v>0</v>
      </c>
      <c r="P5" s="17">
        <f>B46*B47*B48/1000-B46*B47*B48/1000/B49</f>
        <v>0</v>
      </c>
      <c r="R5" s="32"/>
    </row>
    <row r="6" spans="1:18">
      <c r="A6" s="32" t="s">
        <v>54</v>
      </c>
      <c r="B6" s="37">
        <f>B26</f>
        <v>0</v>
      </c>
      <c r="C6" s="33"/>
      <c r="D6" s="37">
        <f>IF(ISERROR(TER_kantoor_gas_kWh/1000),0,TER_kantoor_gas_kWh/1000)*0.902</f>
        <v>0</v>
      </c>
      <c r="E6" s="33">
        <f>$C$26*'E Balans VL '!I12/100/3.6*1000000</f>
        <v>0</v>
      </c>
      <c r="F6" s="33">
        <f>$C$26*('E Balans VL '!L12+'E Balans VL '!N12)/100/3.6*1000000</f>
        <v>0</v>
      </c>
      <c r="G6" s="34"/>
      <c r="H6" s="33"/>
      <c r="I6" s="33"/>
      <c r="J6" s="33">
        <f>$C$26*('E Balans VL '!D12+'E Balans VL '!E12)/100/3.6*1000000</f>
        <v>0</v>
      </c>
      <c r="K6" s="33"/>
      <c r="L6" s="33"/>
      <c r="M6" s="33"/>
      <c r="N6" s="33">
        <f>$C$26*'E Balans VL '!Y12/100/3.6*1000000</f>
        <v>0</v>
      </c>
      <c r="O6" s="33"/>
      <c r="P6" s="33"/>
      <c r="R6" s="32"/>
    </row>
    <row r="7" spans="1:18">
      <c r="A7" s="32" t="s">
        <v>53</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18.834</v>
      </c>
      <c r="C12" s="33"/>
      <c r="D12" s="37">
        <f>IF(ISERROR(TER_rest_gas_kWh/1000),0,TER_rest_gas_kWh/1000)*0.902</f>
        <v>9.5864560000000001</v>
      </c>
      <c r="E12" s="33">
        <f>$C$32*'E Balans VL '!I8/100/3.6*1000000</f>
        <v>0.23388027982865836</v>
      </c>
      <c r="F12" s="33">
        <f>$C$32*('E Balans VL '!L8+'E Balans VL '!N8)/100/3.6*1000000</f>
        <v>3.2568637485594518</v>
      </c>
      <c r="G12" s="34"/>
      <c r="H12" s="33"/>
      <c r="I12" s="33"/>
      <c r="J12" s="33">
        <f>$C$32*('E Balans VL '!D8+'E Balans VL '!E8)/100/3.6*1000000</f>
        <v>4.560700630458252E-5</v>
      </c>
      <c r="K12" s="33"/>
      <c r="L12" s="33"/>
      <c r="M12" s="33"/>
      <c r="N12" s="33">
        <f>$C$32*'E Balans VL '!Y8/100/3.6*1000000</f>
        <v>1.8237085487776969</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18.834</v>
      </c>
      <c r="C16" s="21">
        <f t="shared" ca="1" si="1"/>
        <v>0</v>
      </c>
      <c r="D16" s="21">
        <f t="shared" ca="1" si="1"/>
        <v>9.5864560000000001</v>
      </c>
      <c r="E16" s="21">
        <f t="shared" si="1"/>
        <v>0.23388027982865836</v>
      </c>
      <c r="F16" s="21">
        <f t="shared" ca="1" si="1"/>
        <v>3.2568637485594518</v>
      </c>
      <c r="G16" s="21">
        <f t="shared" si="1"/>
        <v>0</v>
      </c>
      <c r="H16" s="21">
        <f t="shared" si="1"/>
        <v>0</v>
      </c>
      <c r="I16" s="21">
        <f t="shared" si="1"/>
        <v>0</v>
      </c>
      <c r="J16" s="21">
        <f t="shared" si="1"/>
        <v>4.560700630458252E-5</v>
      </c>
      <c r="K16" s="21">
        <f t="shared" si="1"/>
        <v>0</v>
      </c>
      <c r="L16" s="21">
        <f t="shared" ca="1" si="1"/>
        <v>0</v>
      </c>
      <c r="M16" s="21">
        <f t="shared" si="1"/>
        <v>0</v>
      </c>
      <c r="N16" s="21">
        <f t="shared" ca="1" si="1"/>
        <v>1.8237085487776969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0.20659172822345961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3.8909486093606382</v>
      </c>
      <c r="C20" s="23">
        <f t="shared" ref="C20:P20" ca="1" si="2">C16*C18</f>
        <v>0</v>
      </c>
      <c r="D20" s="23">
        <f t="shared" ca="1" si="2"/>
        <v>1.9364641120000001</v>
      </c>
      <c r="E20" s="23">
        <f t="shared" si="2"/>
        <v>5.3090823521105453E-2</v>
      </c>
      <c r="F20" s="23">
        <f t="shared" ca="1" si="2"/>
        <v>0.86958262086537363</v>
      </c>
      <c r="G20" s="23">
        <f t="shared" si="2"/>
        <v>0</v>
      </c>
      <c r="H20" s="23">
        <f t="shared" si="2"/>
        <v>0</v>
      </c>
      <c r="I20" s="23">
        <f t="shared" si="2"/>
        <v>0</v>
      </c>
      <c r="J20" s="23">
        <f t="shared" si="2"/>
        <v>1.6144880231822212E-5</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0</v>
      </c>
      <c r="C26" s="39">
        <f>IF(ISERROR(B26*3.6/1000000/'E Balans VL '!Z12*100),0,B26*3.6/1000000/'E Balans VL '!Z12*100)</f>
        <v>0</v>
      </c>
      <c r="D26" s="237" t="s">
        <v>754</v>
      </c>
      <c r="F26" s="6"/>
    </row>
    <row r="27" spans="1:18">
      <c r="A27" s="231" t="s">
        <v>53</v>
      </c>
      <c r="B27" s="33">
        <f>IF(ISERROR(TER_horeca_ele_kWh/1000),0,TER_horeca_ele_kWh/1000)</f>
        <v>0</v>
      </c>
      <c r="C27" s="39">
        <f>IF(ISERROR(B27*3.6/1000000/'E Balans VL '!Z9*100),0,B27*3.6/1000000/'E Balans VL '!Z9*100)</f>
        <v>0</v>
      </c>
      <c r="D27" s="237" t="s">
        <v>754</v>
      </c>
      <c r="F27" s="6"/>
    </row>
    <row r="28" spans="1:18">
      <c r="A28" s="171" t="s">
        <v>52</v>
      </c>
      <c r="B28" s="33">
        <f>IF(ISERROR(TER_handel_ele_kWh/1000),0,TER_handel_ele_kWh/1000)</f>
        <v>0</v>
      </c>
      <c r="C28" s="39">
        <f>IF(ISERROR(B28*3.6/1000000/'E Balans VL '!Z13*100),0,B28*3.6/1000000/'E Balans VL '!Z13*100)</f>
        <v>0</v>
      </c>
      <c r="D28" s="237" t="s">
        <v>754</v>
      </c>
      <c r="F28" s="6"/>
    </row>
    <row r="29" spans="1:18">
      <c r="A29" s="231" t="s">
        <v>51</v>
      </c>
      <c r="B29" s="33">
        <f>IF(ISERROR(TER_gezond_ele_kWh/1000),0,TER_gezond_ele_kWh/1000)</f>
        <v>0</v>
      </c>
      <c r="C29" s="39">
        <f>IF(ISERROR(B29*3.6/1000000/'E Balans VL '!Z10*100),0,B29*3.6/1000000/'E Balans VL '!Z10*100)</f>
        <v>0</v>
      </c>
      <c r="D29" s="237" t="s">
        <v>754</v>
      </c>
      <c r="F29" s="6"/>
    </row>
    <row r="30" spans="1:18">
      <c r="A30" s="231" t="s">
        <v>50</v>
      </c>
      <c r="B30" s="33">
        <f>IF(ISERROR(TER_ander_ele_kWh/1000),0,TER_ander_ele_kWh/1000)</f>
        <v>0</v>
      </c>
      <c r="C30" s="39">
        <f>IF(ISERROR(B30*3.6/1000000/'E Balans VL '!Z14*100),0,B30*3.6/1000000/'E Balans VL '!Z14*100)</f>
        <v>0</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18.834</v>
      </c>
      <c r="C32" s="39">
        <f>IF(ISERROR(B32*3.6/1000000/'E Balans VL '!Z8*100),0,B32*3.6/1000000/'E Balans VL '!Z8*100)</f>
        <v>1.5497882040627466E-4</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40.795000000000002</v>
      </c>
      <c r="C5" s="17">
        <f>IF(ISERROR('Eigen informatie GS &amp; warmtenet'!B59),0,'Eigen informatie GS &amp; warmtenet'!B59)</f>
        <v>0</v>
      </c>
      <c r="D5" s="30">
        <f>SUM(D6:D15)</f>
        <v>82.164081999999993</v>
      </c>
      <c r="E5" s="17">
        <f>SUM(E6:E15)</f>
        <v>2.252534323855035</v>
      </c>
      <c r="F5" s="17">
        <f>SUM(F6:F15)</f>
        <v>8.0802684847985002</v>
      </c>
      <c r="G5" s="18"/>
      <c r="H5" s="17"/>
      <c r="I5" s="17"/>
      <c r="J5" s="17">
        <f>SUM(J6:J15)</f>
        <v>0.14604532425746533</v>
      </c>
      <c r="K5" s="17"/>
      <c r="L5" s="17"/>
      <c r="M5" s="17"/>
      <c r="N5" s="17">
        <f>SUM(N6:N15)</f>
        <v>9.1509588425037585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40.795000000000002</v>
      </c>
      <c r="C15" s="33"/>
      <c r="D15" s="37">
        <f>IF( ISERROR(IND_rest_gas_kWh/1000),0,IND_rest_gas_kWh/1000)*0.902</f>
        <v>82.164081999999993</v>
      </c>
      <c r="E15" s="33">
        <f>C37*'E Balans VL '!I15/100/3.6*1000000</f>
        <v>2.252534323855035</v>
      </c>
      <c r="F15" s="33">
        <f>C37*'E Balans VL '!L15/100/3.6*1000000+C37*'E Balans VL '!N15/100/3.6*1000000</f>
        <v>8.0802684847985002</v>
      </c>
      <c r="G15" s="34"/>
      <c r="H15" s="33"/>
      <c r="I15" s="33"/>
      <c r="J15" s="40">
        <f>C37*'E Balans VL '!D15/100/3.6*1000000+C37*'E Balans VL '!E15/100/3.6*1000000</f>
        <v>0.14604532425746533</v>
      </c>
      <c r="K15" s="33"/>
      <c r="L15" s="33"/>
      <c r="M15" s="33"/>
      <c r="N15" s="33">
        <f>C37*'E Balans VL '!Y15/100/3.6*1000000</f>
        <v>9.1509588425037585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40.795000000000002</v>
      </c>
      <c r="C18" s="21">
        <f>C5+C16</f>
        <v>0</v>
      </c>
      <c r="D18" s="21">
        <f>MAX((D5+D16),0)</f>
        <v>82.164081999999993</v>
      </c>
      <c r="E18" s="21">
        <f>MAX((E5+E16),0)</f>
        <v>2.252534323855035</v>
      </c>
      <c r="F18" s="21">
        <f>MAX((F5+F16),0)</f>
        <v>8.0802684847985002</v>
      </c>
      <c r="G18" s="21"/>
      <c r="H18" s="21"/>
      <c r="I18" s="21"/>
      <c r="J18" s="21">
        <f>MAX((J5+J16),0)</f>
        <v>0.14604532425746533</v>
      </c>
      <c r="K18" s="21"/>
      <c r="L18" s="21">
        <f>MAX((L5+L16),0)</f>
        <v>0</v>
      </c>
      <c r="M18" s="21"/>
      <c r="N18" s="21">
        <f>MAX((N5+N16),0)</f>
        <v>9.1509588425037585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0.20659172822345961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8.4279095528760362</v>
      </c>
      <c r="C22" s="23">
        <f ca="1">C18*C20</f>
        <v>0</v>
      </c>
      <c r="D22" s="23">
        <f>D18*D20</f>
        <v>16.597144564000001</v>
      </c>
      <c r="E22" s="23">
        <f>E18*E20</f>
        <v>0.51132529151509298</v>
      </c>
      <c r="F22" s="23">
        <f>F18*F20</f>
        <v>2.1574316854411997</v>
      </c>
      <c r="G22" s="23"/>
      <c r="H22" s="23"/>
      <c r="I22" s="23"/>
      <c r="J22" s="23">
        <f>J18*J20</f>
        <v>5.1700044787142727E-2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0</v>
      </c>
      <c r="C31" s="39">
        <f>IF(ISERROR(B31*3.6/1000000/'E Balans VL '!Z19*100),0,B31*3.6/1000000/'E Balans VL '!Z19*100)</f>
        <v>0</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40.795000000000002</v>
      </c>
      <c r="C37" s="39">
        <f>IF(ISERROR(B37*3.6/1000000/'E Balans VL '!Z15*100),0,B37*3.6/1000000/'E Balans VL '!Z15*100)</f>
        <v>3.2335047602484863E-4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200.773</v>
      </c>
      <c r="C5" s="17">
        <f>'Eigen informatie GS &amp; warmtenet'!B60</f>
        <v>0</v>
      </c>
      <c r="D5" s="30">
        <f>IF(ISERROR(SUM(LB_lb_gas_kWh,LB_rest_gas_kWh,onbekend_gas_kWh)/1000),0,SUM(LB_lb_gas_kWh,LB_rest_gas_kWh,onbekend_gas_kWh)/1000)*0.902</f>
        <v>95.723848000000004</v>
      </c>
      <c r="E5" s="17">
        <f>B17*'E Balans VL '!I25/3.6*1000000/100</f>
        <v>5.9013317015220998</v>
      </c>
      <c r="F5" s="17">
        <f>B17*('E Balans VL '!L25/3.6*1000000+'E Balans VL '!N25/3.6*1000000)/100</f>
        <v>836.40946879652927</v>
      </c>
      <c r="G5" s="18"/>
      <c r="H5" s="17"/>
      <c r="I5" s="17"/>
      <c r="J5" s="17">
        <f>('E Balans VL '!D25+'E Balans VL '!E25)/3.6*1000000*landbouw!B17/100</f>
        <v>29.087696050470029</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200.773</v>
      </c>
      <c r="C8" s="21">
        <f>C5+C6</f>
        <v>0</v>
      </c>
      <c r="D8" s="21">
        <f>MAX((D5+D6),0)</f>
        <v>95.723848000000004</v>
      </c>
      <c r="E8" s="21">
        <f>MAX((E5+E6),0)</f>
        <v>5.9013317015220998</v>
      </c>
      <c r="F8" s="21">
        <f>MAX((F5+F6),0)</f>
        <v>836.40946879652927</v>
      </c>
      <c r="G8" s="21"/>
      <c r="H8" s="21"/>
      <c r="I8" s="21"/>
      <c r="J8" s="21">
        <f>MAX((J5+J6),0)</f>
        <v>29.087696050470029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0.20659172822345961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41.47804105060866</v>
      </c>
      <c r="C12" s="23">
        <f ca="1">C8*C10</f>
        <v>0</v>
      </c>
      <c r="D12" s="23">
        <f>D8*D10</f>
        <v>19.336217296000001</v>
      </c>
      <c r="E12" s="23">
        <f>E8*E10</f>
        <v>1.3396022962455167</v>
      </c>
      <c r="F12" s="23">
        <f>F8*F10</f>
        <v>223.32132816867332</v>
      </c>
      <c r="G12" s="23"/>
      <c r="H12" s="23"/>
      <c r="I12" s="23"/>
      <c r="J12" s="23">
        <f>J8*J10</f>
        <v>10.29704440186639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2.8490318606077321E-2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0.40582756297638944</v>
      </c>
      <c r="C26" s="247">
        <f>B26*'GWP N2O_CH4'!B5</f>
        <v>8.5223788225041783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2.3253797856975355E-2</v>
      </c>
      <c r="C27" s="247">
        <f>B27*'GWP N2O_CH4'!B5</f>
        <v>0.48832975499648246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4.9117956178921611E-3</v>
      </c>
      <c r="C28" s="247">
        <f>B28*'GWP N2O_CH4'!B4</f>
        <v>1.5226566415465699</v>
      </c>
      <c r="D28" s="50"/>
    </row>
    <row r="29" spans="1:4">
      <c r="A29" s="41" t="s">
        <v>277</v>
      </c>
      <c r="B29" s="247">
        <f>B34*'ha_N2O bodem landbouw'!B4</f>
        <v>0.75472388466223306</v>
      </c>
      <c r="C29" s="247">
        <f>B29*'GWP N2O_CH4'!B4</f>
        <v>233.96440424529226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1.7222538958570885E-4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5.2070159165860807E-6</v>
      </c>
      <c r="C5" s="463" t="s">
        <v>211</v>
      </c>
      <c r="D5" s="448">
        <f>SUM(D6:D11)</f>
        <v>1.7579482556045594E-5</v>
      </c>
      <c r="E5" s="448">
        <f>SUM(E6:E11)</f>
        <v>2.3563636871818457E-5</v>
      </c>
      <c r="F5" s="461" t="s">
        <v>211</v>
      </c>
      <c r="G5" s="448">
        <f>SUM(G6:G11)</f>
        <v>7.6882628284565772E-3</v>
      </c>
      <c r="H5" s="448">
        <f>SUM(H6:H11)</f>
        <v>1.9852451835927188E-3</v>
      </c>
      <c r="I5" s="463" t="s">
        <v>211</v>
      </c>
      <c r="J5" s="463" t="s">
        <v>211</v>
      </c>
      <c r="K5" s="463" t="s">
        <v>211</v>
      </c>
      <c r="L5" s="463" t="s">
        <v>211</v>
      </c>
      <c r="M5" s="448">
        <f>SUM(M6:M11)</f>
        <v>5.0810965029297103E-4</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4.366497305811169E-6</v>
      </c>
      <c r="C6" s="449"/>
      <c r="D6" s="962">
        <f>vkm_2011_GW_PW*SUMIFS(TableVerdeelsleutelVkm[CNG],TableVerdeelsleutelVkm[Voertuigtype],"Lichte voertuigen")*SUMIFS(TableECFTransport[EnergieConsumptieFactor (PJ per km)],TableECFTransport[Index],CONCATENATE($A6,"_CNG_CNG"))</f>
        <v>1.3096985775941075E-5</v>
      </c>
      <c r="E6" s="962">
        <f>vkm_2011_GW_PW*SUMIFS(TableVerdeelsleutelVkm[LPG],TableVerdeelsleutelVkm[Voertuigtype],"Lichte voertuigen")*SUMIFS(TableECFTransport[EnergieConsumptieFactor (PJ per km)],TableECFTransport[Index],CONCATENATE($A6,"_LPG_LPG"))</f>
        <v>1.7892363859228044E-5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4.6261450952889745E-3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1.4893708851418546E-3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3.1448465620190555E-4</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1.6278867058295873E-3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4.9606000990721759E-7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9.5128293689883747E-5</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8.405186107749118E-7</v>
      </c>
      <c r="C8" s="449"/>
      <c r="D8" s="451">
        <f>vkm_2011_NGW_PW*SUMIFS(TableVerdeelsleutelVkm[CNG],TableVerdeelsleutelVkm[Voertuigtype],"Lichte voertuigen")*SUMIFS(TableECFTransport[EnergieConsumptieFactor (PJ per km)],TableECFTransport[Index],CONCATENATE($A8,"_CNG_CNG"))</f>
        <v>4.4824967801045201E-6</v>
      </c>
      <c r="E8" s="451">
        <f>vkm_2011_NGW_PW*SUMIFS(TableVerdeelsleutelVkm[LPG],TableVerdeelsleutelVkm[Voertuigtype],"Lichte voertuigen")*SUMIFS(TableECFTransport[EnergieConsumptieFactor (PJ per km)],TableECFTransport[Index],CONCATENATE($A8,"_LPG_LPG"))</f>
        <v>5.6712730125904118E-6</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1.3664655520389333E-3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4.953587983191547E-4</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9.4536746935174198E-5</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6.7765475299081356E-5</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1.944012180237507E-8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3.9599534660075621E-6</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1.4463933101628001</v>
      </c>
      <c r="C14" s="21"/>
      <c r="D14" s="21">
        <f t="shared" ref="D14:M14" si="0">((D5)*10^9/3600)+D12</f>
        <v>4.8831895989015539</v>
      </c>
      <c r="E14" s="21">
        <f t="shared" si="0"/>
        <v>6.545454686616238</v>
      </c>
      <c r="F14" s="21"/>
      <c r="G14" s="21">
        <f t="shared" si="0"/>
        <v>2135.6285634601604</v>
      </c>
      <c r="H14" s="21">
        <f t="shared" si="0"/>
        <v>551.45699544242188</v>
      </c>
      <c r="I14" s="21"/>
      <c r="J14" s="21"/>
      <c r="K14" s="21"/>
      <c r="L14" s="21"/>
      <c r="M14" s="21">
        <f t="shared" si="0"/>
        <v>141.14156952582528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0.20659172822345961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0.29881289363738334</v>
      </c>
      <c r="C18" s="23"/>
      <c r="D18" s="23">
        <f t="shared" ref="D18:M18" si="1">D14*D16</f>
        <v>0.98640429897811399</v>
      </c>
      <c r="E18" s="23">
        <f t="shared" si="1"/>
        <v>1.4858182138618861</v>
      </c>
      <c r="F18" s="23"/>
      <c r="G18" s="23">
        <f t="shared" si="1"/>
        <v>570.21282644386281</v>
      </c>
      <c r="H18" s="23">
        <f t="shared" si="1"/>
        <v>137.31279186516304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5.2204898775450532E-5</v>
      </c>
      <c r="H50" s="321">
        <f t="shared" si="2"/>
        <v>0</v>
      </c>
      <c r="I50" s="321">
        <f t="shared" si="2"/>
        <v>0</v>
      </c>
      <c r="J50" s="321">
        <f t="shared" si="2"/>
        <v>0</v>
      </c>
      <c r="K50" s="321">
        <f t="shared" si="2"/>
        <v>0</v>
      </c>
      <c r="L50" s="321">
        <f t="shared" si="2"/>
        <v>0</v>
      </c>
      <c r="M50" s="321">
        <f t="shared" si="2"/>
        <v>2.9650077879322974E-6</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5.2204898775450532E-5</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2.9650077879322974E-6</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14.501360770958481</v>
      </c>
      <c r="H54" s="21">
        <f t="shared" si="3"/>
        <v>0</v>
      </c>
      <c r="I54" s="21">
        <f t="shared" si="3"/>
        <v>0</v>
      </c>
      <c r="J54" s="21">
        <f t="shared" si="3"/>
        <v>0</v>
      </c>
      <c r="K54" s="21">
        <f t="shared" si="3"/>
        <v>0</v>
      </c>
      <c r="L54" s="21">
        <f t="shared" si="3"/>
        <v>0</v>
      </c>
      <c r="M54" s="21">
        <f t="shared" si="3"/>
        <v>0.82361327442563825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0.20659172822345961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3.8718633258459145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26.917723496474565</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26.917723496474565</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2019-01-01T21:21:55Z</dcterms:modified>
</cp:coreProperties>
</file>