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F16"/>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41" i="14" l="1"/>
  <c r="Q53" s="1"/>
  <c r="Q15"/>
  <c r="Q2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18" i="15"/>
  <c r="C20" s="1"/>
  <c r="D36" i="14" s="1"/>
  <c r="C16" i="22"/>
  <c r="C20" i="16"/>
  <c r="C22" s="1"/>
  <c r="D39" i="14" s="1"/>
  <c r="C10" i="13"/>
  <c r="C10" i="17"/>
  <c r="C12" s="1"/>
  <c r="D48" i="14" s="1"/>
  <c r="C56" i="22"/>
  <c r="C58" s="1"/>
  <c r="D44" i="14" s="1"/>
  <c r="D46" s="1"/>
  <c r="C17" i="49"/>
  <c r="Q5" i="48"/>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14" i="48"/>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<sst xmlns="http://schemas.openxmlformats.org/spreadsheetml/2006/main" count="2115" uniqueCount="852">
  <si>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</si>
  <si>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</si>
  <si>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</si>
  <si>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</si>
  <si>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</si>
  <si>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</si>
  <si>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</si>
  <si>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</si>
  <si>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</si>
  <si>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</si>
  <si>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</si>
  <si>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</si>
  <si>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</si>
  <si>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</si>
  <si>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</si>
  <si>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</si>
  <si>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</si>
  <si>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</si>
  <si>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</si>
  <si>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</si>
  <si>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</si>
  <si>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</si>
  <si>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</si>
  <si>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</si>
  <si>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</si>
  <si>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</si>
  <si>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</si>
  <si>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</si>
  <si>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</si>
  <si>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</si>
  <si>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</si>
  <si>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</si>
  <si>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</si>
  <si>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</si>
  <si>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</si>
  <si>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</si>
  <si>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</si>
  <si>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</si>
  <si>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</si>
  <si>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</si>
  <si>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</si>
  <si>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</si>
  <si>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</si>
  <si>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</si>
  <si>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</si>
  <si>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</si>
  <si>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</si>
  <si>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</si>
  <si>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</si>
  <si>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</si>
  <si>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</si>
  <si>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</si>
  <si>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</si>
  <si>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</si>
  <si>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</si>
  <si>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</si>
  <si>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</si>
  <si>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</si>
  <si>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</si>
  <si>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</si>
  <si>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</si>
  <si>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</si>
  <si>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</si>
  <si>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</si>
  <si>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</si>
  <si>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</si>
  <si>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</si>
  <si>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</si>
  <si>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</si>
  <si>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</si>
  <si>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</si>
  <si>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</si>
  <si>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</si>
  <si>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</si>
  <si>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</si>
  <si>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</si>
  <si>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</si>
  <si>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</si>
  <si>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</si>
  <si>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</si>
  <si>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</si>
  <si>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</si>
  <si>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</si>
  <si>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</si>
  <si>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</si>
  <si>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</si>
  <si>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</si>
  <si>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</si>
  <si>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</si>
  <si>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</si>
  <si>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</si>
  <si>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</si>
  <si>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</si>
  <si>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</si>
  <si>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</si>
  <si>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</si>
  <si>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</si>
  <si>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</si>
  <si>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</si>
  <si>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</si>
  <si>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</si>
  <si>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</si>
  <si>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</si>
  <si>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</si>
  <si>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</si>
  <si>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</si>
  <si>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</si>
  <si>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</si>
  <si>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</si>
  <si>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</si>
  <si>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</si>
  <si>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</si>
  <si>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</si>
  <si>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</si>
  <si>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</si>
  <si>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</si>
  <si>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</si>
  <si>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</si>
  <si>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</si>
  <si>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</si>
  <si>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</si>
  <si>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</si>
  <si>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</si>
  <si>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</si>
  <si>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</si>
  <si>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</si>
  <si>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</si>
  <si>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</si>
  <si>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</si>
  <si>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</si>
  <si>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</si>
  <si>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</si>
  <si>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</si>
  <si>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</si>
  <si>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</si>
  <si>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</si>
  <si>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</si>
  <si>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</si>
  <si>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</si>
  <si>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</si>
  <si>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</si>
  <si>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</si>
  <si>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</si>
  <si>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</si>
  <si>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</si>
  <si>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</si>
  <si>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</si>
  <si>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</si>
  <si>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</si>
  <si>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</si>
  <si>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</si>
  <si>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</si>
  <si>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</si>
  <si>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</si>
  <si>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</si>
  <si>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</si>
  <si>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</si>
  <si>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</si>
  <si>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</si>
  <si>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</si>
  <si>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</si>
  <si>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</si>
  <si>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</si>
  <si>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</si>
  <si>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</si>
  <si>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</si>
  <si>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</si>
  <si>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</si>
  <si>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</si>
  <si>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</si>
  <si>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</si>
  <si>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</si>
  <si>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</si>
  <si>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</si>
  <si>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</si>
  <si>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</si>
  <si>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</si>
  <si>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</si>
  <si>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</si>
  <si>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</si>
  <si>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</si>
  <si>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</si>
  <si>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</si>
  <si>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</si>
  <si>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</si>
  <si>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</si>
  <si>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</si>
  <si>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</si>
  <si>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</si>
  <si>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</si>
  <si>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</si>
  <si>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</si>
  <si>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</si>
  <si>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</si>
  <si>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</si>
  <si>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</si>
  <si>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</si>
  <si>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</si>
  <si>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</si>
  <si>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</si>
  <si>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</si>
  <si>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</si>
  <si>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</si>
  <si>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</si>
  <si>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</si>
  <si>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</si>
  <si>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</si>
  <si>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</si>
  <si>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</si>
  <si>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</si>
  <si>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</si>
  <si>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</si>
  <si>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</si>
  <si>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</si>
  <si>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</si>
  <si>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</si>
  <si>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</si>
  <si>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</si>
  <si>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</si>
  <si>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</si>
  <si>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</si>
  <si>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</si>
  <si>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</si>
  <si>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</si>
  <si>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</si>
  <si>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</si>
  <si>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</si>
  <si>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</si>
  <si>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</si>
  <si>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</si>
  <si>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</si>
  <si>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</si>
  <si>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</si>
  <si>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</si>
  <si>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</si>
  <si>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</si>
  <si>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</si>
  <si>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</si>
  <si>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</si>
  <si>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</si>
  <si>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</si>
  <si>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</si>
  <si>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</si>
  <si>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</si>
  <si>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</si>
  <si>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</si>
  <si>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</si>
  <si>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</si>
  <si>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</si>
  <si>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</si>
  <si>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</si>
  <si>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</si>
  <si>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</si>
  <si>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</si>
  <si>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</si>
  <si>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</si>
  <si>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</si>
  <si>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</si>
  <si>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</si>
  <si>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</si>
  <si>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</si>
  <si>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</si>
  <si>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</si>
  <si>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</si>
  <si>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</si>
  <si>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</si>
  <si>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</si>
  <si>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</si>
  <si>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</si>
  <si>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</si>
  <si>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</si>
  <si>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</si>
  <si>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</si>
  <si>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</si>
  <si>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</si>
  <si>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</si>
  <si>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</si>
  <si>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</si>
  <si>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</si>
  <si>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</si>
  <si>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</si>
  <si>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</si>
  <si>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</si>
  <si>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</si>
  <si>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</si>
  <si>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</si>
  <si>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</si>
  <si>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</si>
  <si>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</si>
  <si>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</si>
  <si>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</si>
  <si>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</si>
  <si>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</si>
  <si>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</si>
  <si>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</si>
  <si>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</si>
  <si>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</si>
  <si>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</si>
  <si>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</si>
  <si>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</si>
  <si>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</si>
  <si>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</si>
  <si>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</si>
  <si>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</si>
  <si>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</si>
  <si>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</si>
  <si>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</si>
  <si>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</si>
  <si>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</si>
  <si>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</si>
  <si>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</si>
  <si>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</si>
  <si>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</si>
  <si>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</si>
  <si>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</si>
  <si>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</si>
  <si>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</si>
  <si>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</si>
  <si>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</si>
  <si>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</si>
  <si>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</si>
  <si>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</si>
  <si>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</si>
  <si>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</si>
  <si>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</si>
  <si>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</si>
  <si>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</si>
  <si>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</si>
  <si>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</si>
  <si>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</si>
  <si>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</si>
  <si>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</si>
  <si>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</si>
  <si>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</si>
  <si>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</si>
  <si>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</si>
  <si>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</si>
  <si>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</si>
  <si>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</si>
  <si>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</si>
  <si>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</si>
  <si>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</si>
  <si>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</si>
  <si>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</si>
  <si>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</si>
  <si>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</si>
  <si>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</si>
  <si>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</si>
  <si>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</si>
  <si>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</si>
  <si>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</si>
  <si>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</si>
  <si>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</si>
  <si>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</si>
  <si>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</si>
  <si>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</si>
  <si>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</si>
  <si>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</si>
  <si>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</si>
  <si>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</si>
  <si>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</si>
  <si>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</si>
  <si>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</si>
  <si>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</si>
  <si>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</si>
  <si>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</si>
  <si>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</si>
  <si>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</si>
  <si>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</si>
  <si>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</si>
  <si>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</si>
  <si>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</si>
  <si>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</si>
  <si>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</si>
  <si>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</si>
  <si>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</si>
  <si>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</si>
  <si>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</si>
  <si>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</si>
  <si>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</si>
  <si>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</si>
  <si>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</si>
  <si>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</si>
  <si>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</si>
  <si>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</si>
  <si>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</si>
  <si>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</si>
  <si>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</si>
  <si>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</si>
  <si>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</si>
  <si>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</si>
  <si>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</si>
  <si>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</si>
  <si>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</si>
  <si>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</si>
  <si>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</si>
  <si>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</si>
  <si>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</si>
  <si>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</si>
  <si>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</si>
  <si>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</si>
  <si>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</si>
  <si>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</si>
  <si>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</si>
  <si>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</si>
  <si>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</si>
  <si>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</si>
  <si>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</si>
  <si>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</si>
  <si>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</si>
  <si>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</si>
  <si>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</si>
  <si>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</si>
  <si>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</si>
  <si>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</si>
  <si>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</si>
  <si>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</si>
  <si>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</si>
  <si>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</si>
  <si>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</si>
  <si>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</si>
  <si>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</si>
  <si>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</si>
  <si>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</si>
  <si>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</si>
  <si>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</si>
  <si>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</si>
  <si>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</si>
  <si>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</si>
  <si>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</si>
  <si>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</si>
  <si>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</si>
  <si>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</si>
  <si>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</si>
  <si>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</si>
  <si>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</si>
  <si>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</si>
  <si>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</si>
  <si>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</si>
  <si>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</si>
  <si>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</si>
  <si>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</si>
  <si>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</si>
  <si>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</si>
  <si>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</si>
  <si>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</si>
  <si>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</si>
  <si>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</si>
  <si>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</si>
  <si>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</si>
  <si>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</si>
  <si>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</si>
  <si>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</si>
  <si>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</si>
  <si>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</si>
  <si>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</si>
  <si>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</si>
  <si>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</si>
  <si>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</si>
  <si>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</si>
  <si>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</si>
  <si>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</si>
  <si>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</si>
  <si>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</si>
  <si>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</si>
  <si>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</si>
  <si>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</si>
  <si>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</si>
  <si>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</si>
  <si>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</si>
  <si>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</si>
  <si>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</si>
  <si>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</si>
  <si>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</si>
  <si>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</si>
  <si>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</si>
  <si>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</si>
  <si>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</si>
  <si>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</si>
  <si>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</si>
  <si>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</si>
  <si>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</si>
  <si>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</si>
  <si>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</si>
  <si>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</si>
  <si>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</si>
  <si>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</si>
  <si>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</si>
  <si>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</si>
  <si>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</si>
  <si>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</si>
  <si>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</si>
  <si>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</si>
  <si>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</si>
  <si>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</si>
  <si>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</si>
  <si>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</si>
  <si>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</si>
  <si>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</si>
  <si>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</si>
  <si>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</si>
  <si>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</si>
  <si>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</si>
  <si>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</si>
  <si>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</si>
  <si>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</si>
  <si>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</si>
  <si>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</si>
  <si>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</si>
  <si>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</si>
  <si>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</si>
  <si>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</si>
  <si>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</si>
  <si>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</si>
  <si>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</si>
  <si>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</si>
  <si>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</si>
  <si>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</si>
  <si>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</si>
  <si>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</si>
  <si>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</si>
  <si>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</si>
  <si>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</si>
  <si>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</si>
  <si>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</si>
  <si>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</si>
  <si>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</si>
  <si>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</si>
  <si>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</si>
  <si>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</si>
  <si>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</si>
  <si>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</si>
  <si>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</si>
  <si>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</si>
  <si>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</si>
  <si>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</si>
  <si>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</si>
  <si>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</si>
  <si>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</si>
  <si>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</si>
  <si>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</si>
  <si>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</si>
  <si>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</si>
  <si>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</si>
  <si>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</si>
  <si>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</si>
  <si>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</si>
  <si>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</si>
  <si>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</si>
  <si>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</si>
  <si>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</si>
  <si>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</si>
  <si>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</si>
  <si>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</si>
  <si>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</si>
  <si>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</si>
  <si>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</si>
  <si>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</si>
  <si>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</si>
  <si>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</si>
  <si>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</si>
  <si>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</si>
  <si>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</si>
  <si>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</si>
  <si>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</si>
  <si>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</si>
  <si>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</si>
  <si>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</si>
  <si>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</si>
  <si>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</si>
  <si>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</si>
  <si>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</si>
  <si>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</si>
  <si>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</si>
  <si>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</si>
  <si>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</si>
  <si>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</si>
  <si>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</si>
  <si>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</si>
  <si>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</si>
  <si>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</si>
  <si>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</si>
  <si>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</si>
  <si>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</si>
  <si>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</si>
  <si>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</si>
  <si>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</si>
  <si>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</si>
  <si>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</si>
  <si>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</si>
  <si>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</si>
  <si>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</si>
  <si>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</si>
  <si>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</si>
  <si>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</si>
  <si>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</si>
  <si>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</si>
  <si>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</si>
  <si>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</si>
  <si>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</si>
  <si>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</si>
  <si>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</si>
  <si>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</si>
  <si>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</si>
  <si>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</si>
  <si>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</si>
  <si>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</si>
  <si>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</si>
  <si>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</si>
  <si>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</si>
  <si>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</si>
  <si>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</si>
  <si>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</si>
  <si>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</si>
  <si>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</si>
  <si>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</si>
  <si>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</si>
  <si>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</si>
  <si>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</si>
  <si>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</si>
  <si>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</si>
  <si>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</si>
  <si>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</si>
  <si>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</si>
  <si>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</si>
  <si>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</si>
  <si>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</si>
  <si>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</si>
  <si>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</si>
  <si>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</si>
  <si>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</si>
  <si>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</si>
  <si>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</si>
  <si>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</si>
  <si>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</si>
  <si>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</si>
  <si>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</si>
  <si>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</si>
  <si>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</si>
  <si>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</si>
  <si>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</si>
  <si>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</si>
  <si>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</si>
  <si>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</si>
  <si>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</si>
  <si>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</si>
  <si>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</si>
  <si>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</si>
  <si>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</si>
  <si>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</si>
  <si>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</si>
  <si>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</si>
  <si>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</si>
  <si>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</si>
  <si>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</si>
  <si>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</si>
  <si>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</si>
  <si>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</si>
  <si>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</si>
  <si>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</si>
  <si>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</si>
  <si>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</si>
  <si>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</si>
  <si>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</si>
  <si>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</si>
  <si>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</si>
  <si>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</si>
  <si>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</si>
  <si>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</si>
  <si>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</si>
  <si>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</si>
  <si>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</si>
  <si>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</si>
  <si>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</si>
  <si>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</si>
  <si>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</si>
  <si>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</si>
  <si>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</si>
  <si>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</si>
  <si>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</si>
  <si>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</si>
  <si>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</si>
  <si>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</si>
  <si>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</si>
  <si>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</si>
  <si>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</si>
  <si>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</si>
  <si>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</si>
  <si>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</si>
  <si>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</si>
  <si>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</si>
  <si>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</si>
  <si>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</si>
  <si>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</si>
  <si>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</si>
  <si>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</si>
  <si>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</si>
  <si>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</si>
  <si>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</si>
  <si>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</si>
  <si>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</si>
  <si>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</si>
  <si>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</si>
  <si>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</si>
  <si>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</si>
  <si>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</si>
  <si>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</si>
  <si>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</si>
  <si>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</si>
  <si>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</si>
  <si>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</si>
  <si>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</si>
  <si>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</si>
  <si>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</si>
  <si>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</si>
  <si>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</si>
  <si>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</si>
  <si>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</si>
  <si>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</si>
  <si>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</si>
  <si>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</si>
  <si>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</si>
  <si>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</si>
  <si>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</si>
  <si>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</si>
  <si>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</si>
  <si>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</si>
  <si>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</si>
  <si>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</si>
  <si>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</si>
  <si>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</si>
  <si>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</si>
  <si>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</si>
  <si>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</si>
  <si>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</si>
  <si>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</si>
  <si>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</si>
  <si>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</si>
  <si>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</si>
  <si>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</si>
  <si>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</si>
  <si>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</si>
  <si>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</si>
  <si>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</si>
  <si>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</si>
  <si>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</si>
  <si>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</si>
  <si>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</si>
  <si>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</si>
  <si>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</si>
  <si>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</si>
  <si>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</si>
  <si>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</si>
  <si>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</si>
  <si>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</si>
  <si>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</si>
  <si>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</si>
  <si>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</si>
  <si>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</si>
  <si>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</si>
  <si>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</si>
  <si>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</si>
  <si>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</si>
  <si>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</si>
  <si>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</si>
  <si>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</si>
  <si>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</si>
  <si>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</si>
  <si>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</si>
  <si>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</si>
  <si>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</si>
  <si>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</si>
  <si>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</si>
  <si>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</si>
  <si>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</si>
  <si>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</si>
  <si>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</si>
  <si>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</si>
  <si>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</si>
  <si>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</si>
  <si>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</si>
  <si>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</si>
  <si>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</si>
  <si>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</si>
  <si>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</si>
  <si>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</si>
  <si>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</si>
  <si>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</si>
  <si>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</si>
  <si>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</si>
  <si>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</si>
  <si>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</si>
  <si>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</si>
  <si>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</si>
  <si>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</si>
  <si>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</si>
  <si>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</si>
  <si>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</si>
  <si>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</si>
  <si>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</si>
  <si>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</si>
  <si>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</si>
  <si>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</si>
  <si>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</si>
  <si>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</si>
  <si>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</si>
  <si>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</si>
  <si>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</si>
  <si>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</si>
  <si>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</si>
  <si>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</si>
  <si>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</si>
  <si>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</si>
  <si>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</si>
  <si>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</si>
  <si>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</si>
  <si>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</si>
  <si>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</si>
  <si>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</si>
  <si>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</si>
  <si>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</si>
  <si>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</si>
  <si>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</si>
  <si>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</si>
  <si>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</si>
  <si>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</si>
  <si>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</si>
  <si>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</si>
  <si>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</si>
  <si>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</si>
  <si>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</si>
  <si>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</si>
  <si>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</si>
  <si>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</si>
  <si>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</si>
  <si>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</si>
  <si>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73006</t>
  </si>
  <si>
    <t>BILZEN</t>
  </si>
  <si>
    <t>Eandis (januari 2018); Infrax (juni 2018)</t>
  </si>
  <si>
    <t>MOW (september 2017)</t>
  </si>
  <si>
    <t>referentietaak LNE (2017); Jaarverslag De Lijn (2016)</t>
  </si>
  <si>
    <t>VEA (april 2018)</t>
  </si>
  <si>
    <t>VEA (januari 2017)</t>
  </si>
  <si>
    <t>VEA (juni 2018)</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</si>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</sst>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266790.97888655815</c:v>
                </c:pt>
                <c:pt idx="1">
                  <c:v>73599.020676922548</c:v>
                </c:pt>
                <c:pt idx="2">
                  <c:v>1435.5509999999999</c:v>
                </c:pt>
                <c:pt idx="3">
                  <c:v>14782.403234243706</c:v>
                </c:pt>
                <c:pt idx="4">
                  <c:v>153352.41400998872</c:v>
                </c:pt>
                <c:pt idx="5">
                  <c:v>164820.85366018547</c:v>
                </c:pt>
                <c:pt idx="6">
                  <c:v>2816.6951401760516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266790.97888655815</c:v>
                </c:pt>
                <c:pt idx="1">
                  <c:v>73599.020676922548</c:v>
                </c:pt>
                <c:pt idx="2">
                  <c:v>1435.5509999999999</c:v>
                </c:pt>
                <c:pt idx="3">
                  <c:v>14782.403234243706</c:v>
                </c:pt>
                <c:pt idx="4">
                  <c:v>153352.41400998872</c:v>
                </c:pt>
                <c:pt idx="5">
                  <c:v>164820.85366018547</c:v>
                </c:pt>
                <c:pt idx="6">
                  <c:v>2816.6951401760516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52462.902206869992</c:v>
                </c:pt>
                <c:pt idx="1">
                  <c:v>13736.961839880154</c:v>
                </c:pt>
                <c:pt idx="2">
                  <c:v>264.28648134076479</c:v>
                </c:pt>
                <c:pt idx="3">
                  <c:v>3591.4453007896486</c:v>
                </c:pt>
                <c:pt idx="4">
                  <c:v>30532.204768403317</c:v>
                </c:pt>
                <c:pt idx="5">
                  <c:v>41249.814584863947</c:v>
                </c:pt>
                <c:pt idx="6">
                  <c:v>711.63961394250555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52462.902206869992</c:v>
                </c:pt>
                <c:pt idx="1">
                  <c:v>13736.961839880154</c:v>
                </c:pt>
                <c:pt idx="2">
                  <c:v>264.28648134076479</c:v>
                </c:pt>
                <c:pt idx="3">
                  <c:v>3591.4453007896486</c:v>
                </c:pt>
                <c:pt idx="4">
                  <c:v>30532.204768403317</c:v>
                </c:pt>
                <c:pt idx="5">
                  <c:v>41249.814584863947</c:v>
                </c:pt>
                <c:pt idx="6">
                  <c:v>711.63961394250555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73006</v>
      </c>
      <c r="B6" s="415"/>
      <c r="C6" s="416"/>
    </row>
    <row r="7" spans="1:7" s="413" customFormat="1" ht="15.75" customHeight="1">
      <c r="A7" s="417" t="str">
        <f>txtMunicipality</f>
        <v>BILZEN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13077</v>
      </c>
      <c r="C9" s="342">
        <v>13063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3601.92</v>
      </c>
    </row>
    <row r="15" spans="1:6">
      <c r="A15" s="348" t="s">
        <v>184</v>
      </c>
      <c r="B15" s="334">
        <v>29</v>
      </c>
    </row>
    <row r="16" spans="1:6">
      <c r="A16" s="348" t="s">
        <v>6</v>
      </c>
      <c r="B16" s="334">
        <v>1297</v>
      </c>
    </row>
    <row r="17" spans="1:6">
      <c r="A17" s="348" t="s">
        <v>7</v>
      </c>
      <c r="B17" s="334">
        <v>801</v>
      </c>
    </row>
    <row r="18" spans="1:6">
      <c r="A18" s="348" t="s">
        <v>8</v>
      </c>
      <c r="B18" s="334">
        <v>1220</v>
      </c>
    </row>
    <row r="19" spans="1:6">
      <c r="A19" s="348" t="s">
        <v>9</v>
      </c>
      <c r="B19" s="334">
        <v>1110</v>
      </c>
    </row>
    <row r="20" spans="1:6">
      <c r="A20" s="348" t="s">
        <v>10</v>
      </c>
      <c r="B20" s="334">
        <v>703</v>
      </c>
    </row>
    <row r="21" spans="1:6">
      <c r="A21" s="348" t="s">
        <v>11</v>
      </c>
      <c r="B21" s="334">
        <v>2444</v>
      </c>
    </row>
    <row r="22" spans="1:6">
      <c r="A22" s="348" t="s">
        <v>12</v>
      </c>
      <c r="B22" s="334">
        <v>7302</v>
      </c>
    </row>
    <row r="23" spans="1:6">
      <c r="A23" s="348" t="s">
        <v>13</v>
      </c>
      <c r="B23" s="334">
        <v>77</v>
      </c>
    </row>
    <row r="24" spans="1:6">
      <c r="A24" s="348" t="s">
        <v>14</v>
      </c>
      <c r="B24" s="334">
        <v>7</v>
      </c>
    </row>
    <row r="25" spans="1:6">
      <c r="A25" s="348" t="s">
        <v>15</v>
      </c>
      <c r="B25" s="334">
        <v>782</v>
      </c>
    </row>
    <row r="26" spans="1:6">
      <c r="A26" s="348" t="s">
        <v>16</v>
      </c>
      <c r="B26" s="334">
        <v>63</v>
      </c>
    </row>
    <row r="27" spans="1:6">
      <c r="A27" s="348" t="s">
        <v>17</v>
      </c>
      <c r="B27" s="334">
        <v>1957</v>
      </c>
    </row>
    <row r="28" spans="1:6" s="356" customFormat="1">
      <c r="A28" s="355" t="s">
        <v>18</v>
      </c>
      <c r="B28" s="355">
        <v>25051</v>
      </c>
    </row>
    <row r="29" spans="1:6">
      <c r="A29" s="355" t="s">
        <v>744</v>
      </c>
      <c r="B29" s="355">
        <v>151</v>
      </c>
      <c r="C29" s="356"/>
      <c r="D29" s="356"/>
      <c r="E29" s="356"/>
      <c r="F29" s="356"/>
    </row>
    <row r="30" spans="1:6">
      <c r="A30" s="341" t="s">
        <v>745</v>
      </c>
      <c r="B30" s="341">
        <v>19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377258</v>
      </c>
      <c r="E38" s="334">
        <v>2</v>
      </c>
      <c r="F38" s="334">
        <v>224858</v>
      </c>
    </row>
    <row r="39" spans="1:6">
      <c r="A39" s="348" t="s">
        <v>30</v>
      </c>
      <c r="B39" s="348" t="s">
        <v>31</v>
      </c>
      <c r="C39" s="334">
        <v>6476</v>
      </c>
      <c r="D39" s="334">
        <v>90415130.350000098</v>
      </c>
      <c r="E39" s="334">
        <v>13191</v>
      </c>
      <c r="F39" s="334">
        <v>43327546.799999997</v>
      </c>
    </row>
    <row r="40" spans="1:6">
      <c r="A40" s="348" t="s">
        <v>30</v>
      </c>
      <c r="B40" s="348" t="s">
        <v>29</v>
      </c>
      <c r="C40" s="334">
        <v>0</v>
      </c>
      <c r="D40" s="334">
        <v>0</v>
      </c>
      <c r="E40" s="334">
        <v>0</v>
      </c>
      <c r="F40" s="334">
        <v>0</v>
      </c>
    </row>
    <row r="41" spans="1:6">
      <c r="A41" s="348" t="s">
        <v>32</v>
      </c>
      <c r="B41" s="348" t="s">
        <v>33</v>
      </c>
      <c r="C41" s="334">
        <v>101</v>
      </c>
      <c r="D41" s="334">
        <v>4385118.9309999999</v>
      </c>
      <c r="E41" s="334">
        <v>230</v>
      </c>
      <c r="F41" s="334">
        <v>11259188.183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360574</v>
      </c>
      <c r="E44" s="334">
        <v>44</v>
      </c>
      <c r="F44" s="334">
        <v>453466.17200000002</v>
      </c>
    </row>
    <row r="45" spans="1:6">
      <c r="A45" s="348" t="s">
        <v>32</v>
      </c>
      <c r="B45" s="348" t="s">
        <v>37</v>
      </c>
      <c r="C45" s="334">
        <v>4</v>
      </c>
      <c r="D45" s="334">
        <v>121660295</v>
      </c>
      <c r="E45" s="334">
        <v>11</v>
      </c>
      <c r="F45" s="334">
        <v>5622062.7089999998</v>
      </c>
    </row>
    <row r="46" spans="1:6">
      <c r="A46" s="348" t="s">
        <v>32</v>
      </c>
      <c r="B46" s="348" t="s">
        <v>38</v>
      </c>
      <c r="C46" s="334">
        <v>0</v>
      </c>
      <c r="D46" s="334">
        <v>0</v>
      </c>
      <c r="E46" s="334">
        <v>0</v>
      </c>
      <c r="F46" s="334">
        <v>0</v>
      </c>
    </row>
    <row r="47" spans="1:6">
      <c r="A47" s="348" t="s">
        <v>32</v>
      </c>
      <c r="B47" s="348" t="s">
        <v>39</v>
      </c>
      <c r="C47" s="334">
        <v>4</v>
      </c>
      <c r="D47" s="334">
        <v>2716.6</v>
      </c>
      <c r="E47" s="334">
        <v>13</v>
      </c>
      <c r="F47" s="334">
        <v>69032.55</v>
      </c>
    </row>
    <row r="48" spans="1:6">
      <c r="A48" s="348" t="s">
        <v>32</v>
      </c>
      <c r="B48" s="348" t="s">
        <v>29</v>
      </c>
      <c r="C48" s="334">
        <v>0</v>
      </c>
      <c r="D48" s="334">
        <v>0</v>
      </c>
      <c r="E48" s="334">
        <v>1</v>
      </c>
      <c r="F48" s="334">
        <v>941</v>
      </c>
    </row>
    <row r="49" spans="1:6">
      <c r="A49" s="348" t="s">
        <v>32</v>
      </c>
      <c r="B49" s="348" t="s">
        <v>40</v>
      </c>
      <c r="C49" s="334">
        <v>5</v>
      </c>
      <c r="D49" s="334">
        <v>137775</v>
      </c>
      <c r="E49" s="334">
        <v>6</v>
      </c>
      <c r="F49" s="334">
        <v>49304</v>
      </c>
    </row>
    <row r="50" spans="1:6">
      <c r="A50" s="348" t="s">
        <v>32</v>
      </c>
      <c r="B50" s="348" t="s">
        <v>41</v>
      </c>
      <c r="C50" s="334">
        <v>8</v>
      </c>
      <c r="D50" s="334">
        <v>2343656.952</v>
      </c>
      <c r="E50" s="334">
        <v>27</v>
      </c>
      <c r="F50" s="334">
        <v>1733524.517</v>
      </c>
    </row>
    <row r="51" spans="1:6">
      <c r="A51" s="348" t="s">
        <v>42</v>
      </c>
      <c r="B51" s="348" t="s">
        <v>43</v>
      </c>
      <c r="C51" s="334">
        <v>21</v>
      </c>
      <c r="D51" s="334">
        <v>1616194.4450000001</v>
      </c>
      <c r="E51" s="334">
        <v>138</v>
      </c>
      <c r="F51" s="334">
        <v>2196311.236</v>
      </c>
    </row>
    <row r="52" spans="1:6">
      <c r="A52" s="348" t="s">
        <v>42</v>
      </c>
      <c r="B52" s="348" t="s">
        <v>29</v>
      </c>
      <c r="C52" s="334">
        <v>0</v>
      </c>
      <c r="D52" s="334">
        <v>0</v>
      </c>
      <c r="E52" s="334">
        <v>0</v>
      </c>
      <c r="F52" s="334">
        <v>0</v>
      </c>
    </row>
    <row r="53" spans="1:6">
      <c r="A53" s="348" t="s">
        <v>44</v>
      </c>
      <c r="B53" s="348" t="s">
        <v>45</v>
      </c>
      <c r="C53" s="334">
        <v>81</v>
      </c>
      <c r="D53" s="334">
        <v>1769197.4</v>
      </c>
      <c r="E53" s="334">
        <v>280</v>
      </c>
      <c r="F53" s="334">
        <v>1172756.7</v>
      </c>
    </row>
    <row r="54" spans="1:6">
      <c r="A54" s="348" t="s">
        <v>46</v>
      </c>
      <c r="B54" s="348" t="s">
        <v>47</v>
      </c>
      <c r="C54" s="334">
        <v>0</v>
      </c>
      <c r="D54" s="334">
        <v>0</v>
      </c>
      <c r="E54" s="334">
        <v>3</v>
      </c>
      <c r="F54" s="334">
        <v>1435551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96</v>
      </c>
      <c r="D57" s="334">
        <v>4442548</v>
      </c>
      <c r="E57" s="334">
        <v>240</v>
      </c>
      <c r="F57" s="334">
        <v>5482436.7759999996</v>
      </c>
    </row>
    <row r="58" spans="1:6">
      <c r="A58" s="348" t="s">
        <v>49</v>
      </c>
      <c r="B58" s="348" t="s">
        <v>51</v>
      </c>
      <c r="C58" s="334">
        <v>53</v>
      </c>
      <c r="D58" s="334">
        <v>9532902.1109999996</v>
      </c>
      <c r="E58" s="334">
        <v>94</v>
      </c>
      <c r="F58" s="334">
        <v>3465012.9410000001</v>
      </c>
    </row>
    <row r="59" spans="1:6">
      <c r="A59" s="348" t="s">
        <v>49</v>
      </c>
      <c r="B59" s="348" t="s">
        <v>52</v>
      </c>
      <c r="C59" s="334">
        <v>188</v>
      </c>
      <c r="D59" s="334">
        <v>6595671.0499999998</v>
      </c>
      <c r="E59" s="334">
        <v>445</v>
      </c>
      <c r="F59" s="334">
        <v>10647077.266000001</v>
      </c>
    </row>
    <row r="60" spans="1:6">
      <c r="A60" s="348" t="s">
        <v>49</v>
      </c>
      <c r="B60" s="348" t="s">
        <v>53</v>
      </c>
      <c r="C60" s="334">
        <v>85</v>
      </c>
      <c r="D60" s="334">
        <v>3777260.6</v>
      </c>
      <c r="E60" s="334">
        <v>143</v>
      </c>
      <c r="F60" s="334">
        <v>3806869.35</v>
      </c>
    </row>
    <row r="61" spans="1:6">
      <c r="A61" s="348" t="s">
        <v>49</v>
      </c>
      <c r="B61" s="348" t="s">
        <v>54</v>
      </c>
      <c r="C61" s="334">
        <v>202</v>
      </c>
      <c r="D61" s="334">
        <v>6613866.0039999997</v>
      </c>
      <c r="E61" s="334">
        <v>415</v>
      </c>
      <c r="F61" s="334">
        <v>6353346.4380000001</v>
      </c>
    </row>
    <row r="62" spans="1:6">
      <c r="A62" s="348" t="s">
        <v>49</v>
      </c>
      <c r="B62" s="348" t="s">
        <v>55</v>
      </c>
      <c r="C62" s="334">
        <v>26</v>
      </c>
      <c r="D62" s="334">
        <v>4118158.923</v>
      </c>
      <c r="E62" s="334">
        <v>46</v>
      </c>
      <c r="F62" s="334">
        <v>1391813.5519999999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91027</v>
      </c>
      <c r="E65" s="334">
        <v>1</v>
      </c>
      <c r="F65" s="334">
        <v>14512</v>
      </c>
    </row>
    <row r="66" spans="1:6">
      <c r="A66" s="348" t="s">
        <v>56</v>
      </c>
      <c r="B66" s="348" t="s">
        <v>58</v>
      </c>
      <c r="C66" s="334">
        <v>0</v>
      </c>
      <c r="D66" s="334">
        <v>0</v>
      </c>
      <c r="E66" s="334">
        <v>20</v>
      </c>
      <c r="F66" s="334">
        <v>319204.87599999999</v>
      </c>
    </row>
    <row r="67" spans="1:6">
      <c r="A67" s="355" t="s">
        <v>56</v>
      </c>
      <c r="B67" s="355" t="s">
        <v>59</v>
      </c>
      <c r="C67" s="334">
        <v>0</v>
      </c>
      <c r="D67" s="334">
        <v>0</v>
      </c>
      <c r="E67" s="334">
        <v>0</v>
      </c>
      <c r="F67" s="334">
        <v>0</v>
      </c>
    </row>
    <row r="68" spans="1:6">
      <c r="A68" s="341" t="s">
        <v>56</v>
      </c>
      <c r="B68" s="341" t="s">
        <v>60</v>
      </c>
      <c r="C68" s="334">
        <v>5</v>
      </c>
      <c r="D68" s="334">
        <v>57551.6</v>
      </c>
      <c r="E68" s="334">
        <v>12</v>
      </c>
      <c r="F68" s="334">
        <v>123898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95250665</v>
      </c>
      <c r="E73" s="476">
        <v>155064314.14319578</v>
      </c>
    </row>
    <row r="74" spans="1:6">
      <c r="A74" s="348" t="s">
        <v>64</v>
      </c>
      <c r="B74" s="348" t="s">
        <v>657</v>
      </c>
      <c r="C74" s="1272" t="s">
        <v>659</v>
      </c>
      <c r="D74" s="476">
        <v>5817489.6016233107</v>
      </c>
      <c r="E74" s="476">
        <v>9688277.2347544506</v>
      </c>
    </row>
    <row r="75" spans="1:6">
      <c r="A75" s="348" t="s">
        <v>65</v>
      </c>
      <c r="B75" s="348" t="s">
        <v>656</v>
      </c>
      <c r="C75" s="1272" t="s">
        <v>660</v>
      </c>
      <c r="D75" s="476">
        <v>33962459</v>
      </c>
      <c r="E75" s="476">
        <v>61095694.828505352</v>
      </c>
    </row>
    <row r="76" spans="1:6">
      <c r="A76" s="348" t="s">
        <v>65</v>
      </c>
      <c r="B76" s="348" t="s">
        <v>657</v>
      </c>
      <c r="C76" s="1272" t="s">
        <v>661</v>
      </c>
      <c r="D76" s="476">
        <v>402096.60162331065</v>
      </c>
      <c r="E76" s="476">
        <v>1034111.793342686</v>
      </c>
    </row>
    <row r="77" spans="1:6">
      <c r="A77" s="348" t="s">
        <v>66</v>
      </c>
      <c r="B77" s="348" t="s">
        <v>656</v>
      </c>
      <c r="C77" s="1272" t="s">
        <v>662</v>
      </c>
      <c r="D77" s="476">
        <v>50847114</v>
      </c>
      <c r="E77" s="476">
        <v>52508207.013215013</v>
      </c>
    </row>
    <row r="78" spans="1:6">
      <c r="A78" s="341" t="s">
        <v>66</v>
      </c>
      <c r="B78" s="341" t="s">
        <v>657</v>
      </c>
      <c r="C78" s="341" t="s">
        <v>663</v>
      </c>
      <c r="D78" s="1273">
        <v>10147265</v>
      </c>
      <c r="E78" s="1273">
        <v>9783965.4673394691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763934.7967533787</v>
      </c>
      <c r="C83" s="476">
        <v>781160.70568756794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3961.4131571063949</v>
      </c>
    </row>
    <row r="91" spans="1:6">
      <c r="A91" s="348" t="s">
        <v>68</v>
      </c>
      <c r="B91" s="334">
        <v>9455.7391708936502</v>
      </c>
    </row>
    <row r="92" spans="1:6">
      <c r="A92" s="341" t="s">
        <v>69</v>
      </c>
      <c r="B92" s="342">
        <v>5595.4220527025182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4</v>
      </c>
    </row>
    <row r="99" spans="1:6">
      <c r="A99" s="348" t="s">
        <v>73</v>
      </c>
      <c r="B99" s="334">
        <v>46</v>
      </c>
    </row>
    <row r="100" spans="1:6">
      <c r="A100" s="348" t="s">
        <v>74</v>
      </c>
      <c r="B100" s="334">
        <v>530</v>
      </c>
    </row>
    <row r="101" spans="1:6">
      <c r="A101" s="348" t="s">
        <v>75</v>
      </c>
      <c r="B101" s="334">
        <v>102</v>
      </c>
    </row>
    <row r="102" spans="1:6">
      <c r="A102" s="348" t="s">
        <v>76</v>
      </c>
      <c r="B102" s="334">
        <v>145</v>
      </c>
    </row>
    <row r="103" spans="1:6">
      <c r="A103" s="348" t="s">
        <v>77</v>
      </c>
      <c r="B103" s="334">
        <v>254</v>
      </c>
    </row>
    <row r="104" spans="1:6">
      <c r="A104" s="348" t="s">
        <v>78</v>
      </c>
      <c r="B104" s="334">
        <v>8045</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49</v>
      </c>
      <c r="C123" s="334">
        <v>114</v>
      </c>
    </row>
    <row r="124" spans="1:6">
      <c r="A124" s="341" t="s">
        <v>89</v>
      </c>
      <c r="B124" s="334">
        <v>4</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348</v>
      </c>
    </row>
    <row r="130" spans="1:6">
      <c r="A130" s="348" t="s">
        <v>295</v>
      </c>
      <c r="B130" s="334">
        <v>2</v>
      </c>
    </row>
    <row r="131" spans="1:6">
      <c r="A131" s="348" t="s">
        <v>296</v>
      </c>
      <c r="B131" s="334">
        <v>0</v>
      </c>
    </row>
    <row r="132" spans="1:6">
      <c r="A132" s="341" t="s">
        <v>297</v>
      </c>
      <c r="B132" s="342">
        <v>54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111680.05995514717</v>
      </c>
      <c r="C3" s="43" t="s">
        <v>170</v>
      </c>
      <c r="D3" s="43"/>
      <c r="E3" s="154"/>
      <c r="F3" s="43"/>
      <c r="G3" s="43"/>
      <c r="H3" s="43"/>
      <c r="I3" s="43"/>
      <c r="J3" s="43"/>
      <c r="K3" s="96"/>
    </row>
    <row r="4" spans="1:11">
      <c r="A4" s="383" t="s">
        <v>171</v>
      </c>
      <c r="B4" s="49">
        <f>IF(ISERROR('SEAP template'!B69),0,'SEAP template'!B69)</f>
        <v>23872.574380702565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1154.964705882353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0.18410107431973147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1649.9495798319329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6942.8571428571431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1435.5509999999999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1435.5509999999999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0.18410107431973147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264.28648134076479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43327.546799999996</v>
      </c>
      <c r="C5" s="17">
        <f>IF(ISERROR('Eigen informatie GS &amp; warmtenet'!B57),0,'Eigen informatie GS &amp; warmtenet'!B57)</f>
        <v>0</v>
      </c>
      <c r="D5" s="30">
        <f>(SUM(HH_hh_gas_kWh,HH_rest_gas_kWh)/1000)*0.902</f>
        <v>81554.447575700091</v>
      </c>
      <c r="E5" s="17">
        <f>B46*B57</f>
        <v>4060.5400646020321</v>
      </c>
      <c r="F5" s="17">
        <f>B51*B62</f>
        <v>94942.702429014142</v>
      </c>
      <c r="G5" s="18"/>
      <c r="H5" s="17"/>
      <c r="I5" s="17"/>
      <c r="J5" s="17">
        <f>B50*B61+C50*C61</f>
        <v>0</v>
      </c>
      <c r="K5" s="17"/>
      <c r="L5" s="17"/>
      <c r="M5" s="17"/>
      <c r="N5" s="17">
        <f>B48*B59+C48*C59</f>
        <v>30684.482846348215</v>
      </c>
      <c r="O5" s="17">
        <f>B69*B70*B71</f>
        <v>725.38666666666677</v>
      </c>
      <c r="P5" s="17">
        <f>B77*B78*B79/1000-B77*B78*B79/1000/B80</f>
        <v>2040.1333333333332</v>
      </c>
    </row>
    <row r="6" spans="1:16">
      <c r="A6" s="16" t="s">
        <v>621</v>
      </c>
      <c r="B6" s="843">
        <f>kWh_PV_kleiner_dan_10kW</f>
        <v>9455.7391708936502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52783.285970893645</v>
      </c>
      <c r="C8" s="21">
        <f>C5</f>
        <v>0</v>
      </c>
      <c r="D8" s="21">
        <f>D5</f>
        <v>81554.447575700091</v>
      </c>
      <c r="E8" s="21">
        <f>E5</f>
        <v>4060.5400646020321</v>
      </c>
      <c r="F8" s="21">
        <f>F5</f>
        <v>94942.702429014142</v>
      </c>
      <c r="G8" s="21"/>
      <c r="H8" s="21"/>
      <c r="I8" s="21"/>
      <c r="J8" s="21">
        <f>J5</f>
        <v>0</v>
      </c>
      <c r="K8" s="21"/>
      <c r="L8" s="21">
        <f>L5</f>
        <v>0</v>
      </c>
      <c r="M8" s="21">
        <f>M5</f>
        <v>0</v>
      </c>
      <c r="N8" s="21">
        <f>N5</f>
        <v>30684.482846348215</v>
      </c>
      <c r="O8" s="21">
        <f>O5</f>
        <v>725.38666666666677</v>
      </c>
      <c r="P8" s="21">
        <f>P5</f>
        <v>2040.1333333333332</v>
      </c>
    </row>
    <row r="9" spans="1:16">
      <c r="B9" s="19"/>
      <c r="C9" s="19"/>
      <c r="D9" s="258"/>
      <c r="E9" s="19"/>
      <c r="F9" s="19"/>
      <c r="G9" s="19"/>
      <c r="H9" s="19"/>
      <c r="I9" s="19"/>
      <c r="J9" s="19"/>
      <c r="K9" s="19"/>
      <c r="L9" s="19"/>
      <c r="M9" s="19"/>
      <c r="N9" s="19"/>
      <c r="O9" s="19"/>
      <c r="P9" s="19"/>
    </row>
    <row r="10" spans="1:16">
      <c r="A10" s="24" t="s">
        <v>214</v>
      </c>
      <c r="B10" s="25">
        <f ca="1">'EF ele_warmte'!B12</f>
        <v>0.18410107431973147</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9717.4596533671302</v>
      </c>
      <c r="C12" s="23">
        <f ca="1">C10*C8</f>
        <v>0</v>
      </c>
      <c r="D12" s="23">
        <f>D8*D10</f>
        <v>16473.99841029142</v>
      </c>
      <c r="E12" s="23">
        <f>E10*E8</f>
        <v>921.74259466466128</v>
      </c>
      <c r="F12" s="23">
        <f>F10*F8</f>
        <v>25349.701548546778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4</v>
      </c>
      <c r="C19" s="166" t="s">
        <v>111</v>
      </c>
      <c r="D19" s="229"/>
      <c r="E19" s="15"/>
    </row>
    <row r="20" spans="1:7">
      <c r="A20" s="171" t="s">
        <v>73</v>
      </c>
      <c r="B20" s="37">
        <f>aantalw2001_propaan</f>
        <v>46</v>
      </c>
      <c r="C20" s="167">
        <f>IF(ISERROR(B20/SUM($B$20,$B$21,$B$22)*100),0,B20/SUM($B$20,$B$21,$B$22)*100)</f>
        <v>6.7846607669616521</v>
      </c>
      <c r="D20" s="229"/>
      <c r="E20" s="15"/>
    </row>
    <row r="21" spans="1:7">
      <c r="A21" s="171" t="s">
        <v>74</v>
      </c>
      <c r="B21" s="37">
        <f>aantalw2001_elektriciteit</f>
        <v>530</v>
      </c>
      <c r="C21" s="167">
        <f>IF(ISERROR(B21/SUM($B$20,$B$21,$B$22)*100),0,B21/SUM($B$20,$B$21,$B$22)*100)</f>
        <v>78.171091445427734</v>
      </c>
      <c r="D21" s="229"/>
      <c r="E21" s="15"/>
    </row>
    <row r="22" spans="1:7">
      <c r="A22" s="171" t="s">
        <v>75</v>
      </c>
      <c r="B22" s="37">
        <f>aantalw2001_hout</f>
        <v>102</v>
      </c>
      <c r="C22" s="167">
        <f>IF(ISERROR(B22/SUM($B$20,$B$21,$B$22)*100),0,B22/SUM($B$20,$B$21,$B$22)*100)</f>
        <v>15.044247787610621</v>
      </c>
      <c r="D22" s="229"/>
      <c r="E22" s="15"/>
    </row>
    <row r="23" spans="1:7">
      <c r="A23" s="171" t="s">
        <v>76</v>
      </c>
      <c r="B23" s="37">
        <f>aantalw2001_niet_gespec</f>
        <v>145</v>
      </c>
      <c r="C23" s="166" t="s">
        <v>111</v>
      </c>
      <c r="D23" s="228"/>
      <c r="E23" s="15"/>
    </row>
    <row r="24" spans="1:7">
      <c r="A24" s="171" t="s">
        <v>77</v>
      </c>
      <c r="B24" s="37">
        <f>aantalw2001_steenkool</f>
        <v>254</v>
      </c>
      <c r="C24" s="166" t="s">
        <v>111</v>
      </c>
      <c r="D24" s="229"/>
      <c r="E24" s="15"/>
    </row>
    <row r="25" spans="1:7">
      <c r="A25" s="171" t="s">
        <v>78</v>
      </c>
      <c r="B25" s="37">
        <f>aantalw2001_stookolie</f>
        <v>8045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13077</v>
      </c>
      <c r="C28" s="36"/>
      <c r="D28" s="228"/>
    </row>
    <row r="29" spans="1:7" s="15" customFormat="1">
      <c r="A29" s="230" t="s">
        <v>795</v>
      </c>
      <c r="B29" s="37">
        <f>SUM(HH_hh_gas_aantal,HH_rest_gas_aantal)</f>
        <v>6476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6476</v>
      </c>
      <c r="C32" s="167">
        <f>IF(ISERROR(B32/SUM($B$32,$B$34,$B$35,$B$36,$B$38,$B$39)*100),0,B32/SUM($B$32,$B$34,$B$35,$B$36,$B$38,$B$39)*100)</f>
        <v>49.930609097918271</v>
      </c>
      <c r="D32" s="233"/>
      <c r="G32" s="15"/>
    </row>
    <row r="33" spans="1:7">
      <c r="A33" s="171" t="s">
        <v>72</v>
      </c>
      <c r="B33" s="34" t="s">
        <v>111</v>
      </c>
      <c r="C33" s="167"/>
      <c r="D33" s="233"/>
      <c r="G33" s="15"/>
    </row>
    <row r="34" spans="1:7">
      <c r="A34" s="171" t="s">
        <v>73</v>
      </c>
      <c r="B34" s="33">
        <f>IF((($B$28-$B$32-$B$39-$B$77-$B$38)*C20/100)&lt;0,0,($B$28-$B$32-$B$39-$B$77-$B$38)*C20/100)</f>
        <v>191.77522123893806</v>
      </c>
      <c r="C34" s="167">
        <f>IF(ISERROR(B34/SUM($B$32,$B$34,$B$35,$B$36,$B$38,$B$39)*100),0,B34/SUM($B$32,$B$34,$B$35,$B$36,$B$38,$B$39)*100)</f>
        <v>1.4786061776325217</v>
      </c>
      <c r="D34" s="233"/>
      <c r="G34" s="15"/>
    </row>
    <row r="35" spans="1:7">
      <c r="A35" s="171" t="s">
        <v>74</v>
      </c>
      <c r="B35" s="33">
        <f>IF((($B$28-$B$32-$B$39-$B$77-$B$38)*C21/100)&lt;0,0,($B$28-$B$32-$B$39-$B$77-$B$38)*C21/100)</f>
        <v>2209.5840707964608</v>
      </c>
      <c r="C35" s="167">
        <f>IF(ISERROR(B35/SUM($B$32,$B$34,$B$35,$B$36,$B$38,$B$39)*100),0,B35/SUM($B$32,$B$34,$B$35,$B$36,$B$38,$B$39)*100)</f>
        <v>17.036114655331232</v>
      </c>
      <c r="D35" s="233"/>
      <c r="G35" s="15"/>
    </row>
    <row r="36" spans="1:7">
      <c r="A36" s="171" t="s">
        <v>75</v>
      </c>
      <c r="B36" s="33">
        <f>IF((($B$28-$B$32-$B$39-$B$77-$B$38)*C22/100)&lt;0,0,($B$28-$B$32-$B$39-$B$77-$B$38)*C22/100)</f>
        <v>425.24070796460182</v>
      </c>
      <c r="C36" s="167">
        <f>IF(ISERROR(B36/SUM($B$32,$B$34,$B$35,$B$36,$B$38,$B$39)*100),0,B36/SUM($B$32,$B$34,$B$35,$B$36,$B$38,$B$39)*100)</f>
        <v>3.2786484808373308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3667.3999999999996</v>
      </c>
      <c r="C39" s="167">
        <f>IF(ISERROR(B39/SUM($B$32,$B$34,$B$35,$B$36,$B$38,$B$39)*100),0,B39/SUM($B$32,$B$34,$B$35,$B$36,$B$38,$B$39)*100)</f>
        <v>28.276021588280649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6476</v>
      </c>
      <c r="C44" s="34" t="s">
        <v>111</v>
      </c>
      <c r="D44" s="174"/>
    </row>
    <row r="45" spans="1:7">
      <c r="A45" s="171" t="s">
        <v>72</v>
      </c>
      <c r="B45" s="33" t="str">
        <f t="shared" si="0"/>
        <v>-</v>
      </c>
      <c r="C45" s="34" t="s">
        <v>111</v>
      </c>
      <c r="D45" s="174"/>
    </row>
    <row r="46" spans="1:7">
      <c r="A46" s="171" t="s">
        <v>73</v>
      </c>
      <c r="B46" s="33">
        <f t="shared" si="0"/>
        <v>191.77522123893806</v>
      </c>
      <c r="C46" s="34" t="s">
        <v>111</v>
      </c>
      <c r="D46" s="174"/>
    </row>
    <row r="47" spans="1:7">
      <c r="A47" s="171" t="s">
        <v>74</v>
      </c>
      <c r="B47" s="33">
        <f t="shared" si="0"/>
        <v>2209.5840707964608</v>
      </c>
      <c r="C47" s="34" t="s">
        <v>111</v>
      </c>
      <c r="D47" s="174"/>
    </row>
    <row r="48" spans="1:7">
      <c r="A48" s="171" t="s">
        <v>75</v>
      </c>
      <c r="B48" s="33">
        <f t="shared" si="0"/>
        <v>425.24070796460182</v>
      </c>
      <c r="C48" s="33">
        <f>B48*10</f>
        <v>4252.4070796460182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3667.3999999999996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31146.556323000001</v>
      </c>
      <c r="C5" s="17">
        <f>IF(ISERROR('Eigen informatie GS &amp; warmtenet'!B58),0,'Eigen informatie GS &amp; warmtenet'!B58)</f>
        <v>0</v>
      </c>
      <c r="D5" s="30">
        <f>SUM(D6:D12)</f>
        <v>31642.526832575997</v>
      </c>
      <c r="E5" s="17">
        <f>SUM(E6:E12)</f>
        <v>468.47377266959461</v>
      </c>
      <c r="F5" s="17">
        <f>SUM(F6:F12)</f>
        <v>5680.5959273776798</v>
      </c>
      <c r="G5" s="18"/>
      <c r="H5" s="17"/>
      <c r="I5" s="17"/>
      <c r="J5" s="17">
        <f>SUM(J6:J12)</f>
        <v>0.11900221184819451</v>
      </c>
      <c r="K5" s="17"/>
      <c r="L5" s="17"/>
      <c r="M5" s="17"/>
      <c r="N5" s="17">
        <f>SUM(N6:N12)</f>
        <v>4734.9840571826671</v>
      </c>
      <c r="O5" s="17">
        <f>B38*B39*B40</f>
        <v>3.1266666666666669</v>
      </c>
      <c r="P5" s="17">
        <f>B46*B47*B48/1000-B46*B47*B48/1000/B49</f>
        <v>19.066666666666666</v>
      </c>
      <c r="R5" s="32"/>
    </row>
    <row r="6" spans="1:18">
      <c r="A6" s="32" t="s">
        <v>54</v>
      </c>
      <c r="B6" s="37">
        <f>B26</f>
        <v>6353.3464380000005</v>
      </c>
      <c r="C6" s="33"/>
      <c r="D6" s="37">
        <f>IF(ISERROR(TER_kantoor_gas_kWh/1000),0,TER_kantoor_gas_kWh/1000)*0.902</f>
        <v>5965.7071356079996</v>
      </c>
      <c r="E6" s="33">
        <f>$C$26*'E Balans VL '!I12/100/3.6*1000000</f>
        <v>3.9820662383463261E-2</v>
      </c>
      <c r="F6" s="33">
        <f>$C$26*('E Balans VL '!L12+'E Balans VL '!N12)/100/3.6*1000000</f>
        <v>954.73044020027237</v>
      </c>
      <c r="G6" s="34"/>
      <c r="H6" s="33"/>
      <c r="I6" s="33"/>
      <c r="J6" s="33">
        <f>$C$26*('E Balans VL '!D12+'E Balans VL '!E12)/100/3.6*1000000</f>
        <v>0</v>
      </c>
      <c r="K6" s="33"/>
      <c r="L6" s="33"/>
      <c r="M6" s="33"/>
      <c r="N6" s="33">
        <f>$C$26*'E Balans VL '!Y12/100/3.6*1000000</f>
        <v>6.0760338809599892</v>
      </c>
      <c r="O6" s="33"/>
      <c r="P6" s="33"/>
      <c r="R6" s="32"/>
    </row>
    <row r="7" spans="1:18">
      <c r="A7" s="32" t="s">
        <v>53</v>
      </c>
      <c r="B7" s="37">
        <f t="shared" ref="B7:B12" si="0">B27</f>
        <v>3806.8693499999999</v>
      </c>
      <c r="C7" s="33"/>
      <c r="D7" s="37">
        <f>IF(ISERROR(TER_horeca_gas_kWh/1000),0,TER_horeca_gas_kWh/1000)*0.902</f>
        <v>3407.0890612000003</v>
      </c>
      <c r="E7" s="33">
        <f>$C$27*'E Balans VL '!I9/100/3.6*1000000</f>
        <v>54.513734988615433</v>
      </c>
      <c r="F7" s="33">
        <f>$C$27*('E Balans VL '!L9+'E Balans VL '!N9)/100/3.6*1000000</f>
        <v>482.07521509829292</v>
      </c>
      <c r="G7" s="34"/>
      <c r="H7" s="33"/>
      <c r="I7" s="33"/>
      <c r="J7" s="33">
        <f>$C$27*('E Balans VL '!D9+'E Balans VL '!E9)/100/3.6*1000000</f>
        <v>0</v>
      </c>
      <c r="K7" s="33"/>
      <c r="L7" s="33"/>
      <c r="M7" s="33"/>
      <c r="N7" s="33">
        <f>$C$27*'E Balans VL '!Y9/100/3.6*1000000</f>
        <v>1.0943910038607219</v>
      </c>
      <c r="O7" s="33"/>
      <c r="P7" s="33"/>
      <c r="R7" s="32"/>
    </row>
    <row r="8" spans="1:18">
      <c r="A8" s="6" t="s">
        <v>52</v>
      </c>
      <c r="B8" s="37">
        <f t="shared" si="0"/>
        <v>10647.077266</v>
      </c>
      <c r="C8" s="33"/>
      <c r="D8" s="37">
        <f>IF(ISERROR(TER_handel_gas_kWh/1000),0,TER_handel_gas_kWh/1000)*0.902</f>
        <v>5949.2952870999998</v>
      </c>
      <c r="E8" s="33">
        <f>$C$28*'E Balans VL '!I13/100/3.6*1000000</f>
        <v>386.16817949907323</v>
      </c>
      <c r="F8" s="33">
        <f>$C$28*('E Balans VL '!L13+'E Balans VL '!N13)/100/3.6*1000000</f>
        <v>2050.734889943169</v>
      </c>
      <c r="G8" s="34"/>
      <c r="H8" s="33"/>
      <c r="I8" s="33"/>
      <c r="J8" s="33">
        <f>$C$28*('E Balans VL '!D13+'E Balans VL '!E13)/100/3.6*1000000</f>
        <v>0</v>
      </c>
      <c r="K8" s="33"/>
      <c r="L8" s="33"/>
      <c r="M8" s="33"/>
      <c r="N8" s="33">
        <f>$C$28*'E Balans VL '!Y13/100/3.6*1000000</f>
        <v>14.748651796631847</v>
      </c>
      <c r="O8" s="33"/>
      <c r="P8" s="33"/>
      <c r="R8" s="32"/>
    </row>
    <row r="9" spans="1:18">
      <c r="A9" s="32" t="s">
        <v>51</v>
      </c>
      <c r="B9" s="37">
        <f t="shared" si="0"/>
        <v>3465.012941</v>
      </c>
      <c r="C9" s="33"/>
      <c r="D9" s="37">
        <f>IF(ISERROR(TER_gezond_gas_kWh/1000),0,TER_gezond_gas_kWh/1000)*0.902</f>
        <v>8598.6777041219993</v>
      </c>
      <c r="E9" s="33">
        <f>$C$29*'E Balans VL '!I10/100/3.6*1000000</f>
        <v>0.21694402092884996</v>
      </c>
      <c r="F9" s="33">
        <f>$C$29*('E Balans VL '!L10+'E Balans VL '!N10)/100/3.6*1000000</f>
        <v>514.73822234523038</v>
      </c>
      <c r="G9" s="34"/>
      <c r="H9" s="33"/>
      <c r="I9" s="33"/>
      <c r="J9" s="33">
        <f>$C$29*('E Balans VL '!D10+'E Balans VL '!E10)/100/3.6*1000000</f>
        <v>0</v>
      </c>
      <c r="K9" s="33"/>
      <c r="L9" s="33"/>
      <c r="M9" s="33"/>
      <c r="N9" s="33">
        <f>$C$29*'E Balans VL '!Y10/100/3.6*1000000</f>
        <v>53.597154516556927</v>
      </c>
      <c r="O9" s="33"/>
      <c r="P9" s="33"/>
      <c r="R9" s="32"/>
    </row>
    <row r="10" spans="1:18">
      <c r="A10" s="32" t="s">
        <v>50</v>
      </c>
      <c r="B10" s="37">
        <f t="shared" si="0"/>
        <v>5482.4367759999996</v>
      </c>
      <c r="C10" s="33"/>
      <c r="D10" s="37">
        <f>IF(ISERROR(TER_ander_gas_kWh/1000),0,TER_ander_gas_kWh/1000)*0.902</f>
        <v>4007.178296</v>
      </c>
      <c r="E10" s="33">
        <f>$C$30*'E Balans VL '!I14/100/3.6*1000000</f>
        <v>6.5348687278044606</v>
      </c>
      <c r="F10" s="33">
        <f>$C$30*('E Balans VL '!L14+'E Balans VL '!N14)/100/3.6*1000000</f>
        <v>1434.4491905973412</v>
      </c>
      <c r="G10" s="34"/>
      <c r="H10" s="33"/>
      <c r="I10" s="33"/>
      <c r="J10" s="33">
        <f>$C$30*('E Balans VL '!D14+'E Balans VL '!E14)/100/3.6*1000000</f>
        <v>0.11900221184819451</v>
      </c>
      <c r="K10" s="33"/>
      <c r="L10" s="33"/>
      <c r="M10" s="33"/>
      <c r="N10" s="33">
        <f>$C$30*'E Balans VL '!Y14/100/3.6*1000000</f>
        <v>4655.5511568396341</v>
      </c>
      <c r="O10" s="33"/>
      <c r="P10" s="33"/>
      <c r="R10" s="32"/>
    </row>
    <row r="11" spans="1:18">
      <c r="A11" s="32" t="s">
        <v>55</v>
      </c>
      <c r="B11" s="37">
        <f t="shared" si="0"/>
        <v>1391.8135519999998</v>
      </c>
      <c r="C11" s="33"/>
      <c r="D11" s="37">
        <f>IF(ISERROR(TER_onderwijs_gas_kWh/1000),0,TER_onderwijs_gas_kWh/1000)*0.902</f>
        <v>3714.5793485459999</v>
      </c>
      <c r="E11" s="33">
        <f>$C$31*'E Balans VL '!I11/100/3.6*1000000</f>
        <v>21.000224770789188</v>
      </c>
      <c r="F11" s="33">
        <f>$C$31*('E Balans VL '!L11+'E Balans VL '!N11)/100/3.6*1000000</f>
        <v>243.86796919337351</v>
      </c>
      <c r="G11" s="34"/>
      <c r="H11" s="33"/>
      <c r="I11" s="33"/>
      <c r="J11" s="33">
        <f>$C$31*('E Balans VL '!D11+'E Balans VL '!E11)/100/3.6*1000000</f>
        <v>0</v>
      </c>
      <c r="K11" s="33"/>
      <c r="L11" s="33"/>
      <c r="M11" s="33"/>
      <c r="N11" s="33">
        <f>$C$31*'E Balans VL '!Y11/100/3.6*1000000</f>
        <v>3.9166691450236546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31371.556323000001</v>
      </c>
      <c r="C16" s="21">
        <f t="shared" ca="1" si="1"/>
        <v>321.42857142857144</v>
      </c>
      <c r="D16" s="21">
        <f t="shared" ca="1" si="1"/>
        <v>30999.669689718856</v>
      </c>
      <c r="E16" s="21">
        <f t="shared" si="1"/>
        <v>468.47377266959461</v>
      </c>
      <c r="F16" s="21">
        <f t="shared" ca="1" si="1"/>
        <v>5680.5959273776798</v>
      </c>
      <c r="G16" s="21">
        <f t="shared" si="1"/>
        <v>0</v>
      </c>
      <c r="H16" s="21">
        <f t="shared" si="1"/>
        <v>0</v>
      </c>
      <c r="I16" s="21">
        <f t="shared" si="1"/>
        <v>0</v>
      </c>
      <c r="J16" s="21">
        <f t="shared" si="1"/>
        <v>0.11900221184819451</v>
      </c>
      <c r="K16" s="21">
        <f t="shared" si="1"/>
        <v>0</v>
      </c>
      <c r="L16" s="21">
        <f t="shared" ca="1" si="1"/>
        <v>0</v>
      </c>
      <c r="M16" s="21">
        <f t="shared" si="1"/>
        <v>0</v>
      </c>
      <c r="N16" s="21">
        <f t="shared" ca="1" si="1"/>
        <v>4734.9840571826671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0.18410107431973147</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5775.5372221462649</v>
      </c>
      <c r="C20" s="23">
        <f t="shared" ref="C20:P20" ca="1" si="2">C16*C18</f>
        <v>76.386554621848745</v>
      </c>
      <c r="D20" s="23">
        <f t="shared" ca="1" si="2"/>
        <v>6261.933277323209</v>
      </c>
      <c r="E20" s="23">
        <f t="shared" si="2"/>
        <v>106.34354639599798</v>
      </c>
      <c r="F20" s="23">
        <f t="shared" ca="1" si="2"/>
        <v>1516.7191126098405</v>
      </c>
      <c r="G20" s="23">
        <f t="shared" si="2"/>
        <v>0</v>
      </c>
      <c r="H20" s="23">
        <f t="shared" si="2"/>
        <v>0</v>
      </c>
      <c r="I20" s="23">
        <f t="shared" si="2"/>
        <v>0</v>
      </c>
      <c r="J20" s="23">
        <f t="shared" si="2"/>
        <v>4.2126782994260856E-2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6353.3464380000005</v>
      </c>
      <c r="C26" s="39">
        <f>IF(ISERROR(B26*3.6/1000000/'E Balans VL '!Z12*100),0,B26*3.6/1000000/'E Balans VL '!Z12*100)</f>
        <v>0.1342996791856004</v>
      </c>
      <c r="D26" s="237" t="s">
        <v>754</v>
      </c>
      <c r="F26" s="6"/>
    </row>
    <row r="27" spans="1:18">
      <c r="A27" s="231" t="s">
        <v>53</v>
      </c>
      <c r="B27" s="33">
        <f>IF(ISERROR(TER_horeca_ele_kWh/1000),0,TER_horeca_ele_kWh/1000)</f>
        <v>3806.8693499999999</v>
      </c>
      <c r="C27" s="39">
        <f>IF(ISERROR(B27*3.6/1000000/'E Balans VL '!Z9*100),0,B27*3.6/1000000/'E Balans VL '!Z9*100)</f>
        <v>0.30009409196785619</v>
      </c>
      <c r="D27" s="237" t="s">
        <v>754</v>
      </c>
      <c r="F27" s="6"/>
    </row>
    <row r="28" spans="1:18">
      <c r="A28" s="171" t="s">
        <v>52</v>
      </c>
      <c r="B28" s="33">
        <f>IF(ISERROR(TER_handel_ele_kWh/1000),0,TER_handel_ele_kWh/1000)</f>
        <v>10647.077266</v>
      </c>
      <c r="C28" s="39">
        <f>IF(ISERROR(B28*3.6/1000000/'E Balans VL '!Z13*100),0,B28*3.6/1000000/'E Balans VL '!Z13*100)</f>
        <v>0.3090212012720176</v>
      </c>
      <c r="D28" s="237" t="s">
        <v>754</v>
      </c>
      <c r="F28" s="6"/>
    </row>
    <row r="29" spans="1:18">
      <c r="A29" s="231" t="s">
        <v>51</v>
      </c>
      <c r="B29" s="33">
        <f>IF(ISERROR(TER_gezond_ele_kWh/1000),0,TER_gezond_ele_kWh/1000)</f>
        <v>3465.012941</v>
      </c>
      <c r="C29" s="39">
        <f>IF(ISERROR(B29*3.6/1000000/'E Balans VL '!Z10*100),0,B29*3.6/1000000/'E Balans VL '!Z10*100)</f>
        <v>0.3649227597016525</v>
      </c>
      <c r="D29" s="237" t="s">
        <v>754</v>
      </c>
      <c r="F29" s="6"/>
    </row>
    <row r="30" spans="1:18">
      <c r="A30" s="231" t="s">
        <v>50</v>
      </c>
      <c r="B30" s="33">
        <f>IF(ISERROR(TER_ander_ele_kWh/1000),0,TER_ander_ele_kWh/1000)</f>
        <v>5482.4367759999996</v>
      </c>
      <c r="C30" s="39">
        <f>IF(ISERROR(B30*3.6/1000000/'E Balans VL '!Z14*100),0,B30*3.6/1000000/'E Balans VL '!Z14*100)</f>
        <v>0.40438572737710438</v>
      </c>
      <c r="D30" s="237" t="s">
        <v>754</v>
      </c>
      <c r="F30" s="6"/>
    </row>
    <row r="31" spans="1:18">
      <c r="A31" s="231" t="s">
        <v>55</v>
      </c>
      <c r="B31" s="33">
        <f>IF(ISERROR(TER_onderwijs_ele_kWh/1000),0,TER_onderwijs_ele_kWh/1000)</f>
        <v>1391.8135519999998</v>
      </c>
      <c r="C31" s="39">
        <f>IF(ISERROR(B31*3.6/1000000/'E Balans VL '!Z11*100),0,B31*3.6/1000000/'E Balans VL '!Z11*100)</f>
        <v>0.34565250134792513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19187.519130999997</v>
      </c>
      <c r="C5" s="17">
        <f>IF(ISERROR('Eigen informatie GS &amp; warmtenet'!B59),0,'Eigen informatie GS &amp; warmtenet'!B59)</f>
        <v>0</v>
      </c>
      <c r="D5" s="30">
        <f>SUM(D6:D15)</f>
        <v>116258.903107666</v>
      </c>
      <c r="E5" s="17">
        <f>SUM(E6:E15)</f>
        <v>3462.3731543142098</v>
      </c>
      <c r="F5" s="17">
        <f>SUM(F6:F15)</f>
        <v>11140.130712064125</v>
      </c>
      <c r="G5" s="18"/>
      <c r="H5" s="17"/>
      <c r="I5" s="17"/>
      <c r="J5" s="17">
        <f>SUM(J6:J15)</f>
        <v>9.2527885082942554</v>
      </c>
      <c r="K5" s="17"/>
      <c r="L5" s="17"/>
      <c r="M5" s="17"/>
      <c r="N5" s="17">
        <f>SUM(N6:N15)</f>
        <v>5280.6636878646768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453.46617200000003</v>
      </c>
      <c r="C8" s="33"/>
      <c r="D8" s="37">
        <f>IF( ISERROR(IND_metaal_Gas_kWH/1000),0,IND_metaal_Gas_kWH/1000)*0.902</f>
        <v>325.23774800000001</v>
      </c>
      <c r="E8" s="33">
        <f>C30*'E Balans VL '!I18/100/3.6*1000000</f>
        <v>4.1691834897460547</v>
      </c>
      <c r="F8" s="33">
        <f>C30*'E Balans VL '!L18/100/3.6*1000000+C30*'E Balans VL '!N18/100/3.6*1000000</f>
        <v>42.520029516504351</v>
      </c>
      <c r="G8" s="34"/>
      <c r="H8" s="33"/>
      <c r="I8" s="33"/>
      <c r="J8" s="40">
        <f>C30*'E Balans VL '!D18/100/3.6*1000000+C30*'E Balans VL '!E18/100/3.6*1000000</f>
        <v>0</v>
      </c>
      <c r="K8" s="33"/>
      <c r="L8" s="33"/>
      <c r="M8" s="33"/>
      <c r="N8" s="33">
        <f>C30*'E Balans VL '!Y18/100/3.6*1000000</f>
        <v>6.4694443279865936</v>
      </c>
      <c r="O8" s="33"/>
      <c r="P8" s="33"/>
      <c r="R8" s="32"/>
    </row>
    <row r="9" spans="1:18">
      <c r="A9" s="6" t="s">
        <v>33</v>
      </c>
      <c r="B9" s="37">
        <f t="shared" si="0"/>
        <v>11259.188183</v>
      </c>
      <c r="C9" s="33"/>
      <c r="D9" s="37">
        <f>IF( ISERROR(IND_andere_gas_kWh/1000),0,IND_andere_gas_kWh/1000)*0.902</f>
        <v>3955.377275762</v>
      </c>
      <c r="E9" s="33">
        <f>C31*'E Balans VL '!I19/100/3.6*1000000</f>
        <v>3291.2798964314479</v>
      </c>
      <c r="F9" s="33">
        <f>C31*'E Balans VL '!L19/100/3.6*1000000+C31*'E Balans VL '!N19/100/3.6*1000000</f>
        <v>9047.6099472768874</v>
      </c>
      <c r="G9" s="34"/>
      <c r="H9" s="33"/>
      <c r="I9" s="33"/>
      <c r="J9" s="40">
        <f>C31*'E Balans VL '!D19/100/3.6*1000000+C31*'E Balans VL '!E19/100/3.6*1000000</f>
        <v>0</v>
      </c>
      <c r="K9" s="33"/>
      <c r="L9" s="33"/>
      <c r="M9" s="33"/>
      <c r="N9" s="33">
        <f>C31*'E Balans VL '!Y19/100/3.6*1000000</f>
        <v>3720.2103932915179</v>
      </c>
      <c r="O9" s="33"/>
      <c r="P9" s="33"/>
      <c r="R9" s="32"/>
    </row>
    <row r="10" spans="1:18">
      <c r="A10" s="6" t="s">
        <v>41</v>
      </c>
      <c r="B10" s="37">
        <f t="shared" si="0"/>
        <v>1733.5245170000001</v>
      </c>
      <c r="C10" s="33"/>
      <c r="D10" s="37">
        <f>IF( ISERROR(IND_voed_gas_kWh/1000),0,IND_voed_gas_kWh/1000)*0.902</f>
        <v>2113.9785707040005</v>
      </c>
      <c r="E10" s="33">
        <f>C32*'E Balans VL '!I20/100/3.6*1000000</f>
        <v>3.6672979943294828</v>
      </c>
      <c r="F10" s="33">
        <f>C32*'E Balans VL '!L20/100/3.6*1000000+C32*'E Balans VL '!N20/100/3.6*1000000</f>
        <v>110.21925953422786</v>
      </c>
      <c r="G10" s="34"/>
      <c r="H10" s="33"/>
      <c r="I10" s="33"/>
      <c r="J10" s="40">
        <f>C32*'E Balans VL '!D20/100/3.6*1000000+C32*'E Balans VL '!E20/100/3.6*1000000</f>
        <v>0</v>
      </c>
      <c r="K10" s="33"/>
      <c r="L10" s="33"/>
      <c r="M10" s="33"/>
      <c r="N10" s="33">
        <f>C32*'E Balans VL '!Y20/100/3.6*1000000</f>
        <v>119.63029851093218</v>
      </c>
      <c r="O10" s="33"/>
      <c r="P10" s="33"/>
      <c r="R10" s="32"/>
    </row>
    <row r="11" spans="1:18">
      <c r="A11" s="6" t="s">
        <v>40</v>
      </c>
      <c r="B11" s="37">
        <f t="shared" si="0"/>
        <v>49.304000000000002</v>
      </c>
      <c r="C11" s="33"/>
      <c r="D11" s="37">
        <f>IF( ISERROR(IND_textiel_gas_kWh/1000),0,IND_textiel_gas_kWh/1000)*0.902</f>
        <v>124.27305000000001</v>
      </c>
      <c r="E11" s="33">
        <f>C33*'E Balans VL '!I21/100/3.6*1000000</f>
        <v>0.14642862917801103</v>
      </c>
      <c r="F11" s="33">
        <f>C33*'E Balans VL '!L21/100/3.6*1000000+C33*'E Balans VL '!N21/100/3.6*1000000</f>
        <v>4.9810575977654832</v>
      </c>
      <c r="G11" s="34"/>
      <c r="H11" s="33"/>
      <c r="I11" s="33"/>
      <c r="J11" s="40">
        <f>C33*'E Balans VL '!D21/100/3.6*1000000+C33*'E Balans VL '!E21/100/3.6*1000000</f>
        <v>0</v>
      </c>
      <c r="K11" s="33"/>
      <c r="L11" s="33"/>
      <c r="M11" s="33"/>
      <c r="N11" s="33">
        <f>C33*'E Balans VL '!Y21/100/3.6*1000000</f>
        <v>2.7192729465300047</v>
      </c>
      <c r="O11" s="33"/>
      <c r="P11" s="33"/>
      <c r="R11" s="32"/>
    </row>
    <row r="12" spans="1:18">
      <c r="A12" s="6" t="s">
        <v>37</v>
      </c>
      <c r="B12" s="37">
        <f t="shared" si="0"/>
        <v>5622.0627089999998</v>
      </c>
      <c r="C12" s="33"/>
      <c r="D12" s="37">
        <f>IF( ISERROR(IND_min_gas_kWh/1000),0,IND_min_gas_kWh/1000)*0.902</f>
        <v>109737.58609</v>
      </c>
      <c r="E12" s="33">
        <f>C34*'E Balans VL '!I22/100/3.6*1000000</f>
        <v>162.96044816795072</v>
      </c>
      <c r="F12" s="33">
        <f>C34*'E Balans VL '!L22/100/3.6*1000000+C34*'E Balans VL '!N22/100/3.6*1000000</f>
        <v>1932.928690078727</v>
      </c>
      <c r="G12" s="34"/>
      <c r="H12" s="33"/>
      <c r="I12" s="33"/>
      <c r="J12" s="40">
        <f>C34*'E Balans VL '!D22/100/3.6*1000000+C34*'E Balans VL '!E22/100/3.6*1000000</f>
        <v>9.2387432142133861</v>
      </c>
      <c r="K12" s="33"/>
      <c r="L12" s="33"/>
      <c r="M12" s="33"/>
      <c r="N12" s="33">
        <f>C34*'E Balans VL '!Y22/100/3.6*1000000</f>
        <v>1230.7619159942171</v>
      </c>
      <c r="O12" s="33"/>
      <c r="P12" s="33"/>
      <c r="R12" s="32"/>
    </row>
    <row r="13" spans="1:18">
      <c r="A13" s="6" t="s">
        <v>39</v>
      </c>
      <c r="B13" s="37">
        <f t="shared" si="0"/>
        <v>69.032550000000001</v>
      </c>
      <c r="C13" s="33"/>
      <c r="D13" s="37">
        <f>IF( ISERROR(IND_papier_gas_kWh/1000),0,IND_papier_gas_kWh/1000)*0.902</f>
        <v>2.4503732</v>
      </c>
      <c r="E13" s="33">
        <f>C35*'E Balans VL '!I23/100/3.6*1000000</f>
        <v>9.7941400828373992E-2</v>
      </c>
      <c r="F13" s="33">
        <f>C35*'E Balans VL '!L23/100/3.6*1000000+C35*'E Balans VL '!N23/100/3.6*1000000</f>
        <v>1.6853441246242109</v>
      </c>
      <c r="G13" s="34"/>
      <c r="H13" s="33"/>
      <c r="I13" s="33"/>
      <c r="J13" s="40">
        <f>C35*'E Balans VL '!D23/100/3.6*1000000+C35*'E Balans VL '!E23/100/3.6*1000000</f>
        <v>1.0676531974574006E-2</v>
      </c>
      <c r="K13" s="33"/>
      <c r="L13" s="33"/>
      <c r="M13" s="33"/>
      <c r="N13" s="33">
        <f>C35*'E Balans VL '!Y23/100/3.6*1000000</f>
        <v>200.66128172299926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0.94099999999999995</v>
      </c>
      <c r="C15" s="33"/>
      <c r="D15" s="37">
        <f>IF( ISERROR(IND_rest_gas_kWh/1000),0,IND_rest_gas_kWh/1000)*0.902</f>
        <v>0</v>
      </c>
      <c r="E15" s="33">
        <f>C37*'E Balans VL '!I15/100/3.6*1000000</f>
        <v>5.1958200729196893E-2</v>
      </c>
      <c r="F15" s="33">
        <f>C37*'E Balans VL '!L15/100/3.6*1000000+C37*'E Balans VL '!N15/100/3.6*1000000</f>
        <v>0.18638393538902776</v>
      </c>
      <c r="G15" s="34"/>
      <c r="H15" s="33"/>
      <c r="I15" s="33"/>
      <c r="J15" s="40">
        <f>C37*'E Balans VL '!D15/100/3.6*1000000+C37*'E Balans VL '!E15/100/3.6*1000000</f>
        <v>3.368762106294272E-3</v>
      </c>
      <c r="K15" s="33"/>
      <c r="L15" s="33"/>
      <c r="M15" s="33"/>
      <c r="N15" s="33">
        <f>C37*'E Balans VL '!Y15/100/3.6*1000000</f>
        <v>0.21108107049383584</v>
      </c>
      <c r="O15" s="33"/>
      <c r="P15" s="33"/>
      <c r="R15" s="32"/>
    </row>
    <row r="16" spans="1:18">
      <c r="A16" s="16" t="s">
        <v>488</v>
      </c>
      <c r="B16" s="247">
        <f>'lokale energieproductie'!N89+'lokale energieproductie'!N58</f>
        <v>4635</v>
      </c>
      <c r="C16" s="247">
        <f>'lokale energieproductie'!O89+'lokale energieproductie'!O58</f>
        <v>6621.4285714285716</v>
      </c>
      <c r="D16" s="310">
        <f>('lokale energieproductie'!P58+'lokale energieproductie'!P89)*(-1)</f>
        <v>-13242.857142857143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23822.519130999997</v>
      </c>
      <c r="C18" s="21">
        <f>C5+C16</f>
        <v>6621.4285714285716</v>
      </c>
      <c r="D18" s="21">
        <f>MAX((D5+D16),0)</f>
        <v>103016.04596480886</v>
      </c>
      <c r="E18" s="21">
        <f>MAX((E5+E16),0)</f>
        <v>3462.3731543142098</v>
      </c>
      <c r="F18" s="21">
        <f>MAX((F5+F16),0)</f>
        <v>11140.130712064125</v>
      </c>
      <c r="G18" s="21"/>
      <c r="H18" s="21"/>
      <c r="I18" s="21"/>
      <c r="J18" s="21">
        <f>MAX((J5+J16),0)</f>
        <v>9.2527885082942554</v>
      </c>
      <c r="K18" s="21"/>
      <c r="L18" s="21">
        <f>MAX((L5+L16),0)</f>
        <v>0</v>
      </c>
      <c r="M18" s="21"/>
      <c r="N18" s="21">
        <f>MAX((N5+N16),0)</f>
        <v>5280.6636878646768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0.18410107431973147</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4385.7513650194551</v>
      </c>
      <c r="C22" s="23">
        <f ca="1">C18*C20</f>
        <v>1573.5630252100841</v>
      </c>
      <c r="D22" s="23">
        <f>D18*D20</f>
        <v>20809.241284891392</v>
      </c>
      <c r="E22" s="23">
        <f>E18*E20</f>
        <v>785.95870602932564</v>
      </c>
      <c r="F22" s="23">
        <f>F18*F20</f>
        <v>2974.4149001211217</v>
      </c>
      <c r="G22" s="23"/>
      <c r="H22" s="23"/>
      <c r="I22" s="23"/>
      <c r="J22" s="23">
        <f>J18*J20</f>
        <v>3.275487131936166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453.46617200000003</v>
      </c>
      <c r="C30" s="39">
        <f>IF(ISERROR(B30*3.6/1000000/'E Balans VL '!Z18*100),0,B30*3.6/1000000/'E Balans VL '!Z18*100)</f>
        <v>2.5699090730555364E-2</v>
      </c>
      <c r="D30" s="237" t="s">
        <v>754</v>
      </c>
    </row>
    <row r="31" spans="1:18">
      <c r="A31" s="6" t="s">
        <v>33</v>
      </c>
      <c r="B31" s="37">
        <f>IF( ISERROR(IND_ander_ele_kWh/1000),0,IND_ander_ele_kWh/1000)</f>
        <v>11259.188183</v>
      </c>
      <c r="C31" s="39">
        <f>IF(ISERROR(B31*3.6/1000000/'E Balans VL '!Z19*100),0,B31*3.6/1000000/'E Balans VL '!Z19*100)</f>
        <v>0.51066989353726056</v>
      </c>
      <c r="D31" s="237" t="s">
        <v>754</v>
      </c>
    </row>
    <row r="32" spans="1:18">
      <c r="A32" s="171" t="s">
        <v>41</v>
      </c>
      <c r="B32" s="37">
        <f>IF( ISERROR(IND_voed_ele_kWh/1000),0,IND_voed_ele_kWh/1000)</f>
        <v>1733.5245170000001</v>
      </c>
      <c r="C32" s="39">
        <f>IF(ISERROR(B32*3.6/1000000/'E Balans VL '!Z20*100),0,B32*3.6/1000000/'E Balans VL '!Z20*100)</f>
        <v>5.3625782847648948E-2</v>
      </c>
      <c r="D32" s="237" t="s">
        <v>754</v>
      </c>
    </row>
    <row r="33" spans="1:5">
      <c r="A33" s="171" t="s">
        <v>40</v>
      </c>
      <c r="B33" s="37">
        <f>IF( ISERROR(IND_textiel_ele_kWh/1000),0,IND_textiel_ele_kWh/1000)</f>
        <v>49.304000000000002</v>
      </c>
      <c r="C33" s="39">
        <f>IF(ISERROR(B33*3.6/1000000/'E Balans VL '!Z21*100),0,B33*3.6/1000000/'E Balans VL '!Z21*100)</f>
        <v>6.4286935581336331E-3</v>
      </c>
      <c r="D33" s="237" t="s">
        <v>754</v>
      </c>
    </row>
    <row r="34" spans="1:5">
      <c r="A34" s="171" t="s">
        <v>37</v>
      </c>
      <c r="B34" s="37">
        <f>IF( ISERROR(IND_min_ele_kWh/1000),0,IND_min_ele_kWh/1000)</f>
        <v>5622.0627089999998</v>
      </c>
      <c r="C34" s="39">
        <f>IF(ISERROR(B34*3.6/1000000/'E Balans VL '!Z22*100),0,B34*3.6/1000000/'E Balans VL '!Z22*100)</f>
        <v>1.0112336750127191</v>
      </c>
      <c r="D34" s="237" t="s">
        <v>754</v>
      </c>
    </row>
    <row r="35" spans="1:5">
      <c r="A35" s="171" t="s">
        <v>39</v>
      </c>
      <c r="B35" s="37">
        <f>IF( ISERROR(IND_papier_ele_kWh/1000),0,IND_papier_ele_kWh/1000)</f>
        <v>69.032550000000001</v>
      </c>
      <c r="C35" s="39">
        <f>IF(ISERROR(B35*3.6/1000000/'E Balans VL '!Z22*100),0,B35*3.6/1000000/'E Balans VL '!Z22*100)</f>
        <v>1.2416801954245028E-2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0.94099999999999995</v>
      </c>
      <c r="C37" s="39">
        <f>IF(ISERROR(B37*3.6/1000000/'E Balans VL '!Z15*100),0,B37*3.6/1000000/'E Balans VL '!Z15*100)</f>
        <v>7.4585806579086288E-6</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2196.311236</v>
      </c>
      <c r="C5" s="17">
        <f>'Eigen informatie GS &amp; warmtenet'!B60</f>
        <v>0</v>
      </c>
      <c r="D5" s="30">
        <f>IF(ISERROR(SUM(LB_lb_gas_kWh,LB_rest_gas_kWh,onbekend_gas_kWh)/1000),0,SUM(LB_lb_gas_kWh,LB_rest_gas_kWh,onbekend_gas_kWh)/1000)*0.902</f>
        <v>3053.6234441899996</v>
      </c>
      <c r="E5" s="17">
        <f>B17*'E Balans VL '!I25/3.6*1000000/100</f>
        <v>64.556295534837787</v>
      </c>
      <c r="F5" s="17">
        <f>B17*('E Balans VL '!L25/3.6*1000000+'E Balans VL '!N25/3.6*1000000)/100</f>
        <v>9149.7139267461698</v>
      </c>
      <c r="G5" s="18"/>
      <c r="H5" s="17"/>
      <c r="I5" s="17"/>
      <c r="J5" s="17">
        <f>('E Balans VL '!D25+'E Balans VL '!E25)/3.6*1000000*landbouw!B17/100</f>
        <v>318.19833177269931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2196.311236</v>
      </c>
      <c r="C8" s="21">
        <f>C5+C6</f>
        <v>0</v>
      </c>
      <c r="D8" s="21">
        <f>MAX((D5+D6),0)</f>
        <v>3053.6234441899996</v>
      </c>
      <c r="E8" s="21">
        <f>MAX((E5+E6),0)</f>
        <v>64.556295534837787</v>
      </c>
      <c r="F8" s="21">
        <f>MAX((F5+F6),0)</f>
        <v>9149.7139267461698</v>
      </c>
      <c r="G8" s="21"/>
      <c r="H8" s="21"/>
      <c r="I8" s="21"/>
      <c r="J8" s="21">
        <f>MAX((J5+J6),0)</f>
        <v>318.19833177269931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0.18410107431973147</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404.34325808809729</v>
      </c>
      <c r="C12" s="23">
        <f ca="1">C8*C10</f>
        <v>0</v>
      </c>
      <c r="D12" s="23">
        <f>D8*D10</f>
        <v>616.83193572637992</v>
      </c>
      <c r="E12" s="23">
        <f>E8*E10</f>
        <v>14.654279086408177</v>
      </c>
      <c r="F12" s="23">
        <f>F8*F10</f>
        <v>2442.9736184412277</v>
      </c>
      <c r="G12" s="23"/>
      <c r="H12" s="23"/>
      <c r="I12" s="23"/>
      <c r="J12" s="23">
        <f>J8*J10</f>
        <v>112.64220944753555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0.31166345510475751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423.62941944899984</v>
      </c>
      <c r="C26" s="247">
        <f>B26*'GWP N2O_CH4'!B5</f>
        <v>8896.2178084289972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110.47955796138785</v>
      </c>
      <c r="C27" s="247">
        <f>B27*'GWP N2O_CH4'!B5</f>
        <v>2320.0707171891449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5.1860511990892268</v>
      </c>
      <c r="C28" s="247">
        <f>B28*'GWP N2O_CH4'!B4</f>
        <v>1607.6758717176604</v>
      </c>
      <c r="D28" s="50"/>
    </row>
    <row r="29" spans="1:4">
      <c r="A29" s="41" t="s">
        <v>277</v>
      </c>
      <c r="B29" s="247">
        <f>B34*'ha_N2O bodem landbouw'!B4</f>
        <v>23.43495736760854</v>
      </c>
      <c r="C29" s="247">
        <f>B29*'GWP N2O_CH4'!B4</f>
        <v>7264.8367839586472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5.3477765108323836E-3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2.5501065931269912E-4</v>
      </c>
      <c r="C5" s="463" t="s">
        <v>211</v>
      </c>
      <c r="D5" s="448">
        <f>SUM(D6:D11)</f>
        <v>8.8707480882857211E-4</v>
      </c>
      <c r="E5" s="448">
        <f>SUM(E6:E11)</f>
        <v>1.2617191448198264E-3</v>
      </c>
      <c r="F5" s="461" t="s">
        <v>211</v>
      </c>
      <c r="G5" s="448">
        <f>SUM(G6:G11)</f>
        <v>0.4599054505251684</v>
      </c>
      <c r="H5" s="448">
        <f>SUM(H6:H11)</f>
        <v>0.10117281173369606</v>
      </c>
      <c r="I5" s="463" t="s">
        <v>211</v>
      </c>
      <c r="J5" s="463" t="s">
        <v>211</v>
      </c>
      <c r="K5" s="463" t="s">
        <v>211</v>
      </c>
      <c r="L5" s="463" t="s">
        <v>211</v>
      </c>
      <c r="M5" s="448">
        <f>SUM(M6:M11)</f>
        <v>2.9873006304842097E-2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1.3489893799664441E-4</v>
      </c>
      <c r="C6" s="449"/>
      <c r="D6" s="962">
        <f>vkm_2011_GW_PW*SUMIFS(TableVerdeelsleutelVkm[CNG],TableVerdeelsleutelVkm[Voertuigtype],"Lichte voertuigen")*SUMIFS(TableECFTransport[EnergieConsumptieFactor (PJ per km)],TableECFTransport[Index],CONCATENATE($A6,"_CNG_CNG"))</f>
        <v>4.0461938904217277E-4</v>
      </c>
      <c r="E6" s="962">
        <f>vkm_2011_GW_PW*SUMIFS(TableVerdeelsleutelVkm[LPG],TableVerdeelsleutelVkm[Voertuigtype],"Lichte voertuigen")*SUMIFS(TableECFTransport[EnergieConsumptieFactor (PJ per km)],TableECFTransport[Index],CONCATENATE($A6,"_LPG_LPG"))</f>
        <v>5.527682061425242E-4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0.14292051882004661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4.60127504078316E-2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9.7157156335393197E-3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5.459160798814594E-2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1.6635502644301042E-5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3.1901522993597027E-3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4.8099398055169245E-5</v>
      </c>
      <c r="C8" s="449"/>
      <c r="D8" s="451">
        <f>vkm_2011_NGW_PW*SUMIFS(TableVerdeelsleutelVkm[CNG],TableVerdeelsleutelVkm[Voertuigtype],"Lichte voertuigen")*SUMIFS(TableECFTransport[EnergieConsumptieFactor (PJ per km)],TableECFTransport[Index],CONCATENATE($A8,"_CNG_CNG"))</f>
        <v>2.5651472096315095E-4</v>
      </c>
      <c r="E8" s="451">
        <f>vkm_2011_NGW_PW*SUMIFS(TableVerdeelsleutelVkm[LPG],TableVerdeelsleutelVkm[Voertuigtype],"Lichte voertuigen")*SUMIFS(TableECFTransport[EnergieConsumptieFactor (PJ per km)],TableECFTransport[Index],CONCATENATE($A8,"_LPG_LPG"))</f>
        <v>3.2454345997244793E-4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7.8197162648904722E-2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2.8347331891338663E-2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5.4099463871281955E-3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4.8382827722871207E-3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1.3879753073741018E-6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2.8273061686771329E-4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7.2012323260885468E-5</v>
      </c>
      <c r="C10" s="449"/>
      <c r="D10" s="451">
        <f>vkm_2011_SW_PW*SUMIFS(TableVerdeelsleutelVkm[CNG],TableVerdeelsleutelVkm[Voertuigtype],"Lichte voertuigen")*SUMIFS(TableECFTransport[EnergieConsumptieFactor (PJ per km)],TableECFTransport[Index],CONCATENATE($A10,"_CNG_CNG"))</f>
        <v>2.2594069882324837E-4</v>
      </c>
      <c r="E10" s="451">
        <f>vkm_2011_SW_PW*SUMIFS(TableVerdeelsleutelVkm[LPG],TableVerdeelsleutelVkm[Voertuigtype],"Lichte voertuigen")*SUMIFS(TableECFTransport[EnergieConsumptieFactor (PJ per km)],TableECFTransport[Index],CONCATENATE($A10,"_LPG_LPG"))</f>
        <v>3.8440747870485426E-4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8.860679479256596E-2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2.6764842409719436E-2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5.9712038367325431E-3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9.0751083503218075E-2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2.9863546854696632E-5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5.3032575312146214E-3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70.836294253527541</v>
      </c>
      <c r="C14" s="21"/>
      <c r="D14" s="21">
        <f t="shared" ref="D14:M14" si="0">((D5)*10^9/3600)+D12</f>
        <v>246.40966911904783</v>
      </c>
      <c r="E14" s="21">
        <f t="shared" si="0"/>
        <v>350.47754022772955</v>
      </c>
      <c r="F14" s="21"/>
      <c r="G14" s="21">
        <f t="shared" si="0"/>
        <v>127751.514034769</v>
      </c>
      <c r="H14" s="21">
        <f t="shared" si="0"/>
        <v>28103.55881491557</v>
      </c>
      <c r="I14" s="21"/>
      <c r="J14" s="21"/>
      <c r="K14" s="21"/>
      <c r="L14" s="21"/>
      <c r="M14" s="21">
        <f t="shared" si="0"/>
        <v>8298.0573069005823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0.18410107431973147</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13.041037872903042</v>
      </c>
      <c r="C18" s="23"/>
      <c r="D18" s="23">
        <f t="shared" ref="D18:M18" si="1">D14*D16</f>
        <v>49.774753162047666</v>
      </c>
      <c r="E18" s="23">
        <f t="shared" si="1"/>
        <v>79.558401631694608</v>
      </c>
      <c r="F18" s="23"/>
      <c r="G18" s="23">
        <f t="shared" si="1"/>
        <v>34109.654247283324</v>
      </c>
      <c r="H18" s="23">
        <f t="shared" si="1"/>
        <v>6997.7861449139773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9.5951408621461412E-3</v>
      </c>
      <c r="H50" s="321">
        <f t="shared" si="2"/>
        <v>0</v>
      </c>
      <c r="I50" s="321">
        <f t="shared" si="2"/>
        <v>0</v>
      </c>
      <c r="J50" s="321">
        <f t="shared" si="2"/>
        <v>0</v>
      </c>
      <c r="K50" s="321">
        <f t="shared" si="2"/>
        <v>0</v>
      </c>
      <c r="L50" s="321">
        <f t="shared" si="2"/>
        <v>0</v>
      </c>
      <c r="M50" s="321">
        <f t="shared" si="2"/>
        <v>5.449616424876442E-4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9.5951408621461412E-3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5.449616424876442E-4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2665.316906151706</v>
      </c>
      <c r="H54" s="21">
        <f t="shared" si="3"/>
        <v>0</v>
      </c>
      <c r="I54" s="21">
        <f t="shared" si="3"/>
        <v>0</v>
      </c>
      <c r="J54" s="21">
        <f t="shared" si="3"/>
        <v>0</v>
      </c>
      <c r="K54" s="21">
        <f t="shared" si="3"/>
        <v>0</v>
      </c>
      <c r="L54" s="21">
        <f t="shared" si="3"/>
        <v>0</v>
      </c>
      <c r="M54" s="21">
        <f t="shared" si="3"/>
        <v>151.3782340243456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0.18410107431973147</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711.63961394250555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3961.4131571063949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15051.161223596169</v>
      </c>
      <c r="C6" s="1263"/>
      <c r="D6" s="1248"/>
      <c r="E6" s="1248"/>
      <c r="F6" s="1266"/>
      <c r="G6" s="1269"/>
      <c r="H6" s="1260"/>
      <c r="I6" s="1248"/>
      <c r="J6" s="1248"/>
      <c r="K6" s="1248"/>
      <c r="L6" s="1252"/>
      <c r="M6" s="575"/>
      <c r="N6" s="1226"/>
      <c r="O6" s="1227"/>
      <c r="Q6" s="573"/>
      <c r="R6" s="1214"/>
      <c r="S6" s="1214"/>
    </row>
    <row r="7" spans="1:19" s="563" customFormat="1">
      <c r="A7" s="576" t="s">
        <v>252</v>
      </c>
      <c r="B7" s="577">
        <f>N57</f>
        <v>4860</v>
      </c>
      <c r="C7" s="578">
        <f>B100</f>
        <v>5717.6470588235297</v>
      </c>
      <c r="D7" s="579"/>
      <c r="E7" s="579">
        <f>E100</f>
        <v>0</v>
      </c>
      <c r="F7" s="580"/>
      <c r="G7" s="581"/>
      <c r="H7" s="579">
        <f>I100</f>
        <v>0</v>
      </c>
      <c r="I7" s="579">
        <f>G100+F100</f>
        <v>0</v>
      </c>
      <c r="J7" s="579">
        <f>H100+D100+C100</f>
        <v>0</v>
      </c>
      <c r="K7" s="579"/>
      <c r="L7" s="582"/>
      <c r="M7" s="583">
        <f>C7*$C$11+D7*$D$11+E7*$E$11+F7*$F$11+G7*$G$11+H7*$H$11+I7*$I$11+J7*$J$11</f>
        <v>1154.964705882353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23872.574380702565</v>
      </c>
      <c r="C9" s="594">
        <f t="shared" ref="C9:L9" si="0">SUM(C7:C8)</f>
        <v>5717.6470588235297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1154.964705882353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6942.8571428571431</v>
      </c>
      <c r="C16" s="610">
        <f>B101</f>
        <v>8168.0672268907565</v>
      </c>
      <c r="D16" s="611"/>
      <c r="E16" s="611">
        <f>E101</f>
        <v>0</v>
      </c>
      <c r="F16" s="612"/>
      <c r="G16" s="613"/>
      <c r="H16" s="610">
        <f>I101</f>
        <v>0</v>
      </c>
      <c r="I16" s="611">
        <f>G101+F101</f>
        <v>0</v>
      </c>
      <c r="J16" s="611">
        <f>H101+D101+C101</f>
        <v>0</v>
      </c>
      <c r="K16" s="611"/>
      <c r="L16" s="614"/>
      <c r="M16" s="615">
        <f>C16*$C$21+E16*$E$21+H16*$H$21+I16*$I$21+J16*$J$21+D16*$D$21+F16*$F$21+G16*$G$21+K16*$K$21+L16*$L$21</f>
        <v>1649.9495798319329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6942.8571428571431</v>
      </c>
      <c r="C19" s="593">
        <f>SUM(C16:C18)</f>
        <v>8168.0672268907565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1649.9495798319329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51">
      <c r="A27" s="624"/>
      <c r="B27" s="851">
        <v>73006</v>
      </c>
      <c r="C27" s="851">
        <v>3740</v>
      </c>
      <c r="D27" s="672" t="s">
        <v>844</v>
      </c>
      <c r="E27" s="671" t="s">
        <v>845</v>
      </c>
      <c r="F27" s="671" t="s">
        <v>846</v>
      </c>
      <c r="G27" s="671" t="s">
        <v>847</v>
      </c>
      <c r="H27" s="671" t="s">
        <v>848</v>
      </c>
      <c r="I27" s="671" t="s">
        <v>845</v>
      </c>
      <c r="J27" s="850">
        <v>39794</v>
      </c>
      <c r="K27" s="850">
        <v>39794</v>
      </c>
      <c r="L27" s="671" t="s">
        <v>849</v>
      </c>
      <c r="M27" s="671">
        <v>1030</v>
      </c>
      <c r="N27" s="671">
        <v>4635</v>
      </c>
      <c r="O27" s="671">
        <v>6621.4285714285716</v>
      </c>
      <c r="P27" s="671">
        <v>13242.857142857143</v>
      </c>
      <c r="Q27" s="671">
        <v>0</v>
      </c>
      <c r="R27" s="671">
        <v>0</v>
      </c>
      <c r="S27" s="671">
        <v>0</v>
      </c>
      <c r="T27" s="671">
        <v>0</v>
      </c>
      <c r="U27" s="671">
        <v>0</v>
      </c>
      <c r="V27" s="671">
        <v>0</v>
      </c>
      <c r="W27" s="671">
        <v>0</v>
      </c>
      <c r="X27" s="671">
        <v>400</v>
      </c>
      <c r="Y27" s="671" t="s">
        <v>37</v>
      </c>
      <c r="Z27" s="673" t="s">
        <v>389</v>
      </c>
    </row>
    <row r="28" spans="1:26" s="625" customFormat="1" ht="38.25">
      <c r="A28" s="624"/>
      <c r="B28" s="851">
        <v>73006</v>
      </c>
      <c r="C28" s="851">
        <v>3740</v>
      </c>
      <c r="D28" s="672"/>
      <c r="E28" s="671"/>
      <c r="F28" s="671" t="s">
        <v>850</v>
      </c>
      <c r="G28" s="671" t="s">
        <v>847</v>
      </c>
      <c r="H28" s="671" t="s">
        <v>848</v>
      </c>
      <c r="I28" s="671" t="s">
        <v>851</v>
      </c>
      <c r="J28" s="850">
        <v>41879</v>
      </c>
      <c r="K28" s="850">
        <v>41807</v>
      </c>
      <c r="L28" s="671" t="s">
        <v>849</v>
      </c>
      <c r="M28" s="671">
        <v>50</v>
      </c>
      <c r="N28" s="671">
        <v>225</v>
      </c>
      <c r="O28" s="671">
        <v>321.42857142857144</v>
      </c>
      <c r="P28" s="671">
        <v>642.85714285714289</v>
      </c>
      <c r="Q28" s="671">
        <v>0</v>
      </c>
      <c r="R28" s="671">
        <v>0</v>
      </c>
      <c r="S28" s="671">
        <v>0</v>
      </c>
      <c r="T28" s="671">
        <v>0</v>
      </c>
      <c r="U28" s="671">
        <v>0</v>
      </c>
      <c r="V28" s="671">
        <v>0</v>
      </c>
      <c r="W28" s="671">
        <v>0</v>
      </c>
      <c r="X28" s="671">
        <v>1501</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1080</v>
      </c>
      <c r="N57" s="629">
        <f>SUM(N27:N56)</f>
        <v>4860</v>
      </c>
      <c r="O57" s="629">
        <f t="shared" ref="O57:W57" si="2">SUM(O27:O56)</f>
        <v>6942.8571428571431</v>
      </c>
      <c r="P57" s="629">
        <f t="shared" si="2"/>
        <v>13885.714285714286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1030</v>
      </c>
      <c r="N58" s="629">
        <f t="shared" ref="N58:W58" si="3">SUMIF($Z$27:$Z$56,"industrie",N27:N56)</f>
        <v>4635</v>
      </c>
      <c r="O58" s="629">
        <f t="shared" si="3"/>
        <v>6621.4285714285716</v>
      </c>
      <c r="P58" s="629">
        <f t="shared" si="3"/>
        <v>13242.857142857143</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50</v>
      </c>
      <c r="N59" s="629">
        <f ca="1">SUMIF($Z$27:AB56,"tertiair",N27:N56)</f>
        <v>225</v>
      </c>
      <c r="O59" s="629">
        <f ca="1">SUMIF($Z$27:AC56,"tertiair",O27:O56)</f>
        <v>321.42857142857144</v>
      </c>
      <c r="P59" s="629">
        <f ca="1">SUMIF($Z$27:AD56,"tertiair",P27:P56)</f>
        <v>642.85714285714289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5717.6470588235297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8168.0672268907565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32807.107323000004</v>
      </c>
      <c r="D10" s="718">
        <f ca="1">tertiair!C16</f>
        <v>321.42857142857144</v>
      </c>
      <c r="E10" s="718">
        <f ca="1">tertiair!D16</f>
        <v>30999.669689718856</v>
      </c>
      <c r="F10" s="718">
        <f>tertiair!E16</f>
        <v>468.47377266959461</v>
      </c>
      <c r="G10" s="718">
        <f ca="1">tertiair!F16</f>
        <v>5680.5959273776798</v>
      </c>
      <c r="H10" s="718">
        <f>tertiair!G16</f>
        <v>0</v>
      </c>
      <c r="I10" s="718">
        <f>tertiair!H16</f>
        <v>0</v>
      </c>
      <c r="J10" s="718">
        <f>tertiair!I16</f>
        <v>0</v>
      </c>
      <c r="K10" s="718">
        <f>tertiair!J16</f>
        <v>0.11900221184819451</v>
      </c>
      <c r="L10" s="718">
        <f>tertiair!K16</f>
        <v>0</v>
      </c>
      <c r="M10" s="718">
        <f ca="1">tertiair!L16</f>
        <v>0</v>
      </c>
      <c r="N10" s="718">
        <f>tertiair!M16</f>
        <v>0</v>
      </c>
      <c r="O10" s="718">
        <f ca="1">tertiair!N16</f>
        <v>4734.9840571826671</v>
      </c>
      <c r="P10" s="718">
        <f>tertiair!O16</f>
        <v>3.1266666666666669</v>
      </c>
      <c r="Q10" s="719">
        <f>tertiair!P16</f>
        <v>19.066666666666666</v>
      </c>
      <c r="R10" s="721">
        <f ca="1">SUM(C10:Q10)</f>
        <v>75034.571676922555</v>
      </c>
      <c r="S10" s="67"/>
    </row>
    <row r="11" spans="1:19" s="474" customFormat="1">
      <c r="A11" s="870" t="s">
        <v>225</v>
      </c>
      <c r="B11" s="875"/>
      <c r="C11" s="718">
        <f>huishoudens!B8</f>
        <v>52783.285970893645</v>
      </c>
      <c r="D11" s="718">
        <f>huishoudens!C8</f>
        <v>0</v>
      </c>
      <c r="E11" s="718">
        <f>huishoudens!D8</f>
        <v>81554.447575700091</v>
      </c>
      <c r="F11" s="718">
        <f>huishoudens!E8</f>
        <v>4060.5400646020321</v>
      </c>
      <c r="G11" s="718">
        <f>huishoudens!F8</f>
        <v>94942.702429014142</v>
      </c>
      <c r="H11" s="718">
        <f>huishoudens!G8</f>
        <v>0</v>
      </c>
      <c r="I11" s="718">
        <f>huishoudens!H8</f>
        <v>0</v>
      </c>
      <c r="J11" s="718">
        <f>huishoudens!I8</f>
        <v>0</v>
      </c>
      <c r="K11" s="718">
        <f>huishoudens!J8</f>
        <v>0</v>
      </c>
      <c r="L11" s="718">
        <f>huishoudens!K8</f>
        <v>0</v>
      </c>
      <c r="M11" s="718">
        <f>huishoudens!L8</f>
        <v>0</v>
      </c>
      <c r="N11" s="718">
        <f>huishoudens!M8</f>
        <v>0</v>
      </c>
      <c r="O11" s="718">
        <f>huishoudens!N8</f>
        <v>30684.482846348215</v>
      </c>
      <c r="P11" s="718">
        <f>huishoudens!O8</f>
        <v>725.38666666666677</v>
      </c>
      <c r="Q11" s="719">
        <f>huishoudens!P8</f>
        <v>2040.1333333333332</v>
      </c>
      <c r="R11" s="721">
        <f>SUM(C11:Q11)</f>
        <v>266790.97888655815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23822.519130999997</v>
      </c>
      <c r="D13" s="718">
        <f>industrie!C18</f>
        <v>6621.4285714285716</v>
      </c>
      <c r="E13" s="718">
        <f>industrie!D18</f>
        <v>103016.04596480886</v>
      </c>
      <c r="F13" s="718">
        <f>industrie!E18</f>
        <v>3462.3731543142098</v>
      </c>
      <c r="G13" s="718">
        <f>industrie!F18</f>
        <v>11140.130712064125</v>
      </c>
      <c r="H13" s="718">
        <f>industrie!G18</f>
        <v>0</v>
      </c>
      <c r="I13" s="718">
        <f>industrie!H18</f>
        <v>0</v>
      </c>
      <c r="J13" s="718">
        <f>industrie!I18</f>
        <v>0</v>
      </c>
      <c r="K13" s="718">
        <f>industrie!J18</f>
        <v>9.2527885082942554</v>
      </c>
      <c r="L13" s="718">
        <f>industrie!K18</f>
        <v>0</v>
      </c>
      <c r="M13" s="718">
        <f>industrie!L18</f>
        <v>0</v>
      </c>
      <c r="N13" s="718">
        <f>industrie!M18</f>
        <v>0</v>
      </c>
      <c r="O13" s="718">
        <f>industrie!N18</f>
        <v>5280.6636878646768</v>
      </c>
      <c r="P13" s="718">
        <f>industrie!O18</f>
        <v>0</v>
      </c>
      <c r="Q13" s="719">
        <f>industrie!P18</f>
        <v>0</v>
      </c>
      <c r="R13" s="721">
        <f>SUM(C13:Q13)</f>
        <v>153352.41400998872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109412.91242489364</v>
      </c>
      <c r="D15" s="723">
        <f t="shared" ref="D15:Q15" ca="1" si="0">SUM(D9:D14)</f>
        <v>6942.8571428571431</v>
      </c>
      <c r="E15" s="723">
        <f t="shared" ca="1" si="0"/>
        <v>215570.1632302278</v>
      </c>
      <c r="F15" s="723">
        <f t="shared" si="0"/>
        <v>7991.3869915858359</v>
      </c>
      <c r="G15" s="723">
        <f t="shared" ca="1" si="0"/>
        <v>111763.42906845595</v>
      </c>
      <c r="H15" s="723">
        <f t="shared" si="0"/>
        <v>0</v>
      </c>
      <c r="I15" s="723">
        <f t="shared" si="0"/>
        <v>0</v>
      </c>
      <c r="J15" s="723">
        <f t="shared" si="0"/>
        <v>0</v>
      </c>
      <c r="K15" s="723">
        <f t="shared" si="0"/>
        <v>9.3717907201424495</v>
      </c>
      <c r="L15" s="723">
        <f t="shared" si="0"/>
        <v>0</v>
      </c>
      <c r="M15" s="723">
        <f t="shared" ca="1" si="0"/>
        <v>0</v>
      </c>
      <c r="N15" s="723">
        <f t="shared" si="0"/>
        <v>0</v>
      </c>
      <c r="O15" s="723">
        <f t="shared" ca="1" si="0"/>
        <v>40700.130591395558</v>
      </c>
      <c r="P15" s="723">
        <f t="shared" si="0"/>
        <v>728.51333333333343</v>
      </c>
      <c r="Q15" s="724">
        <f t="shared" si="0"/>
        <v>2059.1999999999998</v>
      </c>
      <c r="R15" s="725">
        <f ca="1">SUM(R9:R14)</f>
        <v>495177.96457346942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2665.316906151706</v>
      </c>
      <c r="I18" s="718">
        <f>transport!H54</f>
        <v>0</v>
      </c>
      <c r="J18" s="718">
        <f>transport!I54</f>
        <v>0</v>
      </c>
      <c r="K18" s="718">
        <f>transport!J54</f>
        <v>0</v>
      </c>
      <c r="L18" s="718">
        <f>transport!K54</f>
        <v>0</v>
      </c>
      <c r="M18" s="718">
        <f>transport!L54</f>
        <v>0</v>
      </c>
      <c r="N18" s="718">
        <f>transport!M54</f>
        <v>151.3782340243456</v>
      </c>
      <c r="O18" s="718">
        <f>transport!N54</f>
        <v>0</v>
      </c>
      <c r="P18" s="718">
        <f>transport!O54</f>
        <v>0</v>
      </c>
      <c r="Q18" s="719">
        <f>transport!P54</f>
        <v>0</v>
      </c>
      <c r="R18" s="721">
        <f>SUM(C18:Q18)</f>
        <v>2816.6951401760516</v>
      </c>
      <c r="S18" s="67"/>
    </row>
    <row r="19" spans="1:19" s="474" customFormat="1" ht="15" thickBot="1">
      <c r="A19" s="870" t="s">
        <v>307</v>
      </c>
      <c r="B19" s="875"/>
      <c r="C19" s="727">
        <f>transport!B14</f>
        <v>70.836294253527541</v>
      </c>
      <c r="D19" s="727">
        <f>transport!C14</f>
        <v>0</v>
      </c>
      <c r="E19" s="727">
        <f>transport!D14</f>
        <v>246.40966911904783</v>
      </c>
      <c r="F19" s="727">
        <f>transport!E14</f>
        <v>350.47754022772955</v>
      </c>
      <c r="G19" s="727">
        <f>transport!F14</f>
        <v>0</v>
      </c>
      <c r="H19" s="727">
        <f>transport!G14</f>
        <v>127751.514034769</v>
      </c>
      <c r="I19" s="727">
        <f>transport!H14</f>
        <v>28103.55881491557</v>
      </c>
      <c r="J19" s="727">
        <f>transport!I14</f>
        <v>0</v>
      </c>
      <c r="K19" s="727">
        <f>transport!J14</f>
        <v>0</v>
      </c>
      <c r="L19" s="727">
        <f>transport!K14</f>
        <v>0</v>
      </c>
      <c r="M19" s="727">
        <f>transport!L14</f>
        <v>0</v>
      </c>
      <c r="N19" s="727">
        <f>transport!M14</f>
        <v>8298.0573069005823</v>
      </c>
      <c r="O19" s="727">
        <f>transport!N14</f>
        <v>0</v>
      </c>
      <c r="P19" s="727">
        <f>transport!O14</f>
        <v>0</v>
      </c>
      <c r="Q19" s="728">
        <f>transport!P14</f>
        <v>0</v>
      </c>
      <c r="R19" s="729">
        <f>SUM(C19:Q19)</f>
        <v>164820.85366018547</v>
      </c>
      <c r="S19" s="67"/>
    </row>
    <row r="20" spans="1:19" s="474" customFormat="1" ht="15.75" thickBot="1">
      <c r="A20" s="730" t="s">
        <v>230</v>
      </c>
      <c r="B20" s="878"/>
      <c r="C20" s="873">
        <f>SUM(C17:C19)</f>
        <v>70.836294253527541</v>
      </c>
      <c r="D20" s="731">
        <f t="shared" ref="D20:R20" si="1">SUM(D17:D19)</f>
        <v>0</v>
      </c>
      <c r="E20" s="731">
        <f t="shared" si="1"/>
        <v>246.40966911904783</v>
      </c>
      <c r="F20" s="731">
        <f t="shared" si="1"/>
        <v>350.47754022772955</v>
      </c>
      <c r="G20" s="731">
        <f t="shared" si="1"/>
        <v>0</v>
      </c>
      <c r="H20" s="731">
        <f t="shared" si="1"/>
        <v>130416.83094092071</v>
      </c>
      <c r="I20" s="731">
        <f t="shared" si="1"/>
        <v>28103.55881491557</v>
      </c>
      <c r="J20" s="731">
        <f t="shared" si="1"/>
        <v>0</v>
      </c>
      <c r="K20" s="731">
        <f t="shared" si="1"/>
        <v>0</v>
      </c>
      <c r="L20" s="731">
        <f t="shared" si="1"/>
        <v>0</v>
      </c>
      <c r="M20" s="731">
        <f t="shared" si="1"/>
        <v>0</v>
      </c>
      <c r="N20" s="731">
        <f t="shared" si="1"/>
        <v>8449.4355409249274</v>
      </c>
      <c r="O20" s="731">
        <f t="shared" si="1"/>
        <v>0</v>
      </c>
      <c r="P20" s="731">
        <f t="shared" si="1"/>
        <v>0</v>
      </c>
      <c r="Q20" s="732">
        <f t="shared" si="1"/>
        <v>0</v>
      </c>
      <c r="R20" s="733">
        <f t="shared" si="1"/>
        <v>167637.54880036152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2196.311236</v>
      </c>
      <c r="D22" s="727">
        <f>+landbouw!C8</f>
        <v>0</v>
      </c>
      <c r="E22" s="727">
        <f>+landbouw!D8</f>
        <v>3053.6234441899996</v>
      </c>
      <c r="F22" s="727">
        <f>+landbouw!E8</f>
        <v>64.556295534837787</v>
      </c>
      <c r="G22" s="727">
        <f>+landbouw!F8</f>
        <v>9149.7139267461698</v>
      </c>
      <c r="H22" s="727">
        <f>+landbouw!G8</f>
        <v>0</v>
      </c>
      <c r="I22" s="727">
        <f>+landbouw!H8</f>
        <v>0</v>
      </c>
      <c r="J22" s="727">
        <f>+landbouw!I8</f>
        <v>0</v>
      </c>
      <c r="K22" s="727">
        <f>+landbouw!J8</f>
        <v>318.19833177269931</v>
      </c>
      <c r="L22" s="727">
        <f>+landbouw!K8</f>
        <v>0</v>
      </c>
      <c r="M22" s="727">
        <f>+landbouw!L8</f>
        <v>0</v>
      </c>
      <c r="N22" s="727">
        <f>+landbouw!M8</f>
        <v>0</v>
      </c>
      <c r="O22" s="727">
        <f>+landbouw!N8</f>
        <v>0</v>
      </c>
      <c r="P22" s="727">
        <f>+landbouw!O8</f>
        <v>0</v>
      </c>
      <c r="Q22" s="728">
        <f>+landbouw!P8</f>
        <v>0</v>
      </c>
      <c r="R22" s="729">
        <f>SUM(C22:Q22)</f>
        <v>14782.403234243706</v>
      </c>
      <c r="S22" s="67"/>
    </row>
    <row r="23" spans="1:19" s="474" customFormat="1" ht="17.25" thickTop="1" thickBot="1">
      <c r="A23" s="734" t="s">
        <v>116</v>
      </c>
      <c r="B23" s="864"/>
      <c r="C23" s="735">
        <f ca="1">C20+C15+C22</f>
        <v>111680.05995514717</v>
      </c>
      <c r="D23" s="735">
        <f t="shared" ref="D23:Q23" ca="1" si="2">D20+D15+D22</f>
        <v>6942.8571428571431</v>
      </c>
      <c r="E23" s="735">
        <f t="shared" ca="1" si="2"/>
        <v>218870.19634353684</v>
      </c>
      <c r="F23" s="735">
        <f t="shared" si="2"/>
        <v>8406.4208273484037</v>
      </c>
      <c r="G23" s="735">
        <f t="shared" ca="1" si="2"/>
        <v>120913.14299520213</v>
      </c>
      <c r="H23" s="735">
        <f t="shared" si="2"/>
        <v>130416.83094092071</v>
      </c>
      <c r="I23" s="735">
        <f t="shared" si="2"/>
        <v>28103.55881491557</v>
      </c>
      <c r="J23" s="735">
        <f t="shared" si="2"/>
        <v>0</v>
      </c>
      <c r="K23" s="735">
        <f t="shared" si="2"/>
        <v>327.57012249284173</v>
      </c>
      <c r="L23" s="735">
        <f t="shared" si="2"/>
        <v>0</v>
      </c>
      <c r="M23" s="735">
        <f t="shared" ca="1" si="2"/>
        <v>0</v>
      </c>
      <c r="N23" s="735">
        <f t="shared" si="2"/>
        <v>8449.4355409249274</v>
      </c>
      <c r="O23" s="735">
        <f t="shared" ca="1" si="2"/>
        <v>40700.130591395558</v>
      </c>
      <c r="P23" s="735">
        <f t="shared" si="2"/>
        <v>728.51333333333343</v>
      </c>
      <c r="Q23" s="736">
        <f t="shared" si="2"/>
        <v>2059.1999999999998</v>
      </c>
      <c r="R23" s="737">
        <f ca="1">R20+R15+R22</f>
        <v>677597.91660807468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6039.8237034870299</v>
      </c>
      <c r="D36" s="718">
        <f ca="1">tertiair!C20</f>
        <v>76.386554621848745</v>
      </c>
      <c r="E36" s="718">
        <f ca="1">tertiair!D20</f>
        <v>6261.933277323209</v>
      </c>
      <c r="F36" s="718">
        <f>tertiair!E20</f>
        <v>106.34354639599798</v>
      </c>
      <c r="G36" s="718">
        <f ca="1">tertiair!F20</f>
        <v>1516.7191126098405</v>
      </c>
      <c r="H36" s="718">
        <f>tertiair!G20</f>
        <v>0</v>
      </c>
      <c r="I36" s="718">
        <f>tertiair!H20</f>
        <v>0</v>
      </c>
      <c r="J36" s="718">
        <f>tertiair!I20</f>
        <v>0</v>
      </c>
      <c r="K36" s="718">
        <f>tertiair!J20</f>
        <v>4.2126782994260856E-2</v>
      </c>
      <c r="L36" s="718">
        <f>tertiair!K20</f>
        <v>0</v>
      </c>
      <c r="M36" s="718">
        <f ca="1">tertiair!L20</f>
        <v>0</v>
      </c>
      <c r="N36" s="718">
        <f>tertiair!M20</f>
        <v>0</v>
      </c>
      <c r="O36" s="718">
        <f ca="1">tertiair!N20</f>
        <v>0</v>
      </c>
      <c r="P36" s="718">
        <f>tertiair!O20</f>
        <v>0</v>
      </c>
      <c r="Q36" s="828">
        <f>tertiair!P20</f>
        <v>0</v>
      </c>
      <c r="R36" s="917">
        <f ca="1">SUM(C36:Q36)</f>
        <v>14001.248321220919</v>
      </c>
    </row>
    <row r="37" spans="1:18">
      <c r="A37" s="885" t="s">
        <v>225</v>
      </c>
      <c r="B37" s="892"/>
      <c r="C37" s="718">
        <f ca="1">huishoudens!B12</f>
        <v>9717.4596533671302</v>
      </c>
      <c r="D37" s="718">
        <f ca="1">huishoudens!C12</f>
        <v>0</v>
      </c>
      <c r="E37" s="718">
        <f>huishoudens!D12</f>
        <v>16473.99841029142</v>
      </c>
      <c r="F37" s="718">
        <f>huishoudens!E12</f>
        <v>921.74259466466128</v>
      </c>
      <c r="G37" s="718">
        <f>huishoudens!F12</f>
        <v>25349.701548546778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52462.902206869992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4385.7513650194551</v>
      </c>
      <c r="D39" s="718">
        <f ca="1">industrie!C22</f>
        <v>1573.5630252100841</v>
      </c>
      <c r="E39" s="718">
        <f>industrie!D22</f>
        <v>20809.241284891392</v>
      </c>
      <c r="F39" s="718">
        <f>industrie!E22</f>
        <v>785.95870602932564</v>
      </c>
      <c r="G39" s="718">
        <f>industrie!F22</f>
        <v>2974.4149001211217</v>
      </c>
      <c r="H39" s="718">
        <f>industrie!G22</f>
        <v>0</v>
      </c>
      <c r="I39" s="718">
        <f>industrie!H22</f>
        <v>0</v>
      </c>
      <c r="J39" s="718">
        <f>industrie!I22</f>
        <v>0</v>
      </c>
      <c r="K39" s="718">
        <f>industrie!J22</f>
        <v>3.275487131936166</v>
      </c>
      <c r="L39" s="718">
        <f>industrie!K22</f>
        <v>0</v>
      </c>
      <c r="M39" s="718">
        <f>industrie!L22</f>
        <v>0</v>
      </c>
      <c r="N39" s="718">
        <f>industrie!M22</f>
        <v>0</v>
      </c>
      <c r="O39" s="718">
        <f>industrie!N22</f>
        <v>0</v>
      </c>
      <c r="P39" s="718">
        <f>industrie!O22</f>
        <v>0</v>
      </c>
      <c r="Q39" s="828">
        <f>industrie!P22</f>
        <v>0</v>
      </c>
      <c r="R39" s="918">
        <f ca="1">SUM(C39:Q39)</f>
        <v>30532.204768403317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20143.034721873617</v>
      </c>
      <c r="D41" s="763">
        <f t="shared" ref="D41:R41" ca="1" si="4">SUM(D35:D40)</f>
        <v>1649.9495798319329</v>
      </c>
      <c r="E41" s="763">
        <f t="shared" ca="1" si="4"/>
        <v>43545.172972506021</v>
      </c>
      <c r="F41" s="763">
        <f t="shared" si="4"/>
        <v>1814.0448470899848</v>
      </c>
      <c r="G41" s="763">
        <f t="shared" ca="1" si="4"/>
        <v>29840.835561277741</v>
      </c>
      <c r="H41" s="763">
        <f t="shared" si="4"/>
        <v>0</v>
      </c>
      <c r="I41" s="763">
        <f t="shared" si="4"/>
        <v>0</v>
      </c>
      <c r="J41" s="763">
        <f t="shared" si="4"/>
        <v>0</v>
      </c>
      <c r="K41" s="763">
        <f t="shared" si="4"/>
        <v>3.3176139149304267</v>
      </c>
      <c r="L41" s="763">
        <f t="shared" si="4"/>
        <v>0</v>
      </c>
      <c r="M41" s="763">
        <f t="shared" ca="1" si="4"/>
        <v>0</v>
      </c>
      <c r="N41" s="763">
        <f t="shared" si="4"/>
        <v>0</v>
      </c>
      <c r="O41" s="763">
        <f t="shared" ca="1" si="4"/>
        <v>0</v>
      </c>
      <c r="P41" s="763">
        <f t="shared" si="4"/>
        <v>0</v>
      </c>
      <c r="Q41" s="764">
        <f t="shared" si="4"/>
        <v>0</v>
      </c>
      <c r="R41" s="765">
        <f t="shared" ca="1" si="4"/>
        <v>96996.355296494236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711.63961394250555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711.63961394250555</v>
      </c>
    </row>
    <row r="45" spans="1:18" ht="15" thickBot="1">
      <c r="A45" s="888" t="s">
        <v>307</v>
      </c>
      <c r="B45" s="898"/>
      <c r="C45" s="727">
        <f ca="1">transport!B18</f>
        <v>13.041037872903042</v>
      </c>
      <c r="D45" s="727">
        <f>transport!C18</f>
        <v>0</v>
      </c>
      <c r="E45" s="727">
        <f>transport!D18</f>
        <v>49.774753162047666</v>
      </c>
      <c r="F45" s="727">
        <f>transport!E18</f>
        <v>79.558401631694608</v>
      </c>
      <c r="G45" s="727">
        <f>transport!F18</f>
        <v>0</v>
      </c>
      <c r="H45" s="727">
        <f>transport!G18</f>
        <v>34109.654247283324</v>
      </c>
      <c r="I45" s="727">
        <f>transport!H18</f>
        <v>6997.7861449139773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41249.814584863947</v>
      </c>
    </row>
    <row r="46" spans="1:18" ht="15.75" thickBot="1">
      <c r="A46" s="886" t="s">
        <v>230</v>
      </c>
      <c r="B46" s="899"/>
      <c r="C46" s="763">
        <f t="shared" ref="C46:R46" ca="1" si="5">SUM(C43:C45)</f>
        <v>13.041037872903042</v>
      </c>
      <c r="D46" s="763">
        <f t="shared" ca="1" si="5"/>
        <v>0</v>
      </c>
      <c r="E46" s="763">
        <f t="shared" si="5"/>
        <v>49.774753162047666</v>
      </c>
      <c r="F46" s="763">
        <f t="shared" si="5"/>
        <v>79.558401631694608</v>
      </c>
      <c r="G46" s="763">
        <f t="shared" si="5"/>
        <v>0</v>
      </c>
      <c r="H46" s="763">
        <f t="shared" si="5"/>
        <v>34821.293861225829</v>
      </c>
      <c r="I46" s="763">
        <f t="shared" si="5"/>
        <v>6997.7861449139773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41961.454198806452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404.34325808809729</v>
      </c>
      <c r="D48" s="718">
        <f ca="1">+landbouw!C12</f>
        <v>0</v>
      </c>
      <c r="E48" s="718">
        <f>+landbouw!D12</f>
        <v>616.83193572637992</v>
      </c>
      <c r="F48" s="718">
        <f>+landbouw!E12</f>
        <v>14.654279086408177</v>
      </c>
      <c r="G48" s="718">
        <f>+landbouw!F12</f>
        <v>2442.9736184412277</v>
      </c>
      <c r="H48" s="718">
        <f>+landbouw!G12</f>
        <v>0</v>
      </c>
      <c r="I48" s="718">
        <f>+landbouw!H12</f>
        <v>0</v>
      </c>
      <c r="J48" s="718">
        <f>+landbouw!I12</f>
        <v>0</v>
      </c>
      <c r="K48" s="718">
        <f>+landbouw!J12</f>
        <v>112.64220944753555</v>
      </c>
      <c r="L48" s="718">
        <f>+landbouw!K12</f>
        <v>0</v>
      </c>
      <c r="M48" s="718">
        <f>+landbouw!L12</f>
        <v>0</v>
      </c>
      <c r="N48" s="718">
        <f>+landbouw!M12</f>
        <v>0</v>
      </c>
      <c r="O48" s="718">
        <f>+landbouw!N12</f>
        <v>0</v>
      </c>
      <c r="P48" s="718">
        <f>+landbouw!O12</f>
        <v>0</v>
      </c>
      <c r="Q48" s="719">
        <f>+landbouw!P12</f>
        <v>0</v>
      </c>
      <c r="R48" s="761">
        <f ca="1">SUM(C48:Q48)</f>
        <v>3591.4453007896486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20560.419017834618</v>
      </c>
      <c r="D53" s="773">
        <f t="shared" ref="D53:Q53" ca="1" si="6">D41+D46+D48</f>
        <v>1649.9495798319329</v>
      </c>
      <c r="E53" s="773">
        <f t="shared" ca="1" si="6"/>
        <v>44211.779661394452</v>
      </c>
      <c r="F53" s="773">
        <f t="shared" si="6"/>
        <v>1908.2575278080876</v>
      </c>
      <c r="G53" s="773">
        <f t="shared" ca="1" si="6"/>
        <v>32283.80917971897</v>
      </c>
      <c r="H53" s="773">
        <f t="shared" si="6"/>
        <v>34821.293861225829</v>
      </c>
      <c r="I53" s="773">
        <f t="shared" si="6"/>
        <v>6997.7861449139773</v>
      </c>
      <c r="J53" s="773">
        <f t="shared" si="6"/>
        <v>0</v>
      </c>
      <c r="K53" s="773">
        <f t="shared" si="6"/>
        <v>115.95982336246598</v>
      </c>
      <c r="L53" s="773">
        <f t="shared" si="6"/>
        <v>0</v>
      </c>
      <c r="M53" s="773">
        <f t="shared" ca="1" si="6"/>
        <v>0</v>
      </c>
      <c r="N53" s="773">
        <f t="shared" si="6"/>
        <v>0</v>
      </c>
      <c r="O53" s="773">
        <f t="shared" ca="1" si="6"/>
        <v>0</v>
      </c>
      <c r="P53" s="773">
        <f>P41+P46+P48</f>
        <v>0</v>
      </c>
      <c r="Q53" s="774">
        <f t="shared" si="6"/>
        <v>0</v>
      </c>
      <c r="R53" s="775">
        <f ca="1">R41+R46+R48</f>
        <v>142549.25479609033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0.18410107431973149</v>
      </c>
      <c r="D55" s="836">
        <f t="shared" ca="1" si="7"/>
        <v>0.23764705882352941</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3961.4131571063949</v>
      </c>
      <c r="C64" s="795">
        <f>'lokale energieproductie'!B4</f>
        <v>3961.4131571063949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15051.161223596169</v>
      </c>
      <c r="C66" s="795">
        <f>'lokale energieproductie'!B6</f>
        <v>15051.161223596169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4860</v>
      </c>
      <c r="C67" s="794">
        <f>B67*IFERROR(SUM(J67:L67)/SUM(D67:M67),0)</f>
        <v>0</v>
      </c>
      <c r="D67" s="826">
        <f>'lokale energieproductie'!C7</f>
        <v>5717.6470588235297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1154.964705882353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23872.574380702565</v>
      </c>
      <c r="C69" s="803">
        <f>SUM(C64:C68)</f>
        <v>19012.574380702565</v>
      </c>
      <c r="D69" s="804">
        <f t="shared" ref="D69:M69" si="8">SUM(D67:D68)</f>
        <v>5717.6470588235297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1154.964705882353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6942.8571428571431</v>
      </c>
      <c r="C78" s="817">
        <f>B78*IFERROR(SUM(I78:L78)/SUM(D78:M78),0)</f>
        <v>0</v>
      </c>
      <c r="D78" s="832">
        <f>'lokale energieproductie'!C16</f>
        <v>8168.0672268907565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1649.9495798319329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6942.8571428571431</v>
      </c>
      <c r="C81" s="803">
        <f>SUM(C78:C80)</f>
        <v>0</v>
      </c>
      <c r="D81" s="803">
        <f t="shared" ref="D81:P81" si="9">SUM(D78:D80)</f>
        <v>8168.0672268907565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1649.9495798319329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52783.285970893645</v>
      </c>
      <c r="C4" s="478">
        <f>huishoudens!C8</f>
        <v>0</v>
      </c>
      <c r="D4" s="478">
        <f>huishoudens!D8</f>
        <v>81554.447575700091</v>
      </c>
      <c r="E4" s="478">
        <f>huishoudens!E8</f>
        <v>4060.5400646020321</v>
      </c>
      <c r="F4" s="478">
        <f>huishoudens!F8</f>
        <v>94942.702429014142</v>
      </c>
      <c r="G4" s="478">
        <f>huishoudens!G8</f>
        <v>0</v>
      </c>
      <c r="H4" s="478">
        <f>huishoudens!H8</f>
        <v>0</v>
      </c>
      <c r="I4" s="478">
        <f>huishoudens!I8</f>
        <v>0</v>
      </c>
      <c r="J4" s="478">
        <f>huishoudens!J8</f>
        <v>0</v>
      </c>
      <c r="K4" s="478">
        <f>huishoudens!K8</f>
        <v>0</v>
      </c>
      <c r="L4" s="478">
        <f>huishoudens!L8</f>
        <v>0</v>
      </c>
      <c r="M4" s="478">
        <f>huishoudens!M8</f>
        <v>0</v>
      </c>
      <c r="N4" s="478">
        <f>huishoudens!N8</f>
        <v>30684.482846348215</v>
      </c>
      <c r="O4" s="478">
        <f>huishoudens!O8</f>
        <v>725.38666666666677</v>
      </c>
      <c r="P4" s="479">
        <f>huishoudens!P8</f>
        <v>2040.1333333333332</v>
      </c>
      <c r="Q4" s="480">
        <f>SUM(B4:P4)</f>
        <v>266790.97888655815</v>
      </c>
    </row>
    <row r="5" spans="1:17">
      <c r="A5" s="477" t="s">
        <v>156</v>
      </c>
      <c r="B5" s="478">
        <f ca="1">tertiair!B16</f>
        <v>31371.556323000001</v>
      </c>
      <c r="C5" s="478">
        <f ca="1">tertiair!C16</f>
        <v>321.42857142857144</v>
      </c>
      <c r="D5" s="478">
        <f ca="1">tertiair!D16</f>
        <v>30999.669689718856</v>
      </c>
      <c r="E5" s="478">
        <f>tertiair!E16</f>
        <v>468.47377266959461</v>
      </c>
      <c r="F5" s="478">
        <f ca="1">tertiair!F16</f>
        <v>5680.5959273776798</v>
      </c>
      <c r="G5" s="478">
        <f>tertiair!G16</f>
        <v>0</v>
      </c>
      <c r="H5" s="478">
        <f>tertiair!H16</f>
        <v>0</v>
      </c>
      <c r="I5" s="478">
        <f>tertiair!I16</f>
        <v>0</v>
      </c>
      <c r="J5" s="478">
        <f>tertiair!J16</f>
        <v>0.11900221184819451</v>
      </c>
      <c r="K5" s="478">
        <f>tertiair!K16</f>
        <v>0</v>
      </c>
      <c r="L5" s="478">
        <f ca="1">tertiair!L16</f>
        <v>0</v>
      </c>
      <c r="M5" s="478">
        <f>tertiair!M16</f>
        <v>0</v>
      </c>
      <c r="N5" s="478">
        <f ca="1">tertiair!N16</f>
        <v>4734.9840571826671</v>
      </c>
      <c r="O5" s="478">
        <f>tertiair!O16</f>
        <v>3.1266666666666669</v>
      </c>
      <c r="P5" s="479">
        <f>tertiair!P16</f>
        <v>19.066666666666666</v>
      </c>
      <c r="Q5" s="477">
        <f t="shared" ref="Q5:Q13" ca="1" si="0">SUM(B5:P5)</f>
        <v>73599.020676922548</v>
      </c>
    </row>
    <row r="6" spans="1:17">
      <c r="A6" s="477" t="s">
        <v>194</v>
      </c>
      <c r="B6" s="478">
        <f>'openbare verlichting'!B8</f>
        <v>1435.5509999999999</v>
      </c>
      <c r="C6" s="478"/>
      <c r="D6" s="478"/>
      <c r="E6" s="478"/>
      <c r="F6" s="478"/>
      <c r="G6" s="478"/>
      <c r="H6" s="478"/>
      <c r="I6" s="478"/>
      <c r="J6" s="478"/>
      <c r="K6" s="478"/>
      <c r="L6" s="478"/>
      <c r="M6" s="478"/>
      <c r="N6" s="478"/>
      <c r="O6" s="478"/>
      <c r="P6" s="479"/>
      <c r="Q6" s="477">
        <f t="shared" si="0"/>
        <v>1435.5509999999999</v>
      </c>
    </row>
    <row r="7" spans="1:17">
      <c r="A7" s="477" t="s">
        <v>112</v>
      </c>
      <c r="B7" s="478">
        <f>landbouw!B8</f>
        <v>2196.311236</v>
      </c>
      <c r="C7" s="478">
        <f>landbouw!C8</f>
        <v>0</v>
      </c>
      <c r="D7" s="478">
        <f>landbouw!D8</f>
        <v>3053.6234441899996</v>
      </c>
      <c r="E7" s="478">
        <f>landbouw!E8</f>
        <v>64.556295534837787</v>
      </c>
      <c r="F7" s="478">
        <f>landbouw!F8</f>
        <v>9149.7139267461698</v>
      </c>
      <c r="G7" s="478">
        <f>landbouw!G8</f>
        <v>0</v>
      </c>
      <c r="H7" s="478">
        <f>landbouw!H8</f>
        <v>0</v>
      </c>
      <c r="I7" s="478">
        <f>landbouw!I8</f>
        <v>0</v>
      </c>
      <c r="J7" s="478">
        <f>landbouw!J8</f>
        <v>318.19833177269931</v>
      </c>
      <c r="K7" s="478">
        <f>landbouw!K8</f>
        <v>0</v>
      </c>
      <c r="L7" s="478">
        <f>landbouw!L8</f>
        <v>0</v>
      </c>
      <c r="M7" s="478">
        <f>landbouw!M8</f>
        <v>0</v>
      </c>
      <c r="N7" s="478">
        <f>landbouw!N8</f>
        <v>0</v>
      </c>
      <c r="O7" s="478">
        <f>landbouw!O8</f>
        <v>0</v>
      </c>
      <c r="P7" s="479">
        <f>landbouw!P8</f>
        <v>0</v>
      </c>
      <c r="Q7" s="477">
        <f t="shared" si="0"/>
        <v>14782.403234243706</v>
      </c>
    </row>
    <row r="8" spans="1:17">
      <c r="A8" s="477" t="s">
        <v>635</v>
      </c>
      <c r="B8" s="478">
        <f>industrie!B18</f>
        <v>23822.519130999997</v>
      </c>
      <c r="C8" s="478">
        <f>industrie!C18</f>
        <v>6621.4285714285716</v>
      </c>
      <c r="D8" s="478">
        <f>industrie!D18</f>
        <v>103016.04596480886</v>
      </c>
      <c r="E8" s="478">
        <f>industrie!E18</f>
        <v>3462.3731543142098</v>
      </c>
      <c r="F8" s="478">
        <f>industrie!F18</f>
        <v>11140.130712064125</v>
      </c>
      <c r="G8" s="478">
        <f>industrie!G18</f>
        <v>0</v>
      </c>
      <c r="H8" s="478">
        <f>industrie!H18</f>
        <v>0</v>
      </c>
      <c r="I8" s="478">
        <f>industrie!I18</f>
        <v>0</v>
      </c>
      <c r="J8" s="478">
        <f>industrie!J18</f>
        <v>9.2527885082942554</v>
      </c>
      <c r="K8" s="478">
        <f>industrie!K18</f>
        <v>0</v>
      </c>
      <c r="L8" s="478">
        <f>industrie!L18</f>
        <v>0</v>
      </c>
      <c r="M8" s="478">
        <f>industrie!M18</f>
        <v>0</v>
      </c>
      <c r="N8" s="478">
        <f>industrie!N18</f>
        <v>5280.6636878646768</v>
      </c>
      <c r="O8" s="478">
        <f>industrie!O18</f>
        <v>0</v>
      </c>
      <c r="P8" s="479">
        <f>industrie!P18</f>
        <v>0</v>
      </c>
      <c r="Q8" s="477">
        <f t="shared" si="0"/>
        <v>153352.41400998872</v>
      </c>
    </row>
    <row r="9" spans="1:17" s="483" customFormat="1">
      <c r="A9" s="481" t="s">
        <v>561</v>
      </c>
      <c r="B9" s="482">
        <f>transport!B14</f>
        <v>70.836294253527541</v>
      </c>
      <c r="C9" s="482"/>
      <c r="D9" s="482">
        <f>transport!D14</f>
        <v>246.40966911904783</v>
      </c>
      <c r="E9" s="482">
        <f>transport!E14</f>
        <v>350.47754022772955</v>
      </c>
      <c r="F9" s="482"/>
      <c r="G9" s="482">
        <f>transport!G14</f>
        <v>127751.514034769</v>
      </c>
      <c r="H9" s="482">
        <f>transport!H14</f>
        <v>28103.55881491557</v>
      </c>
      <c r="I9" s="482"/>
      <c r="J9" s="482"/>
      <c r="K9" s="482"/>
      <c r="L9" s="482"/>
      <c r="M9" s="482">
        <f>transport!M14</f>
        <v>8298.0573069005823</v>
      </c>
      <c r="N9" s="482"/>
      <c r="O9" s="482"/>
      <c r="P9" s="482"/>
      <c r="Q9" s="481">
        <f>SUM(B9:P9)</f>
        <v>164820.85366018547</v>
      </c>
    </row>
    <row r="10" spans="1:17">
      <c r="A10" s="477" t="s">
        <v>551</v>
      </c>
      <c r="B10" s="478">
        <f>transport!B54</f>
        <v>0</v>
      </c>
      <c r="C10" s="478"/>
      <c r="D10" s="478">
        <f>transport!D54</f>
        <v>0</v>
      </c>
      <c r="E10" s="478"/>
      <c r="F10" s="478"/>
      <c r="G10" s="478">
        <f>transport!G54</f>
        <v>2665.316906151706</v>
      </c>
      <c r="H10" s="478"/>
      <c r="I10" s="478"/>
      <c r="J10" s="478"/>
      <c r="K10" s="478"/>
      <c r="L10" s="478"/>
      <c r="M10" s="478">
        <f>transport!M54</f>
        <v>151.3782340243456</v>
      </c>
      <c r="N10" s="478"/>
      <c r="O10" s="478"/>
      <c r="P10" s="479"/>
      <c r="Q10" s="477">
        <f t="shared" si="0"/>
        <v>2816.6951401760516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111680.05995514717</v>
      </c>
      <c r="C14" s="488">
        <f t="shared" ref="C14:Q14" ca="1" si="1">SUM(C4:C13)</f>
        <v>6942.8571428571431</v>
      </c>
      <c r="D14" s="488">
        <f t="shared" ca="1" si="1"/>
        <v>218870.19634353684</v>
      </c>
      <c r="E14" s="488">
        <f t="shared" si="1"/>
        <v>8406.4208273484037</v>
      </c>
      <c r="F14" s="488">
        <f t="shared" ca="1" si="1"/>
        <v>120913.14299520213</v>
      </c>
      <c r="G14" s="488">
        <f t="shared" si="1"/>
        <v>130416.83094092071</v>
      </c>
      <c r="H14" s="488">
        <f t="shared" si="1"/>
        <v>28103.55881491557</v>
      </c>
      <c r="I14" s="488">
        <f t="shared" si="1"/>
        <v>0</v>
      </c>
      <c r="J14" s="488">
        <f t="shared" si="1"/>
        <v>327.57012249284173</v>
      </c>
      <c r="K14" s="488">
        <f t="shared" si="1"/>
        <v>0</v>
      </c>
      <c r="L14" s="488">
        <f t="shared" ca="1" si="1"/>
        <v>0</v>
      </c>
      <c r="M14" s="488">
        <f t="shared" si="1"/>
        <v>8449.4355409249274</v>
      </c>
      <c r="N14" s="488">
        <f t="shared" ca="1" si="1"/>
        <v>40700.130591395558</v>
      </c>
      <c r="O14" s="488">
        <f t="shared" si="1"/>
        <v>728.51333333333343</v>
      </c>
      <c r="P14" s="489">
        <f t="shared" si="1"/>
        <v>2059.1999999999998</v>
      </c>
      <c r="Q14" s="489">
        <f t="shared" ca="1" si="1"/>
        <v>677597.91660807468</v>
      </c>
    </row>
    <row r="16" spans="1:17">
      <c r="A16" s="491" t="s">
        <v>556</v>
      </c>
      <c r="B16" s="841">
        <f ca="1">huishoudens!B10</f>
        <v>0.18410107431973147</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9717.4596533671302</v>
      </c>
      <c r="C21" s="478">
        <f t="shared" ref="C21:C28" ca="1" si="3">C4*$C$16</f>
        <v>0</v>
      </c>
      <c r="D21" s="478">
        <f t="shared" ref="D21:D30" si="4">D4*$D$16</f>
        <v>16473.99841029142</v>
      </c>
      <c r="E21" s="478">
        <f t="shared" ref="E21:E30" si="5">E4*$E$16</f>
        <v>921.74259466466128</v>
      </c>
      <c r="F21" s="478">
        <f t="shared" ref="F21:F28" si="6">F4*$F$16</f>
        <v>25349.701548546778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52462.902206869992</v>
      </c>
    </row>
    <row r="22" spans="1:17">
      <c r="A22" s="477" t="s">
        <v>156</v>
      </c>
      <c r="B22" s="478">
        <f t="shared" ca="1" si="2"/>
        <v>5775.5372221462649</v>
      </c>
      <c r="C22" s="478">
        <f t="shared" ca="1" si="3"/>
        <v>76.386554621848745</v>
      </c>
      <c r="D22" s="478">
        <f t="shared" ca="1" si="4"/>
        <v>6261.933277323209</v>
      </c>
      <c r="E22" s="478">
        <f t="shared" si="5"/>
        <v>106.34354639599798</v>
      </c>
      <c r="F22" s="478">
        <f t="shared" ca="1" si="6"/>
        <v>1516.7191126098405</v>
      </c>
      <c r="G22" s="478">
        <f t="shared" si="7"/>
        <v>0</v>
      </c>
      <c r="H22" s="478">
        <f t="shared" si="8"/>
        <v>0</v>
      </c>
      <c r="I22" s="478">
        <f t="shared" si="9"/>
        <v>0</v>
      </c>
      <c r="J22" s="478">
        <f t="shared" si="10"/>
        <v>4.2126782994260856E-2</v>
      </c>
      <c r="K22" s="478">
        <f t="shared" si="11"/>
        <v>0</v>
      </c>
      <c r="L22" s="478">
        <f t="shared" ca="1" si="12"/>
        <v>0</v>
      </c>
      <c r="M22" s="478">
        <f t="shared" si="13"/>
        <v>0</v>
      </c>
      <c r="N22" s="478">
        <f t="shared" ca="1" si="14"/>
        <v>0</v>
      </c>
      <c r="O22" s="478">
        <f t="shared" si="15"/>
        <v>0</v>
      </c>
      <c r="P22" s="479">
        <f t="shared" si="16"/>
        <v>0</v>
      </c>
      <c r="Q22" s="477">
        <f t="shared" ref="Q22:Q30" ca="1" si="17">SUM(B22:P22)</f>
        <v>13736.961839880154</v>
      </c>
    </row>
    <row r="23" spans="1:17">
      <c r="A23" s="477" t="s">
        <v>194</v>
      </c>
      <c r="B23" s="478">
        <f t="shared" ca="1" si="2"/>
        <v>264.28648134076479</v>
      </c>
      <c r="C23" s="478"/>
      <c r="D23" s="478"/>
      <c r="E23" s="478"/>
      <c r="F23" s="478"/>
      <c r="G23" s="478"/>
      <c r="H23" s="478"/>
      <c r="I23" s="478"/>
      <c r="J23" s="478"/>
      <c r="K23" s="478"/>
      <c r="L23" s="478"/>
      <c r="M23" s="478"/>
      <c r="N23" s="478"/>
      <c r="O23" s="478"/>
      <c r="P23" s="479"/>
      <c r="Q23" s="477">
        <f t="shared" ca="1" si="17"/>
        <v>264.28648134076479</v>
      </c>
    </row>
    <row r="24" spans="1:17">
      <c r="A24" s="477" t="s">
        <v>112</v>
      </c>
      <c r="B24" s="478">
        <f t="shared" ca="1" si="2"/>
        <v>404.34325808809729</v>
      </c>
      <c r="C24" s="478">
        <f t="shared" ca="1" si="3"/>
        <v>0</v>
      </c>
      <c r="D24" s="478">
        <f t="shared" si="4"/>
        <v>616.83193572637992</v>
      </c>
      <c r="E24" s="478">
        <f t="shared" si="5"/>
        <v>14.654279086408177</v>
      </c>
      <c r="F24" s="478">
        <f t="shared" si="6"/>
        <v>2442.9736184412277</v>
      </c>
      <c r="G24" s="478">
        <f t="shared" si="7"/>
        <v>0</v>
      </c>
      <c r="H24" s="478">
        <f t="shared" si="8"/>
        <v>0</v>
      </c>
      <c r="I24" s="478">
        <f t="shared" si="9"/>
        <v>0</v>
      </c>
      <c r="J24" s="478">
        <f t="shared" si="10"/>
        <v>112.64220944753555</v>
      </c>
      <c r="K24" s="478">
        <f t="shared" si="11"/>
        <v>0</v>
      </c>
      <c r="L24" s="478">
        <f t="shared" si="12"/>
        <v>0</v>
      </c>
      <c r="M24" s="478">
        <f t="shared" si="13"/>
        <v>0</v>
      </c>
      <c r="N24" s="478">
        <f t="shared" si="14"/>
        <v>0</v>
      </c>
      <c r="O24" s="478">
        <f t="shared" si="15"/>
        <v>0</v>
      </c>
      <c r="P24" s="479">
        <f t="shared" si="16"/>
        <v>0</v>
      </c>
      <c r="Q24" s="477">
        <f t="shared" ca="1" si="17"/>
        <v>3591.4453007896486</v>
      </c>
    </row>
    <row r="25" spans="1:17">
      <c r="A25" s="477" t="s">
        <v>635</v>
      </c>
      <c r="B25" s="478">
        <f t="shared" ca="1" si="2"/>
        <v>4385.7513650194551</v>
      </c>
      <c r="C25" s="478">
        <f t="shared" ca="1" si="3"/>
        <v>1573.5630252100841</v>
      </c>
      <c r="D25" s="478">
        <f t="shared" si="4"/>
        <v>20809.241284891392</v>
      </c>
      <c r="E25" s="478">
        <f t="shared" si="5"/>
        <v>785.95870602932564</v>
      </c>
      <c r="F25" s="478">
        <f t="shared" si="6"/>
        <v>2974.4149001211217</v>
      </c>
      <c r="G25" s="478">
        <f t="shared" si="7"/>
        <v>0</v>
      </c>
      <c r="H25" s="478">
        <f t="shared" si="8"/>
        <v>0</v>
      </c>
      <c r="I25" s="478">
        <f t="shared" si="9"/>
        <v>0</v>
      </c>
      <c r="J25" s="478">
        <f t="shared" si="10"/>
        <v>3.275487131936166</v>
      </c>
      <c r="K25" s="478">
        <f t="shared" si="11"/>
        <v>0</v>
      </c>
      <c r="L25" s="478">
        <f t="shared" si="12"/>
        <v>0</v>
      </c>
      <c r="M25" s="478">
        <f t="shared" si="13"/>
        <v>0</v>
      </c>
      <c r="N25" s="478">
        <f t="shared" si="14"/>
        <v>0</v>
      </c>
      <c r="O25" s="478">
        <f t="shared" si="15"/>
        <v>0</v>
      </c>
      <c r="P25" s="479">
        <f t="shared" si="16"/>
        <v>0</v>
      </c>
      <c r="Q25" s="477">
        <f t="shared" ca="1" si="17"/>
        <v>30532.204768403317</v>
      </c>
    </row>
    <row r="26" spans="1:17" s="483" customFormat="1">
      <c r="A26" s="481" t="s">
        <v>561</v>
      </c>
      <c r="B26" s="835">
        <f t="shared" ca="1" si="2"/>
        <v>13.041037872903042</v>
      </c>
      <c r="C26" s="482"/>
      <c r="D26" s="482">
        <f t="shared" si="4"/>
        <v>49.774753162047666</v>
      </c>
      <c r="E26" s="482">
        <f t="shared" si="5"/>
        <v>79.558401631694608</v>
      </c>
      <c r="F26" s="482"/>
      <c r="G26" s="482">
        <f t="shared" si="7"/>
        <v>34109.654247283324</v>
      </c>
      <c r="H26" s="482">
        <f t="shared" si="8"/>
        <v>6997.7861449139773</v>
      </c>
      <c r="I26" s="482"/>
      <c r="J26" s="482"/>
      <c r="K26" s="482"/>
      <c r="L26" s="482"/>
      <c r="M26" s="482">
        <f t="shared" si="13"/>
        <v>0</v>
      </c>
      <c r="N26" s="482"/>
      <c r="O26" s="482"/>
      <c r="P26" s="493"/>
      <c r="Q26" s="481">
        <f t="shared" ca="1" si="17"/>
        <v>41249.814584863947</v>
      </c>
    </row>
    <row r="27" spans="1:17">
      <c r="A27" s="477" t="s">
        <v>551</v>
      </c>
      <c r="B27" s="478">
        <f t="shared" ca="1" si="2"/>
        <v>0</v>
      </c>
      <c r="C27" s="478"/>
      <c r="D27" s="482">
        <f t="shared" si="4"/>
        <v>0</v>
      </c>
      <c r="E27" s="478"/>
      <c r="F27" s="478"/>
      <c r="G27" s="478">
        <f t="shared" si="7"/>
        <v>711.63961394250555</v>
      </c>
      <c r="H27" s="478"/>
      <c r="I27" s="478"/>
      <c r="J27" s="478"/>
      <c r="K27" s="478"/>
      <c r="L27" s="478"/>
      <c r="M27" s="478">
        <f t="shared" si="13"/>
        <v>0</v>
      </c>
      <c r="N27" s="478"/>
      <c r="O27" s="478"/>
      <c r="P27" s="479"/>
      <c r="Q27" s="477">
        <f t="shared" ca="1" si="17"/>
        <v>711.63961394250555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20560.419017834618</v>
      </c>
      <c r="C31" s="488">
        <f t="shared" ca="1" si="18"/>
        <v>1649.9495798319329</v>
      </c>
      <c r="D31" s="488">
        <f t="shared" ca="1" si="18"/>
        <v>44211.779661394445</v>
      </c>
      <c r="E31" s="488">
        <f t="shared" si="18"/>
        <v>1908.2575278080876</v>
      </c>
      <c r="F31" s="488">
        <f t="shared" ca="1" si="18"/>
        <v>32283.80917971897</v>
      </c>
      <c r="G31" s="488">
        <f t="shared" si="18"/>
        <v>34821.293861225829</v>
      </c>
      <c r="H31" s="488">
        <f t="shared" si="18"/>
        <v>6997.7861449139773</v>
      </c>
      <c r="I31" s="488">
        <f t="shared" si="18"/>
        <v>0</v>
      </c>
      <c r="J31" s="488">
        <f t="shared" si="18"/>
        <v>115.95982336246597</v>
      </c>
      <c r="K31" s="488">
        <f t="shared" si="18"/>
        <v>0</v>
      </c>
      <c r="L31" s="488">
        <f t="shared" ca="1" si="18"/>
        <v>0</v>
      </c>
      <c r="M31" s="488">
        <f t="shared" si="18"/>
        <v>0</v>
      </c>
      <c r="N31" s="488">
        <f t="shared" ca="1" si="18"/>
        <v>0</v>
      </c>
      <c r="O31" s="488">
        <f t="shared" si="18"/>
        <v>0</v>
      </c>
      <c r="P31" s="489">
        <f t="shared" si="18"/>
        <v>0</v>
      </c>
      <c r="Q31" s="489">
        <f t="shared" ca="1" si="18"/>
        <v>142549.25479609033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0.18410107431973147</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0.18410107431973147</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0.18410107431973147</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2019-01-01T21:21:51Z</dcterms:modified>
</cp:coreProperties>
</file>