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E30" s="1"/>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J24" i="48" l="1"/>
  <c r="D28"/>
  <c r="D30"/>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H18"/>
  <c r="O22" i="16"/>
  <c r="P39" i="14" s="1"/>
  <c r="M10" i="48"/>
  <c r="M27" s="1"/>
  <c r="F22" i="14"/>
  <c r="C13"/>
  <c r="E12" i="13"/>
  <c r="F37" i="14" s="1"/>
  <c r="D22" i="16"/>
  <c r="E39" i="14" s="1"/>
  <c r="N4" i="48"/>
  <c r="N21" s="1"/>
  <c r="D20" i="15"/>
  <c r="E36" i="14" s="1"/>
  <c r="E41" s="1"/>
  <c r="G14" i="22"/>
  <c r="O8" i="48"/>
  <c r="O25" s="1"/>
  <c r="E7"/>
  <c r="E24" s="1"/>
  <c r="P31"/>
  <c r="N7"/>
  <c r="N24" s="1"/>
  <c r="J16" i="15"/>
  <c r="E16"/>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F10" i="14" l="1"/>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4" i="48"/>
  <c r="N22"/>
  <c r="R11" i="14"/>
  <c r="J21" i="48"/>
  <c r="C10" i="13" l="1"/>
  <c r="C12" s="1"/>
  <c r="D37" i="14" s="1"/>
  <c r="D41" s="1"/>
  <c r="C16" i="22"/>
  <c r="C10" i="17"/>
  <c r="C12" s="1"/>
  <c r="D48" i="14" s="1"/>
  <c r="C56" i="22"/>
  <c r="C58" s="1"/>
  <c r="D44" i="14" s="1"/>
  <c r="D46" s="1"/>
  <c r="C17" i="49"/>
  <c r="C29" i="20"/>
  <c r="C18" i="15"/>
  <c r="C20" s="1"/>
  <c r="D36" i="14" s="1"/>
  <c r="C17" i="19"/>
  <c r="C19" s="1"/>
  <c r="D35" i="14" s="1"/>
  <c r="C20" i="16"/>
  <c r="C22" s="1"/>
  <c r="D39" i="14" s="1"/>
  <c r="Q5" i="48"/>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M53" i="14"/>
  <c r="M55" s="1"/>
  <c r="F25" i="48"/>
  <c r="F31" s="1"/>
  <c r="F14"/>
  <c r="C16" l="1"/>
  <c r="C21" s="1"/>
  <c r="C24"/>
  <c r="G55" i="14"/>
  <c r="O69" s="1"/>
  <c r="B9" i="6" s="1"/>
  <c r="B12" s="1"/>
  <c r="B20" i="16" s="1"/>
  <c r="B22" s="1"/>
  <c r="C39" i="14" s="1"/>
  <c r="R39" s="1"/>
  <c r="F55"/>
  <c r="R13"/>
  <c r="R15" s="1"/>
  <c r="R23" s="1"/>
  <c r="Q8" i="48"/>
  <c r="Q14" s="1"/>
  <c r="D53" i="14"/>
  <c r="D55" s="1"/>
  <c r="O23"/>
  <c r="O55" s="1"/>
  <c r="C28" i="48" l="1"/>
  <c r="C25"/>
  <c r="C22"/>
  <c r="C31" s="1"/>
  <c r="B17" i="49"/>
  <c r="B19" s="1"/>
  <c r="C38" i="14" s="1"/>
  <c r="R38" s="1"/>
  <c r="B10" i="17"/>
  <c r="B12" s="1"/>
  <c r="C48" i="14" s="1"/>
  <c r="R48" s="1"/>
  <c r="B18" i="15"/>
  <c r="B20" s="1"/>
  <c r="B10" i="13"/>
  <c r="B16" i="48" s="1"/>
  <c r="B28" s="1"/>
  <c r="B29" i="20"/>
  <c r="B31" s="1"/>
  <c r="C43" i="14" s="1"/>
  <c r="R43" s="1"/>
  <c r="B17" i="19"/>
  <c r="B19" s="1"/>
  <c r="C35" i="14" s="1"/>
  <c r="R35" s="1"/>
  <c r="B56" i="22"/>
  <c r="B58" s="1"/>
  <c r="C44" i="14" s="1"/>
  <c r="R44" s="1"/>
  <c r="B10" i="9"/>
  <c r="B12" s="1"/>
  <c r="B16" i="22"/>
  <c r="B18" s="1"/>
  <c r="C45" i="14" s="1"/>
  <c r="R45" s="1"/>
  <c r="Q28" i="48" l="1"/>
  <c r="B12" i="13"/>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<sst xmlns="http://schemas.openxmlformats.org/spreadsheetml/2006/main" count="2117" uniqueCount="854">
  <si>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</si>
  <si>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</si>
  <si>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</si>
  <si>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</si>
  <si>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</si>
  <si>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</si>
  <si>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</si>
  <si>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</si>
  <si>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</si>
  <si>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</si>
  <si>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</si>
  <si>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</si>
  <si>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</si>
  <si>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</si>
  <si>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</si>
  <si>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</si>
  <si>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</si>
  <si>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</si>
  <si>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</si>
  <si>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</si>
  <si>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</si>
  <si>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</si>
  <si>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</si>
  <si>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</si>
  <si>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</si>
  <si>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</si>
  <si>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</si>
  <si>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</si>
  <si>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</si>
  <si>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</si>
  <si>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</si>
  <si>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</si>
  <si>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</si>
  <si>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</si>
  <si>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</si>
  <si>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</si>
  <si>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</si>
  <si>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</si>
  <si>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</si>
  <si>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</si>
  <si>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</si>
  <si>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</si>
  <si>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</si>
  <si>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</si>
  <si>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</si>
  <si>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</si>
  <si>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</si>
  <si>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</si>
  <si>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</si>
  <si>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</si>
  <si>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</si>
  <si>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</si>
  <si>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</si>
  <si>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</si>
  <si>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</si>
  <si>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</si>
  <si>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</si>
  <si>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</si>
  <si>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</si>
  <si>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</si>
  <si>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</si>
  <si>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</si>
  <si>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</si>
  <si>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</si>
  <si>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</si>
  <si>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</si>
  <si>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</si>
  <si>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</si>
  <si>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</si>
  <si>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</si>
  <si>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</si>
  <si>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</si>
  <si>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</si>
  <si>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</si>
  <si>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</si>
  <si>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</si>
  <si>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</si>
  <si>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</si>
  <si>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</si>
  <si>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</si>
  <si>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</si>
  <si>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</si>
  <si>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</si>
  <si>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</si>
  <si>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</si>
  <si>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</si>
  <si>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</si>
  <si>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</si>
  <si>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</si>
  <si>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</si>
  <si>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</si>
  <si>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</si>
  <si>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</si>
  <si>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</si>
  <si>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</si>
  <si>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</si>
  <si>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</si>
  <si>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</si>
  <si>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</si>
  <si>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</si>
  <si>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</si>
  <si>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</si>
  <si>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</si>
  <si>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</si>
  <si>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</si>
  <si>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</si>
  <si>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</si>
  <si>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</si>
  <si>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</si>
  <si>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</si>
  <si>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</si>
  <si>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</si>
  <si>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</si>
  <si>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</si>
  <si>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</si>
  <si>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</si>
  <si>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</si>
  <si>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</si>
  <si>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</si>
  <si>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</si>
  <si>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</si>
  <si>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</si>
  <si>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</si>
  <si>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</si>
  <si>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</si>
  <si>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</si>
  <si>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</si>
  <si>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</si>
  <si>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</si>
  <si>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</si>
  <si>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</si>
  <si>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</si>
  <si>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</si>
  <si>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</si>
  <si>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</si>
  <si>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</si>
  <si>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</si>
  <si>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</si>
  <si>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</si>
  <si>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</si>
  <si>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</si>
  <si>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</si>
  <si>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</si>
  <si>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</si>
  <si>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</si>
  <si>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</si>
  <si>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</si>
  <si>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</si>
  <si>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</si>
  <si>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</si>
  <si>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</si>
  <si>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</si>
  <si>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</si>
  <si>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</si>
  <si>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</si>
  <si>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</si>
  <si>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</si>
  <si>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</si>
  <si>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</si>
  <si>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</si>
  <si>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</si>
  <si>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</si>
  <si>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</si>
  <si>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</si>
  <si>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</si>
  <si>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</si>
  <si>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</si>
  <si>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</si>
  <si>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</si>
  <si>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</si>
  <si>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</si>
  <si>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</si>
  <si>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</si>
  <si>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</si>
  <si>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</si>
  <si>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</si>
  <si>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</si>
  <si>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</si>
  <si>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</si>
  <si>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</si>
  <si>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</si>
  <si>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</si>
  <si>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</si>
  <si>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</si>
  <si>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</si>
  <si>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</si>
  <si>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</si>
  <si>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</si>
  <si>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</si>
  <si>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</si>
  <si>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</si>
  <si>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</si>
  <si>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</si>
  <si>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</si>
  <si>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</si>
  <si>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</si>
  <si>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</si>
  <si>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</si>
  <si>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</si>
  <si>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</si>
  <si>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</si>
  <si>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</si>
  <si>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</si>
  <si>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</si>
  <si>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</si>
  <si>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</si>
  <si>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</si>
  <si>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</si>
  <si>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</si>
  <si>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</si>
  <si>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</si>
  <si>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</si>
  <si>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</si>
  <si>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</si>
  <si>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</si>
  <si>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</si>
  <si>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</si>
  <si>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</si>
  <si>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</si>
  <si>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</si>
  <si>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</si>
  <si>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</si>
  <si>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</si>
  <si>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</si>
  <si>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</si>
  <si>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</si>
  <si>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</si>
  <si>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</si>
  <si>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</si>
  <si>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</si>
  <si>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</si>
  <si>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</si>
  <si>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</si>
  <si>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</si>
  <si>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</si>
  <si>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</si>
  <si>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</si>
  <si>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</si>
  <si>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</si>
  <si>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</si>
  <si>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</si>
  <si>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</si>
  <si>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</si>
  <si>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</si>
  <si>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</si>
  <si>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</si>
  <si>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</si>
  <si>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</si>
  <si>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</si>
  <si>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</si>
  <si>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</si>
  <si>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</si>
  <si>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</si>
  <si>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</si>
  <si>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</si>
  <si>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</si>
  <si>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</si>
  <si>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</si>
  <si>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</si>
  <si>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</si>
  <si>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</si>
  <si>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</si>
  <si>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</si>
  <si>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</si>
  <si>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</si>
  <si>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</si>
  <si>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</si>
  <si>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</si>
  <si>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</si>
  <si>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</si>
  <si>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</si>
  <si>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</si>
  <si>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</si>
  <si>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</si>
  <si>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</si>
  <si>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</si>
  <si>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</si>
  <si>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</si>
  <si>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</si>
  <si>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</si>
  <si>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</si>
  <si>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</si>
  <si>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</si>
  <si>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</si>
  <si>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</si>
  <si>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</si>
  <si>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</si>
  <si>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</si>
  <si>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</si>
  <si>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</si>
  <si>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</si>
  <si>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</si>
  <si>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</si>
  <si>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</si>
  <si>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</si>
  <si>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</si>
  <si>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</si>
  <si>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</si>
  <si>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</si>
  <si>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</si>
  <si>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</si>
  <si>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</si>
  <si>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</si>
  <si>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</si>
  <si>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</si>
  <si>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</si>
  <si>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</si>
  <si>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</si>
  <si>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</si>
  <si>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</si>
  <si>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</si>
  <si>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</si>
  <si>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</si>
  <si>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</si>
  <si>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</si>
  <si>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</si>
  <si>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</si>
  <si>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</si>
  <si>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</si>
  <si>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</si>
  <si>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</si>
  <si>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</si>
  <si>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</si>
  <si>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</si>
  <si>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</si>
  <si>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</si>
  <si>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</si>
  <si>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</si>
  <si>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</si>
  <si>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</si>
  <si>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</si>
  <si>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</si>
  <si>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</si>
  <si>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</si>
  <si>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</si>
  <si>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</si>
  <si>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</si>
  <si>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</si>
  <si>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</si>
  <si>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</si>
  <si>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</si>
  <si>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</si>
  <si>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</si>
  <si>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</si>
  <si>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</si>
  <si>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</si>
  <si>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</si>
  <si>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</si>
  <si>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</si>
  <si>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</si>
  <si>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</si>
  <si>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</si>
  <si>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</si>
  <si>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</si>
  <si>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</si>
  <si>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</si>
  <si>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</si>
  <si>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</si>
  <si>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</si>
  <si>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</si>
  <si>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</si>
  <si>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</si>
  <si>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</si>
  <si>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</si>
  <si>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</si>
  <si>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</si>
  <si>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</si>
  <si>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</si>
  <si>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</si>
  <si>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</si>
  <si>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</si>
  <si>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</si>
  <si>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</si>
  <si>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</si>
  <si>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</si>
  <si>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</si>
  <si>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</si>
  <si>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</si>
  <si>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</si>
  <si>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</si>
  <si>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</si>
  <si>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</si>
  <si>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</si>
  <si>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</si>
  <si>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</si>
  <si>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</si>
  <si>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</si>
  <si>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</si>
  <si>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</si>
  <si>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</si>
  <si>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</si>
  <si>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</si>
  <si>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</si>
  <si>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</si>
  <si>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</si>
  <si>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</si>
  <si>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</si>
  <si>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</si>
  <si>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</si>
  <si>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</si>
  <si>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</si>
  <si>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</si>
  <si>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</si>
  <si>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</si>
  <si>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</si>
  <si>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</si>
  <si>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</si>
  <si>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</si>
  <si>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</si>
  <si>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</si>
  <si>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</si>
  <si>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</si>
  <si>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</si>
  <si>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</si>
  <si>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</si>
  <si>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</si>
  <si>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</si>
  <si>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</si>
  <si>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</si>
  <si>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</si>
  <si>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</si>
  <si>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</si>
  <si>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</si>
  <si>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</si>
  <si>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</si>
  <si>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</si>
  <si>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</si>
  <si>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</si>
  <si>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</si>
  <si>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</si>
  <si>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</si>
  <si>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</si>
  <si>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</si>
  <si>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</si>
  <si>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</si>
  <si>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</si>
  <si>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</si>
  <si>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</si>
  <si>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</si>
  <si>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</si>
  <si>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</si>
  <si>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</si>
  <si>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</si>
  <si>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</si>
  <si>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</si>
  <si>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</si>
  <si>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</si>
  <si>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</si>
  <si>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</si>
  <si>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</si>
  <si>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</si>
  <si>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</si>
  <si>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</si>
  <si>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</si>
  <si>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</si>
  <si>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</si>
  <si>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</si>
  <si>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</si>
  <si>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</si>
  <si>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</si>
  <si>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</si>
  <si>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</si>
  <si>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</si>
  <si>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</si>
  <si>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</si>
  <si>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</si>
  <si>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</si>
  <si>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</si>
  <si>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</si>
  <si>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</si>
  <si>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</si>
  <si>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</si>
  <si>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</si>
  <si>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</si>
  <si>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</si>
  <si>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</si>
  <si>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</si>
  <si>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</si>
  <si>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</si>
  <si>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</si>
  <si>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</si>
  <si>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</si>
  <si>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</si>
  <si>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</si>
  <si>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</si>
  <si>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</si>
  <si>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</si>
  <si>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</si>
  <si>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</si>
  <si>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</si>
  <si>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</si>
  <si>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</si>
  <si>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</si>
  <si>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</si>
  <si>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</si>
  <si>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</si>
  <si>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</si>
  <si>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</si>
  <si>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</si>
  <si>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</si>
  <si>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</si>
  <si>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</si>
  <si>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</si>
  <si>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</si>
  <si>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</si>
  <si>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</si>
  <si>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</si>
  <si>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</si>
  <si>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</si>
  <si>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</si>
  <si>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</si>
  <si>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</si>
  <si>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</si>
  <si>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</si>
  <si>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</si>
  <si>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</si>
  <si>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</si>
  <si>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</si>
  <si>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</si>
  <si>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</si>
  <si>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</si>
  <si>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</si>
  <si>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</si>
  <si>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</si>
  <si>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</si>
  <si>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</si>
  <si>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</si>
  <si>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</si>
  <si>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</si>
  <si>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</si>
  <si>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</si>
  <si>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</si>
  <si>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</si>
  <si>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</si>
  <si>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</si>
  <si>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</si>
  <si>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</si>
  <si>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</si>
  <si>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</si>
  <si>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</si>
  <si>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</si>
  <si>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</si>
  <si>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</si>
  <si>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</si>
  <si>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</si>
  <si>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</si>
  <si>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</si>
  <si>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</si>
  <si>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</si>
  <si>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</si>
  <si>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</si>
  <si>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</si>
  <si>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</si>
  <si>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</si>
  <si>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</si>
  <si>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</si>
  <si>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</si>
  <si>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</si>
  <si>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</si>
  <si>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</si>
  <si>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</si>
  <si>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</si>
  <si>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</si>
  <si>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</si>
  <si>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</si>
  <si>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</si>
  <si>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</si>
  <si>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</si>
  <si>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</si>
  <si>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</si>
  <si>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</si>
  <si>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</si>
  <si>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</si>
  <si>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</si>
  <si>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</si>
  <si>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</si>
  <si>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</si>
  <si>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</si>
  <si>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</si>
  <si>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</si>
  <si>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</si>
  <si>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</si>
  <si>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</si>
  <si>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</si>
  <si>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</si>
  <si>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</si>
  <si>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</si>
  <si>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</si>
  <si>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</si>
  <si>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</si>
  <si>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</si>
  <si>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</si>
  <si>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</si>
  <si>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</si>
  <si>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</si>
  <si>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</si>
  <si>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</si>
  <si>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</si>
  <si>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</si>
  <si>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</si>
  <si>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</si>
  <si>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</si>
  <si>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</si>
  <si>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</si>
  <si>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</si>
  <si>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</si>
  <si>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</si>
  <si>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</si>
  <si>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</si>
  <si>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</si>
  <si>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</si>
  <si>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</si>
  <si>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</si>
  <si>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</si>
  <si>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</si>
  <si>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</si>
  <si>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</si>
  <si>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</si>
  <si>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</si>
  <si>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</si>
  <si>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</si>
  <si>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</si>
  <si>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</si>
  <si>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</si>
  <si>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</si>
  <si>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</si>
  <si>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</si>
  <si>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</si>
  <si>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</si>
  <si>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</si>
  <si>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</si>
  <si>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</si>
  <si>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</si>
  <si>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</si>
  <si>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</si>
  <si>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</si>
  <si>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</si>
  <si>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</si>
  <si>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</si>
  <si>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</si>
  <si>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</si>
  <si>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</si>
  <si>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</si>
  <si>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</si>
  <si>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</si>
  <si>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</si>
  <si>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</si>
  <si>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</si>
  <si>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</si>
  <si>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</si>
  <si>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</si>
  <si>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</si>
  <si>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</si>
  <si>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</si>
  <si>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</si>
  <si>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</si>
  <si>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</si>
  <si>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</si>
  <si>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</si>
  <si>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</si>
  <si>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</si>
  <si>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</si>
  <si>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</si>
  <si>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</si>
  <si>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</si>
  <si>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</si>
  <si>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</si>
  <si>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</si>
  <si>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</si>
  <si>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</si>
  <si>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</si>
  <si>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</si>
  <si>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</si>
  <si>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</si>
  <si>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</si>
  <si>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</si>
  <si>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</si>
  <si>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</si>
  <si>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</si>
  <si>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</si>
  <si>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</si>
  <si>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</si>
  <si>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</si>
  <si>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</si>
  <si>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</si>
  <si>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</si>
  <si>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</si>
  <si>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</si>
  <si>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</si>
  <si>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</si>
  <si>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</si>
  <si>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</si>
  <si>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</si>
  <si>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</si>
  <si>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</si>
  <si>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</si>
  <si>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</si>
  <si>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</si>
  <si>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</si>
  <si>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</si>
  <si>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</si>
  <si>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</si>
  <si>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</si>
  <si>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</si>
  <si>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</si>
  <si>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</si>
  <si>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</si>
  <si>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</si>
  <si>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</si>
  <si>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</si>
  <si>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</si>
  <si>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</si>
  <si>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</si>
  <si>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</si>
  <si>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</si>
  <si>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</si>
  <si>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</si>
  <si>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</si>
  <si>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</si>
  <si>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</si>
  <si>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</si>
  <si>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</si>
  <si>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</si>
  <si>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</si>
  <si>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</si>
  <si>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</si>
  <si>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</si>
  <si>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</si>
  <si>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</si>
  <si>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</si>
  <si>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</si>
  <si>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</si>
  <si>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</si>
  <si>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</si>
  <si>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</si>
  <si>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</si>
  <si>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</si>
  <si>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</si>
  <si>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</si>
  <si>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</si>
  <si>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</si>
  <si>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</si>
  <si>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</si>
  <si>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</si>
  <si>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</si>
  <si>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</si>
  <si>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</si>
  <si>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</si>
  <si>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</si>
  <si>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</si>
  <si>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</si>
  <si>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</si>
  <si>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</si>
  <si>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</si>
  <si>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</si>
  <si>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</si>
  <si>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</si>
  <si>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</si>
  <si>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</si>
  <si>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</si>
  <si>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</si>
  <si>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</si>
  <si>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</si>
  <si>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</si>
  <si>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</si>
  <si>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</si>
  <si>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</si>
  <si>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</si>
  <si>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</si>
  <si>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</si>
  <si>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</si>
  <si>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</si>
  <si>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</si>
  <si>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</si>
  <si>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</si>
  <si>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</si>
  <si>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</si>
  <si>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</si>
  <si>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</si>
  <si>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</si>
  <si>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</si>
  <si>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</si>
  <si>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</si>
  <si>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</si>
  <si>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</si>
  <si>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</si>
  <si>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</si>
  <si>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</si>
  <si>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</si>
  <si>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</si>
  <si>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</si>
  <si>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</si>
  <si>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</si>
  <si>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</si>
  <si>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</si>
  <si>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</si>
  <si>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</si>
  <si>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</si>
  <si>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</si>
  <si>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</si>
  <si>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</si>
  <si>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</si>
  <si>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</si>
  <si>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</si>
  <si>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</si>
  <si>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</si>
  <si>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</si>
  <si>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</si>
  <si>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</si>
  <si>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</si>
  <si>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</si>
  <si>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</si>
  <si>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</si>
  <si>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</si>
  <si>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</si>
  <si>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</si>
  <si>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</si>
  <si>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</si>
  <si>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</si>
  <si>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</si>
  <si>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</si>
  <si>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</si>
  <si>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</si>
  <si>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</si>
  <si>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</si>
  <si>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</si>
  <si>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</si>
  <si>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</si>
  <si>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</si>
  <si>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</si>
  <si>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</si>
  <si>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</si>
  <si>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</si>
  <si>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</si>
  <si>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</si>
  <si>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</si>
  <si>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73001</t>
  </si>
  <si>
    <t>ALKEN</t>
  </si>
  <si>
    <t>Eandis (januari 2018); Infrax (juni 2018)</t>
  </si>
  <si>
    <t>MOW (september 2017)</t>
  </si>
  <si>
    <t>referentietaak LNE (2017); Jaarverslag De Lijn (2016)</t>
  </si>
  <si>
    <t>VEA (april 2018)</t>
  </si>
  <si>
    <t>VEA (januari 2017)</t>
  </si>
  <si>
    <t>VEA (juni 2018)</t>
  </si>
  <si>
    <t>Brouwerijen Alken-Maes nv</t>
  </si>
  <si>
    <t>Blarenberglaan 10 , 2800 Mechelen</t>
  </si>
  <si>
    <t xml:space="preserve">WKK-0258 Brouwerijen Alken-Maes </t>
  </si>
  <si>
    <t>interne verbrandingsmotor</t>
  </si>
  <si>
    <t>WKK interne verbrandinsgmotor (gas)</t>
  </si>
  <si>
    <t>Meerdegatstraat 151 , 3570 Alken</t>
  </si>
  <si>
    <t>Inter-Energa</t>
  </si>
  <si>
    <t>LIN.799 bvba</t>
  </si>
  <si>
    <t>Stationsstraat 76 , 3570 Alken</t>
  </si>
  <si>
    <t>WKK-0462 LIN 799</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</si>
</sst>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109606.1964051633</c:v>
                </c:pt>
                <c:pt idx="1">
                  <c:v>22797.363076903879</c:v>
                </c:pt>
                <c:pt idx="2">
                  <c:v>604.79899999999998</c:v>
                </c:pt>
                <c:pt idx="3">
                  <c:v>10197.31876234011</c:v>
                </c:pt>
                <c:pt idx="4">
                  <c:v>124224.84611952788</c:v>
                </c:pt>
                <c:pt idx="5">
                  <c:v>71187.196317194466</c:v>
                </c:pt>
                <c:pt idx="6">
                  <c:v>753.02596019314637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38720"/>
        <c:axId val="183469184"/>
      </c:barChart>
      <c:catAx>
        <c:axId val="183438720"/>
        <c:scaling>
          <c:orientation val="minMax"/>
        </c:scaling>
        <c:axPos val="b"/>
        <c:numFmt formatCode="General" sourceLinked="0"/>
        <c:tickLblPos val="nextTo"/>
        <c:crossAx val="183469184"/>
        <c:crosses val="autoZero"/>
        <c:auto val="1"/>
        <c:lblAlgn val="ctr"/>
        <c:lblOffset val="100"/>
      </c:catAx>
      <c:valAx>
        <c:axId val="183469184"/>
        <c:scaling>
          <c:orientation val="minMax"/>
        </c:scaling>
        <c:axPos val="l"/>
        <c:majorGridlines>
          <c:spPr>
            <a:ln>
              <a:noFill/>
            </a:ln>
          </c:spPr>
        </c:majorGridlines>
        <c:numFmt formatCode="#,##0" sourceLinked="1"/>
        <c:tickLblPos val="nextTo"/>
        <c:crossAx val="18343872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109606.1964051633</c:v>
                </c:pt>
                <c:pt idx="1">
                  <c:v>22797.363076903879</c:v>
                </c:pt>
                <c:pt idx="2">
                  <c:v>604.79899999999998</c:v>
                </c:pt>
                <c:pt idx="3">
                  <c:v>10197.31876234011</c:v>
                </c:pt>
                <c:pt idx="4">
                  <c:v>124224.84611952788</c:v>
                </c:pt>
                <c:pt idx="5">
                  <c:v>71187.196317194466</c:v>
                </c:pt>
                <c:pt idx="6">
                  <c:v>753.02596019314637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23476.499312002372</c:v>
                </c:pt>
                <c:pt idx="1">
                  <c:v>4347.3677310925314</c:v>
                </c:pt>
                <c:pt idx="2">
                  <c:v>118.83624247892553</c:v>
                </c:pt>
                <c:pt idx="3">
                  <c:v>2569.1650948946035</c:v>
                </c:pt>
                <c:pt idx="4">
                  <c:v>24887.223291147391</c:v>
                </c:pt>
                <c:pt idx="5">
                  <c:v>17812.79897777439</c:v>
                </c:pt>
                <c:pt idx="6">
                  <c:v>190.25243305778594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35200"/>
        <c:axId val="184036736"/>
      </c:barChart>
      <c:catAx>
        <c:axId val="184035200"/>
        <c:scaling>
          <c:orientation val="minMax"/>
        </c:scaling>
        <c:axPos val="b"/>
        <c:numFmt formatCode="General" sourceLinked="0"/>
        <c:tickLblPos val="nextTo"/>
        <c:crossAx val="184036736"/>
        <c:crosses val="autoZero"/>
        <c:auto val="1"/>
        <c:lblAlgn val="ctr"/>
        <c:lblOffset val="100"/>
      </c:catAx>
      <c:valAx>
        <c:axId val="184036736"/>
        <c:scaling>
          <c:orientation val="minMax"/>
        </c:scaling>
        <c:axPos val="l"/>
        <c:majorGridlines>
          <c:spPr>
            <a:ln>
              <a:noFill/>
            </a:ln>
          </c:spPr>
        </c:majorGridlines>
        <c:numFmt formatCode="#,##0" sourceLinked="1"/>
        <c:tickLblPos val="nextTo"/>
        <c:crossAx val="1840352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23476.499312002372</c:v>
                </c:pt>
                <c:pt idx="1">
                  <c:v>4347.3677310925314</c:v>
                </c:pt>
                <c:pt idx="2">
                  <c:v>118.83624247892553</c:v>
                </c:pt>
                <c:pt idx="3">
                  <c:v>2569.1650948946035</c:v>
                </c:pt>
                <c:pt idx="4">
                  <c:v>24887.223291147391</c:v>
                </c:pt>
                <c:pt idx="5">
                  <c:v>17812.79897777439</c:v>
                </c:pt>
                <c:pt idx="6">
                  <c:v>190.25243305778594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73001</v>
      </c>
      <c r="B6" s="415"/>
      <c r="C6" s="416"/>
    </row>
    <row r="7" spans="1:7" s="413" customFormat="1" ht="15.75" customHeight="1">
      <c r="A7" s="417" t="str">
        <f>txtMunicipality</f>
        <v>ALKEN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4591</v>
      </c>
      <c r="C9" s="342">
        <v>4753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1420.74</v>
      </c>
    </row>
    <row r="15" spans="1:6">
      <c r="A15" s="348" t="s">
        <v>184</v>
      </c>
      <c r="B15" s="334">
        <v>16</v>
      </c>
    </row>
    <row r="16" spans="1:6">
      <c r="A16" s="348" t="s">
        <v>6</v>
      </c>
      <c r="B16" s="334">
        <v>467</v>
      </c>
    </row>
    <row r="17" spans="1:6">
      <c r="A17" s="348" t="s">
        <v>7</v>
      </c>
      <c r="B17" s="334">
        <v>382</v>
      </c>
    </row>
    <row r="18" spans="1:6">
      <c r="A18" s="348" t="s">
        <v>8</v>
      </c>
      <c r="B18" s="334">
        <v>585</v>
      </c>
    </row>
    <row r="19" spans="1:6">
      <c r="A19" s="348" t="s">
        <v>9</v>
      </c>
      <c r="B19" s="334">
        <v>527</v>
      </c>
    </row>
    <row r="20" spans="1:6">
      <c r="A20" s="348" t="s">
        <v>10</v>
      </c>
      <c r="B20" s="334">
        <v>404</v>
      </c>
    </row>
    <row r="21" spans="1:6">
      <c r="A21" s="348" t="s">
        <v>11</v>
      </c>
      <c r="B21" s="334">
        <v>290</v>
      </c>
    </row>
    <row r="22" spans="1:6">
      <c r="A22" s="348" t="s">
        <v>12</v>
      </c>
      <c r="B22" s="334">
        <v>1909</v>
      </c>
    </row>
    <row r="23" spans="1:6">
      <c r="A23" s="348" t="s">
        <v>13</v>
      </c>
      <c r="B23" s="334">
        <v>33</v>
      </c>
    </row>
    <row r="24" spans="1:6">
      <c r="A24" s="348" t="s">
        <v>14</v>
      </c>
      <c r="B24" s="334">
        <v>0</v>
      </c>
    </row>
    <row r="25" spans="1:6">
      <c r="A25" s="348" t="s">
        <v>15</v>
      </c>
      <c r="B25" s="334">
        <v>107</v>
      </c>
    </row>
    <row r="26" spans="1:6">
      <c r="A26" s="348" t="s">
        <v>16</v>
      </c>
      <c r="B26" s="334">
        <v>100</v>
      </c>
    </row>
    <row r="27" spans="1:6">
      <c r="A27" s="348" t="s">
        <v>17</v>
      </c>
      <c r="B27" s="334">
        <v>156</v>
      </c>
    </row>
    <row r="28" spans="1:6" s="356" customFormat="1">
      <c r="A28" s="355" t="s">
        <v>18</v>
      </c>
      <c r="B28" s="355">
        <v>53788</v>
      </c>
    </row>
    <row r="29" spans="1:6">
      <c r="A29" s="355" t="s">
        <v>744</v>
      </c>
      <c r="B29" s="355">
        <v>109</v>
      </c>
      <c r="C29" s="356"/>
      <c r="D29" s="356"/>
      <c r="E29" s="356"/>
      <c r="F29" s="356"/>
    </row>
    <row r="30" spans="1:6">
      <c r="A30" s="341" t="s">
        <v>745</v>
      </c>
      <c r="B30" s="341">
        <v>23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2869</v>
      </c>
    </row>
    <row r="39" spans="1:6">
      <c r="A39" s="348" t="s">
        <v>30</v>
      </c>
      <c r="B39" s="348" t="s">
        <v>31</v>
      </c>
      <c r="C39" s="334">
        <v>1889</v>
      </c>
      <c r="D39" s="334">
        <v>31160165.949999999</v>
      </c>
      <c r="E39" s="334">
        <v>4386</v>
      </c>
      <c r="F39" s="334">
        <v>16195252.25</v>
      </c>
    </row>
    <row r="40" spans="1:6">
      <c r="A40" s="348" t="s">
        <v>30</v>
      </c>
      <c r="B40" s="348" t="s">
        <v>29</v>
      </c>
      <c r="C40" s="334">
        <v>0</v>
      </c>
      <c r="D40" s="334">
        <v>0</v>
      </c>
      <c r="E40" s="334">
        <v>0</v>
      </c>
      <c r="F40" s="334">
        <v>0</v>
      </c>
    </row>
    <row r="41" spans="1:6">
      <c r="A41" s="348" t="s">
        <v>32</v>
      </c>
      <c r="B41" s="348" t="s">
        <v>33</v>
      </c>
      <c r="C41" s="334">
        <v>41</v>
      </c>
      <c r="D41" s="334">
        <v>18381317.429000001</v>
      </c>
      <c r="E41" s="334">
        <v>112</v>
      </c>
      <c r="F41" s="334">
        <v>28445133.013999999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257408</v>
      </c>
      <c r="E44" s="334">
        <v>10</v>
      </c>
      <c r="F44" s="334">
        <v>272124.179</v>
      </c>
    </row>
    <row r="45" spans="1:6">
      <c r="A45" s="348" t="s">
        <v>32</v>
      </c>
      <c r="B45" s="348" t="s">
        <v>37</v>
      </c>
      <c r="C45" s="334">
        <v>0</v>
      </c>
      <c r="D45" s="334">
        <v>0</v>
      </c>
      <c r="E45" s="334">
        <v>5</v>
      </c>
      <c r="F45" s="334">
        <v>289903.71500000003</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233946</v>
      </c>
      <c r="E48" s="334">
        <v>1</v>
      </c>
      <c r="F48" s="334">
        <v>5</v>
      </c>
    </row>
    <row r="49" spans="1:6">
      <c r="A49" s="348" t="s">
        <v>32</v>
      </c>
      <c r="B49" s="348" t="s">
        <v>40</v>
      </c>
      <c r="C49" s="334">
        <v>3</v>
      </c>
      <c r="D49" s="334">
        <v>96270</v>
      </c>
      <c r="E49" s="334">
        <v>4</v>
      </c>
      <c r="F49" s="334">
        <v>92489</v>
      </c>
    </row>
    <row r="50" spans="1:6">
      <c r="A50" s="348" t="s">
        <v>32</v>
      </c>
      <c r="B50" s="348" t="s">
        <v>41</v>
      </c>
      <c r="C50" s="334">
        <v>3</v>
      </c>
      <c r="D50" s="334">
        <v>28057666.629000001</v>
      </c>
      <c r="E50" s="334">
        <v>10</v>
      </c>
      <c r="F50" s="334">
        <v>10927142</v>
      </c>
    </row>
    <row r="51" spans="1:6">
      <c r="A51" s="348" t="s">
        <v>42</v>
      </c>
      <c r="B51" s="348" t="s">
        <v>43</v>
      </c>
      <c r="C51" s="334">
        <v>6</v>
      </c>
      <c r="D51" s="334">
        <v>209102</v>
      </c>
      <c r="E51" s="334">
        <v>74</v>
      </c>
      <c r="F51" s="334">
        <v>1768231.61</v>
      </c>
    </row>
    <row r="52" spans="1:6">
      <c r="A52" s="348" t="s">
        <v>42</v>
      </c>
      <c r="B52" s="348" t="s">
        <v>29</v>
      </c>
      <c r="C52" s="334">
        <v>0</v>
      </c>
      <c r="D52" s="334">
        <v>0</v>
      </c>
      <c r="E52" s="334">
        <v>0</v>
      </c>
      <c r="F52" s="334">
        <v>0</v>
      </c>
    </row>
    <row r="53" spans="1:6">
      <c r="A53" s="348" t="s">
        <v>44</v>
      </c>
      <c r="B53" s="348" t="s">
        <v>45</v>
      </c>
      <c r="C53" s="334">
        <v>32</v>
      </c>
      <c r="D53" s="334">
        <v>627458.19999999995</v>
      </c>
      <c r="E53" s="334">
        <v>86</v>
      </c>
      <c r="F53" s="334">
        <v>342095.1</v>
      </c>
    </row>
    <row r="54" spans="1:6">
      <c r="A54" s="348" t="s">
        <v>46</v>
      </c>
      <c r="B54" s="348" t="s">
        <v>47</v>
      </c>
      <c r="C54" s="334">
        <v>0</v>
      </c>
      <c r="D54" s="334">
        <v>0</v>
      </c>
      <c r="E54" s="334">
        <v>3</v>
      </c>
      <c r="F54" s="334">
        <v>604799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1967080</v>
      </c>
      <c r="E57" s="334">
        <v>78</v>
      </c>
      <c r="F57" s="334">
        <v>1745963.196</v>
      </c>
    </row>
    <row r="58" spans="1:6">
      <c r="A58" s="348" t="s">
        <v>49</v>
      </c>
      <c r="B58" s="348" t="s">
        <v>51</v>
      </c>
      <c r="C58" s="334">
        <v>23</v>
      </c>
      <c r="D58" s="334">
        <v>1558703</v>
      </c>
      <c r="E58" s="334">
        <v>42</v>
      </c>
      <c r="F58" s="334">
        <v>724436.93099999998</v>
      </c>
    </row>
    <row r="59" spans="1:6">
      <c r="A59" s="348" t="s">
        <v>49</v>
      </c>
      <c r="B59" s="348" t="s">
        <v>52</v>
      </c>
      <c r="C59" s="334">
        <v>55</v>
      </c>
      <c r="D59" s="334">
        <v>2408610.358</v>
      </c>
      <c r="E59" s="334">
        <v>150</v>
      </c>
      <c r="F59" s="334">
        <v>3344600.2769999998</v>
      </c>
    </row>
    <row r="60" spans="1:6">
      <c r="A60" s="348" t="s">
        <v>49</v>
      </c>
      <c r="B60" s="348" t="s">
        <v>53</v>
      </c>
      <c r="C60" s="334">
        <v>25</v>
      </c>
      <c r="D60" s="334">
        <v>1179858</v>
      </c>
      <c r="E60" s="334">
        <v>46</v>
      </c>
      <c r="F60" s="334">
        <v>1114554</v>
      </c>
    </row>
    <row r="61" spans="1:6">
      <c r="A61" s="348" t="s">
        <v>49</v>
      </c>
      <c r="B61" s="348" t="s">
        <v>54</v>
      </c>
      <c r="C61" s="334">
        <v>94</v>
      </c>
      <c r="D61" s="334">
        <v>3057439.8</v>
      </c>
      <c r="E61" s="334">
        <v>183</v>
      </c>
      <c r="F61" s="334">
        <v>2661928.2749999999</v>
      </c>
    </row>
    <row r="62" spans="1:6">
      <c r="A62" s="348" t="s">
        <v>49</v>
      </c>
      <c r="B62" s="348" t="s">
        <v>55</v>
      </c>
      <c r="C62" s="334">
        <v>4</v>
      </c>
      <c r="D62" s="334">
        <v>514324</v>
      </c>
      <c r="E62" s="334">
        <v>8</v>
      </c>
      <c r="F62" s="334">
        <v>127587.527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47350.447</v>
      </c>
    </row>
    <row r="66" spans="1:6">
      <c r="A66" s="348" t="s">
        <v>56</v>
      </c>
      <c r="B66" s="348" t="s">
        <v>58</v>
      </c>
      <c r="C66" s="334">
        <v>0</v>
      </c>
      <c r="D66" s="334">
        <v>0</v>
      </c>
      <c r="E66" s="334">
        <v>4</v>
      </c>
      <c r="F66" s="334">
        <v>171476</v>
      </c>
    </row>
    <row r="67" spans="1:6">
      <c r="A67" s="355" t="s">
        <v>56</v>
      </c>
      <c r="B67" s="355" t="s">
        <v>59</v>
      </c>
      <c r="C67" s="334">
        <v>0</v>
      </c>
      <c r="D67" s="334">
        <v>0</v>
      </c>
      <c r="E67" s="334">
        <v>0</v>
      </c>
      <c r="F67" s="334">
        <v>0</v>
      </c>
    </row>
    <row r="68" spans="1:6">
      <c r="A68" s="341" t="s">
        <v>56</v>
      </c>
      <c r="B68" s="341" t="s">
        <v>60</v>
      </c>
      <c r="C68" s="334">
        <v>3</v>
      </c>
      <c r="D68" s="334">
        <v>119174</v>
      </c>
      <c r="E68" s="334">
        <v>6</v>
      </c>
      <c r="F68" s="334">
        <v>49014</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68536338</v>
      </c>
      <c r="E73" s="476">
        <v>92469716.034849524</v>
      </c>
    </row>
    <row r="74" spans="1:6">
      <c r="A74" s="348" t="s">
        <v>64</v>
      </c>
      <c r="B74" s="348" t="s">
        <v>657</v>
      </c>
      <c r="C74" s="1272" t="s">
        <v>659</v>
      </c>
      <c r="D74" s="476">
        <v>6374454.3872283716</v>
      </c>
      <c r="E74" s="476">
        <v>6651970.5487097465</v>
      </c>
    </row>
    <row r="75" spans="1:6">
      <c r="A75" s="348" t="s">
        <v>65</v>
      </c>
      <c r="B75" s="348" t="s">
        <v>656</v>
      </c>
      <c r="C75" s="1272" t="s">
        <v>660</v>
      </c>
      <c r="D75" s="476">
        <v>14041822</v>
      </c>
      <c r="E75" s="476">
        <v>18756057.640463252</v>
      </c>
    </row>
    <row r="76" spans="1:6">
      <c r="A76" s="348" t="s">
        <v>65</v>
      </c>
      <c r="B76" s="348" t="s">
        <v>657</v>
      </c>
      <c r="C76" s="1272" t="s">
        <v>661</v>
      </c>
      <c r="D76" s="476">
        <v>209818.38722837192</v>
      </c>
      <c r="E76" s="476">
        <v>228577.84820703504</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204233.22554325618</v>
      </c>
      <c r="C83" s="476">
        <v>208838.46536149108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4050.2355191203087</v>
      </c>
    </row>
    <row r="92" spans="1:6">
      <c r="A92" s="341" t="s">
        <v>69</v>
      </c>
      <c r="B92" s="342">
        <v>2986.473206274452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534</v>
      </c>
    </row>
    <row r="98" spans="1:6">
      <c r="A98" s="348" t="s">
        <v>72</v>
      </c>
      <c r="B98" s="334">
        <v>0</v>
      </c>
    </row>
    <row r="99" spans="1:6">
      <c r="A99" s="348" t="s">
        <v>73</v>
      </c>
      <c r="B99" s="334">
        <v>23</v>
      </c>
    </row>
    <row r="100" spans="1:6">
      <c r="A100" s="348" t="s">
        <v>74</v>
      </c>
      <c r="B100" s="334">
        <v>174</v>
      </c>
    </row>
    <row r="101" spans="1:6">
      <c r="A101" s="348" t="s">
        <v>75</v>
      </c>
      <c r="B101" s="334">
        <v>37</v>
      </c>
    </row>
    <row r="102" spans="1:6">
      <c r="A102" s="348" t="s">
        <v>76</v>
      </c>
      <c r="B102" s="334">
        <v>41</v>
      </c>
    </row>
    <row r="103" spans="1:6">
      <c r="A103" s="348" t="s">
        <v>77</v>
      </c>
      <c r="B103" s="334">
        <v>77</v>
      </c>
    </row>
    <row r="104" spans="1:6">
      <c r="A104" s="348" t="s">
        <v>78</v>
      </c>
      <c r="B104" s="334">
        <v>3171</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36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182</v>
      </c>
    </row>
    <row r="130" spans="1:6">
      <c r="A130" s="348" t="s">
        <v>295</v>
      </c>
      <c r="B130" s="334">
        <v>2</v>
      </c>
    </row>
    <row r="131" spans="1:6">
      <c r="A131" s="348" t="s">
        <v>296</v>
      </c>
      <c r="B131" s="334">
        <v>2</v>
      </c>
    </row>
    <row r="132" spans="1:6">
      <c r="A132" s="341" t="s">
        <v>297</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73561.472014884625</v>
      </c>
      <c r="C3" s="43" t="s">
        <v>170</v>
      </c>
      <c r="D3" s="43"/>
      <c r="E3" s="154"/>
      <c r="F3" s="43"/>
      <c r="G3" s="43"/>
      <c r="H3" s="43"/>
      <c r="I3" s="43"/>
      <c r="J3" s="43"/>
      <c r="K3" s="96"/>
    </row>
    <row r="4" spans="1:11">
      <c r="A4" s="383" t="s">
        <v>171</v>
      </c>
      <c r="B4" s="49">
        <f>IF(ISERROR('SEAP template'!B69),0,'SEAP template'!B69)</f>
        <v>8201.3087253947615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9.4108235294117666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0.19648882104455453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13.444033613445381</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1663.7142857142858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8.0807346122374769E-3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604.79899999999998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604.79899999999998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0.19648882104455453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118.83624247892553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16195.25225</v>
      </c>
      <c r="C5" s="17">
        <f>IF(ISERROR('Eigen informatie GS &amp; warmtenet'!B57),0,'Eigen informatie GS &amp; warmtenet'!B57)</f>
        <v>0</v>
      </c>
      <c r="D5" s="30">
        <f>(SUM(HH_hh_gas_kWh,HH_rest_gas_kWh)/1000)*0.902</f>
        <v>28106.4696869</v>
      </c>
      <c r="E5" s="17">
        <f>B46*B57</f>
        <v>1462.0075477028251</v>
      </c>
      <c r="F5" s="17">
        <f>B51*B62</f>
        <v>50520.991380875035</v>
      </c>
      <c r="G5" s="18"/>
      <c r="H5" s="17"/>
      <c r="I5" s="17"/>
      <c r="J5" s="17">
        <f>B50*B61+C50*C61</f>
        <v>0</v>
      </c>
      <c r="K5" s="17"/>
      <c r="L5" s="17"/>
      <c r="M5" s="17"/>
      <c r="N5" s="17">
        <f>B48*B59+C48*C59</f>
        <v>8015.2333538984658</v>
      </c>
      <c r="O5" s="17">
        <f>B69*B70*B71</f>
        <v>340.80666666666667</v>
      </c>
      <c r="P5" s="17">
        <f>B77*B78*B79/1000-B77*B78*B79/1000/B80</f>
        <v>915.2</v>
      </c>
    </row>
    <row r="6" spans="1:16">
      <c r="A6" s="16" t="s">
        <v>621</v>
      </c>
      <c r="B6" s="843">
        <f>kWh_PV_kleiner_dan_10kW</f>
        <v>4050.2355191203087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20245.487769120307</v>
      </c>
      <c r="C8" s="21">
        <f>C5</f>
        <v>0</v>
      </c>
      <c r="D8" s="21">
        <f>D5</f>
        <v>28106.4696869</v>
      </c>
      <c r="E8" s="21">
        <f>E5</f>
        <v>1462.0075477028251</v>
      </c>
      <c r="F8" s="21">
        <f>F5</f>
        <v>50520.991380875035</v>
      </c>
      <c r="G8" s="21"/>
      <c r="H8" s="21"/>
      <c r="I8" s="21"/>
      <c r="J8" s="21">
        <f>J5</f>
        <v>0</v>
      </c>
      <c r="K8" s="21"/>
      <c r="L8" s="21">
        <f>L5</f>
        <v>0</v>
      </c>
      <c r="M8" s="21">
        <f>M5</f>
        <v>0</v>
      </c>
      <c r="N8" s="21">
        <f>N5</f>
        <v>8015.2333538984658</v>
      </c>
      <c r="O8" s="21">
        <f>O5</f>
        <v>340.80666666666667</v>
      </c>
      <c r="P8" s="21">
        <f>P5</f>
        <v>915.2</v>
      </c>
    </row>
    <row r="9" spans="1:16">
      <c r="B9" s="19"/>
      <c r="C9" s="19"/>
      <c r="D9" s="258"/>
      <c r="E9" s="19"/>
      <c r="F9" s="19"/>
      <c r="G9" s="19"/>
      <c r="H9" s="19"/>
      <c r="I9" s="19"/>
      <c r="J9" s="19"/>
      <c r="K9" s="19"/>
      <c r="L9" s="19"/>
      <c r="M9" s="19"/>
      <c r="N9" s="19"/>
      <c r="O9" s="19"/>
      <c r="P9" s="19"/>
    </row>
    <row r="10" spans="1:16">
      <c r="A10" s="24" t="s">
        <v>214</v>
      </c>
      <c r="B10" s="25">
        <f ca="1">'EF ele_warmte'!B12</f>
        <v>0.19648882104455453</v>
      </c>
      <c r="C10" s="25">
        <f ca="1">'EF ele_warmte'!B22</f>
        <v>8.0807346122374769E-3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3978.0120232263976</v>
      </c>
      <c r="C12" s="23">
        <f ca="1">C10*C8</f>
        <v>0</v>
      </c>
      <c r="D12" s="23">
        <f>D8*D10</f>
        <v>5677.5068767538005</v>
      </c>
      <c r="E12" s="23">
        <f>E10*E8</f>
        <v>331.87571332854134</v>
      </c>
      <c r="F12" s="23">
        <f>F10*F8</f>
        <v>13489.104698693634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534</v>
      </c>
      <c r="C18" s="166" t="s">
        <v>111</v>
      </c>
      <c r="D18" s="228"/>
      <c r="E18" s="15"/>
    </row>
    <row r="19" spans="1:7">
      <c r="A19" s="171" t="s">
        <v>72</v>
      </c>
      <c r="B19" s="37">
        <f>aantalw2001_ander</f>
        <v>0</v>
      </c>
      <c r="C19" s="166" t="s">
        <v>111</v>
      </c>
      <c r="D19" s="229"/>
      <c r="E19" s="15"/>
    </row>
    <row r="20" spans="1:7">
      <c r="A20" s="171" t="s">
        <v>73</v>
      </c>
      <c r="B20" s="37">
        <f>aantalw2001_propaan</f>
        <v>23</v>
      </c>
      <c r="C20" s="167">
        <f>IF(ISERROR(B20/SUM($B$20,$B$21,$B$22)*100),0,B20/SUM($B$20,$B$21,$B$22)*100)</f>
        <v>9.8290598290598297</v>
      </c>
      <c r="D20" s="229"/>
      <c r="E20" s="15"/>
    </row>
    <row r="21" spans="1:7">
      <c r="A21" s="171" t="s">
        <v>74</v>
      </c>
      <c r="B21" s="37">
        <f>aantalw2001_elektriciteit</f>
        <v>174</v>
      </c>
      <c r="C21" s="167">
        <f>IF(ISERROR(B21/SUM($B$20,$B$21,$B$22)*100),0,B21/SUM($B$20,$B$21,$B$22)*100)</f>
        <v>74.358974358974365</v>
      </c>
      <c r="D21" s="229"/>
      <c r="E21" s="15"/>
    </row>
    <row r="22" spans="1:7">
      <c r="A22" s="171" t="s">
        <v>75</v>
      </c>
      <c r="B22" s="37">
        <f>aantalw2001_hout</f>
        <v>37</v>
      </c>
      <c r="C22" s="167">
        <f>IF(ISERROR(B22/SUM($B$20,$B$21,$B$22)*100),0,B22/SUM($B$20,$B$21,$B$22)*100)</f>
        <v>15.811965811965811</v>
      </c>
      <c r="D22" s="229"/>
      <c r="E22" s="15"/>
    </row>
    <row r="23" spans="1:7">
      <c r="A23" s="171" t="s">
        <v>76</v>
      </c>
      <c r="B23" s="37">
        <f>aantalw2001_niet_gespec</f>
        <v>41</v>
      </c>
      <c r="C23" s="166" t="s">
        <v>111</v>
      </c>
      <c r="D23" s="228"/>
      <c r="E23" s="15"/>
    </row>
    <row r="24" spans="1:7">
      <c r="A24" s="171" t="s">
        <v>77</v>
      </c>
      <c r="B24" s="37">
        <f>aantalw2001_steenkool</f>
        <v>77</v>
      </c>
      <c r="C24" s="166" t="s">
        <v>111</v>
      </c>
      <c r="D24" s="229"/>
      <c r="E24" s="15"/>
    </row>
    <row r="25" spans="1:7">
      <c r="A25" s="171" t="s">
        <v>78</v>
      </c>
      <c r="B25" s="37">
        <f>aantalw2001_stookolie</f>
        <v>3171</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4591</v>
      </c>
      <c r="C28" s="36"/>
      <c r="D28" s="228"/>
    </row>
    <row r="29" spans="1:7" s="15" customFormat="1">
      <c r="A29" s="230" t="s">
        <v>795</v>
      </c>
      <c r="B29" s="37">
        <f>SUM(HH_hh_gas_aantal,HH_rest_gas_aantal)</f>
        <v>1889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1889</v>
      </c>
      <c r="C32" s="167">
        <f>IF(ISERROR(B32/SUM($B$32,$B$34,$B$35,$B$36,$B$38,$B$39)*100),0,B32/SUM($B$32,$B$34,$B$35,$B$36,$B$38,$B$39)*100)</f>
        <v>41.580453444860225</v>
      </c>
      <c r="D32" s="233"/>
      <c r="G32" s="15"/>
    </row>
    <row r="33" spans="1:7">
      <c r="A33" s="171" t="s">
        <v>72</v>
      </c>
      <c r="B33" s="34" t="s">
        <v>111</v>
      </c>
      <c r="C33" s="167"/>
      <c r="D33" s="233"/>
      <c r="G33" s="15"/>
    </row>
    <row r="34" spans="1:7">
      <c r="A34" s="171" t="s">
        <v>73</v>
      </c>
      <c r="B34" s="33">
        <f>IF((($B$28-$B$32-$B$39-$B$77-$B$38)*C20/100)&lt;0,0,($B$28-$B$32-$B$39-$B$77-$B$38)*C20/100)</f>
        <v>69.049145299145309</v>
      </c>
      <c r="C34" s="167">
        <f>IF(ISERROR(B34/SUM($B$32,$B$34,$B$35,$B$36,$B$38,$B$39)*100),0,B34/SUM($B$32,$B$34,$B$35,$B$36,$B$38,$B$39)*100)</f>
        <v>1.5199019436307575</v>
      </c>
      <c r="D34" s="233"/>
      <c r="G34" s="15"/>
    </row>
    <row r="35" spans="1:7">
      <c r="A35" s="171" t="s">
        <v>74</v>
      </c>
      <c r="B35" s="33">
        <f>IF((($B$28-$B$32-$B$39-$B$77-$B$38)*C21/100)&lt;0,0,($B$28-$B$32-$B$39-$B$77-$B$38)*C21/100)</f>
        <v>522.37179487179492</v>
      </c>
      <c r="C35" s="167">
        <f>IF(ISERROR(B35/SUM($B$32,$B$34,$B$35,$B$36,$B$38,$B$39)*100),0,B35/SUM($B$32,$B$34,$B$35,$B$36,$B$38,$B$39)*100)</f>
        <v>11.498388617032687</v>
      </c>
      <c r="D35" s="233"/>
      <c r="G35" s="15"/>
    </row>
    <row r="36" spans="1:7">
      <c r="A36" s="171" t="s">
        <v>75</v>
      </c>
      <c r="B36" s="33">
        <f>IF((($B$28-$B$32-$B$39-$B$77-$B$38)*C22/100)&lt;0,0,($B$28-$B$32-$B$39-$B$77-$B$38)*C22/100)</f>
        <v>111.07905982905983</v>
      </c>
      <c r="C36" s="167">
        <f>IF(ISERROR(B36/SUM($B$32,$B$34,$B$35,$B$36,$B$38,$B$39)*100),0,B36/SUM($B$32,$B$34,$B$35,$B$36,$B$38,$B$39)*100)</f>
        <v>2.4450596484494791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1951.5</v>
      </c>
      <c r="C39" s="167">
        <f>IF(ISERROR(B39/SUM($B$32,$B$34,$B$35,$B$36,$B$38,$B$39)*100),0,B39/SUM($B$32,$B$34,$B$35,$B$36,$B$38,$B$39)*100)</f>
        <v>42.956196346026857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1889</v>
      </c>
      <c r="C44" s="34" t="s">
        <v>111</v>
      </c>
      <c r="D44" s="174"/>
    </row>
    <row r="45" spans="1:7">
      <c r="A45" s="171" t="s">
        <v>72</v>
      </c>
      <c r="B45" s="33" t="str">
        <f t="shared" si="0"/>
        <v>-</v>
      </c>
      <c r="C45" s="34" t="s">
        <v>111</v>
      </c>
      <c r="D45" s="174"/>
    </row>
    <row r="46" spans="1:7">
      <c r="A46" s="171" t="s">
        <v>73</v>
      </c>
      <c r="B46" s="33">
        <f t="shared" si="0"/>
        <v>69.049145299145309</v>
      </c>
      <c r="C46" s="34" t="s">
        <v>111</v>
      </c>
      <c r="D46" s="174"/>
    </row>
    <row r="47" spans="1:7">
      <c r="A47" s="171" t="s">
        <v>74</v>
      </c>
      <c r="B47" s="33">
        <f t="shared" si="0"/>
        <v>522.37179487179492</v>
      </c>
      <c r="C47" s="34" t="s">
        <v>111</v>
      </c>
      <c r="D47" s="174"/>
    </row>
    <row r="48" spans="1:7">
      <c r="A48" s="171" t="s">
        <v>75</v>
      </c>
      <c r="B48" s="33">
        <f t="shared" si="0"/>
        <v>111.07905982905983</v>
      </c>
      <c r="C48" s="33">
        <f>B48*10</f>
        <v>1110.7905982905984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1951.5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9719.0702060000003</v>
      </c>
      <c r="C5" s="17">
        <f>IF(ISERROR('Eigen informatie GS &amp; warmtenet'!B58),0,'Eigen informatie GS &amp; warmtenet'!B58)</f>
        <v>0</v>
      </c>
      <c r="D5" s="30">
        <f>SUM(D6:D12)</f>
        <v>9638.785672516</v>
      </c>
      <c r="E5" s="17">
        <f>SUM(E6:E12)</f>
        <v>141.3367242480191</v>
      </c>
      <c r="F5" s="17">
        <f>SUM(F6:F12)</f>
        <v>1772.1508900537729</v>
      </c>
      <c r="G5" s="18"/>
      <c r="H5" s="17"/>
      <c r="I5" s="17"/>
      <c r="J5" s="17">
        <f>SUM(J6:J12)</f>
        <v>3.7898016998407551E-2</v>
      </c>
      <c r="K5" s="17"/>
      <c r="L5" s="17"/>
      <c r="M5" s="17"/>
      <c r="N5" s="17">
        <f>SUM(N6:N12)</f>
        <v>1501.6931146405107</v>
      </c>
      <c r="O5" s="17">
        <f>B38*B39*B40</f>
        <v>3.1266666666666669</v>
      </c>
      <c r="P5" s="17">
        <f>B46*B47*B48/1000-B46*B47*B48/1000/B49</f>
        <v>38.133333333333333</v>
      </c>
      <c r="R5" s="32"/>
    </row>
    <row r="6" spans="1:18">
      <c r="A6" s="32" t="s">
        <v>54</v>
      </c>
      <c r="B6" s="37">
        <f>B26</f>
        <v>2661.9282749999998</v>
      </c>
      <c r="C6" s="33"/>
      <c r="D6" s="37">
        <f>IF(ISERROR(TER_kantoor_gas_kWh/1000),0,TER_kantoor_gas_kWh/1000)*0.902</f>
        <v>2757.8106995999997</v>
      </c>
      <c r="E6" s="33">
        <f>$C$26*'E Balans VL '!I12/100/3.6*1000000</f>
        <v>1.6684081084225887E-2</v>
      </c>
      <c r="F6" s="33">
        <f>$C$26*('E Balans VL '!L12+'E Balans VL '!N12)/100/3.6*1000000</f>
        <v>400.01343836246531</v>
      </c>
      <c r="G6" s="34"/>
      <c r="H6" s="33"/>
      <c r="I6" s="33"/>
      <c r="J6" s="33">
        <f>$C$26*('E Balans VL '!D12+'E Balans VL '!E12)/100/3.6*1000000</f>
        <v>0</v>
      </c>
      <c r="K6" s="33"/>
      <c r="L6" s="33"/>
      <c r="M6" s="33"/>
      <c r="N6" s="33">
        <f>$C$26*'E Balans VL '!Y12/100/3.6*1000000</f>
        <v>2.5457397208575419</v>
      </c>
      <c r="O6" s="33"/>
      <c r="P6" s="33"/>
      <c r="R6" s="32"/>
    </row>
    <row r="7" spans="1:18">
      <c r="A7" s="32" t="s">
        <v>53</v>
      </c>
      <c r="B7" s="37">
        <f t="shared" ref="B7:B12" si="0">B27</f>
        <v>1114.5540000000001</v>
      </c>
      <c r="C7" s="33"/>
      <c r="D7" s="37">
        <f>IF(ISERROR(TER_horeca_gas_kWh/1000),0,TER_horeca_gas_kWh/1000)*0.902</f>
        <v>1064.231916</v>
      </c>
      <c r="E7" s="33">
        <f>$C$27*'E Balans VL '!I9/100/3.6*1000000</f>
        <v>15.960227630743695</v>
      </c>
      <c r="F7" s="33">
        <f>$C$27*('E Balans VL '!L9+'E Balans VL '!N9)/100/3.6*1000000</f>
        <v>141.13929580710797</v>
      </c>
      <c r="G7" s="34"/>
      <c r="H7" s="33"/>
      <c r="I7" s="33"/>
      <c r="J7" s="33">
        <f>$C$27*('E Balans VL '!D9+'E Balans VL '!E9)/100/3.6*1000000</f>
        <v>0</v>
      </c>
      <c r="K7" s="33"/>
      <c r="L7" s="33"/>
      <c r="M7" s="33"/>
      <c r="N7" s="33">
        <f>$C$27*'E Balans VL '!Y9/100/3.6*1000000</f>
        <v>0.32040970119370743</v>
      </c>
      <c r="O7" s="33"/>
      <c r="P7" s="33"/>
      <c r="R7" s="32"/>
    </row>
    <row r="8" spans="1:18">
      <c r="A8" s="6" t="s">
        <v>52</v>
      </c>
      <c r="B8" s="37">
        <f t="shared" si="0"/>
        <v>3344.6002769999996</v>
      </c>
      <c r="C8" s="33"/>
      <c r="D8" s="37">
        <f>IF(ISERROR(TER_handel_gas_kWh/1000),0,TER_handel_gas_kWh/1000)*0.902</f>
        <v>2172.5665429159999</v>
      </c>
      <c r="E8" s="33">
        <f>$C$28*'E Balans VL '!I13/100/3.6*1000000</f>
        <v>121.30823960916167</v>
      </c>
      <c r="F8" s="33">
        <f>$C$28*('E Balans VL '!L13+'E Balans VL '!N13)/100/3.6*1000000</f>
        <v>644.20387958115236</v>
      </c>
      <c r="G8" s="34"/>
      <c r="H8" s="33"/>
      <c r="I8" s="33"/>
      <c r="J8" s="33">
        <f>$C$28*('E Balans VL '!D13+'E Balans VL '!E13)/100/3.6*1000000</f>
        <v>0</v>
      </c>
      <c r="K8" s="33"/>
      <c r="L8" s="33"/>
      <c r="M8" s="33"/>
      <c r="N8" s="33">
        <f>$C$28*'E Balans VL '!Y13/100/3.6*1000000</f>
        <v>4.6330409418474705</v>
      </c>
      <c r="O8" s="33"/>
      <c r="P8" s="33"/>
      <c r="R8" s="32"/>
    </row>
    <row r="9" spans="1:18">
      <c r="A9" s="32" t="s">
        <v>51</v>
      </c>
      <c r="B9" s="37">
        <f t="shared" si="0"/>
        <v>724.43693099999996</v>
      </c>
      <c r="C9" s="33"/>
      <c r="D9" s="37">
        <f>IF(ISERROR(TER_gezond_gas_kWh/1000),0,TER_gezond_gas_kWh/1000)*0.902</f>
        <v>1405.950106</v>
      </c>
      <c r="E9" s="33">
        <f>$C$29*'E Balans VL '!I10/100/3.6*1000000</f>
        <v>4.5356904403115711E-2</v>
      </c>
      <c r="F9" s="33">
        <f>$C$29*('E Balans VL '!L10+'E Balans VL '!N10)/100/3.6*1000000</f>
        <v>107.61731180044508</v>
      </c>
      <c r="G9" s="34"/>
      <c r="H9" s="33"/>
      <c r="I9" s="33"/>
      <c r="J9" s="33">
        <f>$C$29*('E Balans VL '!D10+'E Balans VL '!E10)/100/3.6*1000000</f>
        <v>0</v>
      </c>
      <c r="K9" s="33"/>
      <c r="L9" s="33"/>
      <c r="M9" s="33"/>
      <c r="N9" s="33">
        <f>$C$29*'E Balans VL '!Y10/100/3.6*1000000</f>
        <v>11.20566035089659</v>
      </c>
      <c r="O9" s="33"/>
      <c r="P9" s="33"/>
      <c r="R9" s="32"/>
    </row>
    <row r="10" spans="1:18">
      <c r="A10" s="32" t="s">
        <v>50</v>
      </c>
      <c r="B10" s="37">
        <f t="shared" si="0"/>
        <v>1745.9631959999999</v>
      </c>
      <c r="C10" s="33"/>
      <c r="D10" s="37">
        <f>IF(ISERROR(TER_ander_gas_kWh/1000),0,TER_ander_gas_kWh/1000)*0.902</f>
        <v>1774.3061600000001</v>
      </c>
      <c r="E10" s="33">
        <f>$C$30*'E Balans VL '!I14/100/3.6*1000000</f>
        <v>2.0811257394494631</v>
      </c>
      <c r="F10" s="33">
        <f>$C$30*('E Balans VL '!L14+'E Balans VL '!N14)/100/3.6*1000000</f>
        <v>456.82159150082038</v>
      </c>
      <c r="G10" s="34"/>
      <c r="H10" s="33"/>
      <c r="I10" s="33"/>
      <c r="J10" s="33">
        <f>$C$30*('E Balans VL '!D14+'E Balans VL '!E14)/100/3.6*1000000</f>
        <v>3.7898016998407551E-2</v>
      </c>
      <c r="K10" s="33"/>
      <c r="L10" s="33"/>
      <c r="M10" s="33"/>
      <c r="N10" s="33">
        <f>$C$30*'E Balans VL '!Y14/100/3.6*1000000</f>
        <v>1482.6292229251642</v>
      </c>
      <c r="O10" s="33"/>
      <c r="P10" s="33"/>
      <c r="R10" s="32"/>
    </row>
    <row r="11" spans="1:18">
      <c r="A11" s="32" t="s">
        <v>55</v>
      </c>
      <c r="B11" s="37">
        <f t="shared" si="0"/>
        <v>127.58752700000001</v>
      </c>
      <c r="C11" s="33"/>
      <c r="D11" s="37">
        <f>IF(ISERROR(TER_onderwijs_gas_kWh/1000),0,TER_onderwijs_gas_kWh/1000)*0.902</f>
        <v>463.92024799999996</v>
      </c>
      <c r="E11" s="33">
        <f>$C$31*'E Balans VL '!I11/100/3.6*1000000</f>
        <v>1.9250902831769054</v>
      </c>
      <c r="F11" s="33">
        <f>$C$31*('E Balans VL '!L11+'E Balans VL '!N11)/100/3.6*1000000</f>
        <v>22.355373001781718</v>
      </c>
      <c r="G11" s="34"/>
      <c r="H11" s="33"/>
      <c r="I11" s="33"/>
      <c r="J11" s="33">
        <f>$C$31*('E Balans VL '!D11+'E Balans VL '!E11)/100/3.6*1000000</f>
        <v>0</v>
      </c>
      <c r="K11" s="33"/>
      <c r="L11" s="33"/>
      <c r="M11" s="33"/>
      <c r="N11" s="33">
        <f>$C$31*'E Balans VL '!Y11/100/3.6*1000000</f>
        <v>0.35904100055118043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39.6</v>
      </c>
      <c r="C13" s="247">
        <f ca="1">'lokale energieproductie'!O90+'lokale energieproductie'!O59</f>
        <v>56.571428571428577</v>
      </c>
      <c r="D13" s="310">
        <f ca="1">('lokale energieproductie'!P59+'lokale energieproductie'!P90)*(-1)</f>
        <v>-113.14285714285715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9758.6702060000007</v>
      </c>
      <c r="C16" s="21">
        <f t="shared" ca="1" si="1"/>
        <v>56.571428571428577</v>
      </c>
      <c r="D16" s="21">
        <f t="shared" ca="1" si="1"/>
        <v>9525.6428153731431</v>
      </c>
      <c r="E16" s="21">
        <f t="shared" si="1"/>
        <v>141.3367242480191</v>
      </c>
      <c r="F16" s="21">
        <f t="shared" ca="1" si="1"/>
        <v>1772.1508900537729</v>
      </c>
      <c r="G16" s="21">
        <f t="shared" si="1"/>
        <v>0</v>
      </c>
      <c r="H16" s="21">
        <f t="shared" si="1"/>
        <v>0</v>
      </c>
      <c r="I16" s="21">
        <f t="shared" si="1"/>
        <v>0</v>
      </c>
      <c r="J16" s="21">
        <f t="shared" si="1"/>
        <v>3.7898016998407551E-2</v>
      </c>
      <c r="K16" s="21">
        <f t="shared" si="1"/>
        <v>0</v>
      </c>
      <c r="L16" s="21">
        <f t="shared" ca="1" si="1"/>
        <v>0</v>
      </c>
      <c r="M16" s="21">
        <f t="shared" si="1"/>
        <v>0</v>
      </c>
      <c r="N16" s="21">
        <f t="shared" ca="1" si="1"/>
        <v>1501.6931146405107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0.19648882104455453</v>
      </c>
      <c r="C18" s="25">
        <f ca="1">'EF ele_warmte'!B22</f>
        <v>8.0807346122374769E-3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1917.4696037395602</v>
      </c>
      <c r="C20" s="23">
        <f t="shared" ref="C20:P20" ca="1" si="2">C16*C18</f>
        <v>0.45713870092086301</v>
      </c>
      <c r="D20" s="23">
        <f t="shared" ca="1" si="2"/>
        <v>1924.179848705375</v>
      </c>
      <c r="E20" s="23">
        <f t="shared" si="2"/>
        <v>32.083436404300336</v>
      </c>
      <c r="F20" s="23">
        <f t="shared" ca="1" si="2"/>
        <v>473.16428764435739</v>
      </c>
      <c r="G20" s="23">
        <f t="shared" si="2"/>
        <v>0</v>
      </c>
      <c r="H20" s="23">
        <f t="shared" si="2"/>
        <v>0</v>
      </c>
      <c r="I20" s="23">
        <f t="shared" si="2"/>
        <v>0</v>
      </c>
      <c r="J20" s="23">
        <f t="shared" si="2"/>
        <v>1.3415898017436272E-2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2661.9282749999998</v>
      </c>
      <c r="C26" s="39">
        <f>IF(ISERROR(B26*3.6/1000000/'E Balans VL '!Z12*100),0,B26*3.6/1000000/'E Balans VL '!Z12*100)</f>
        <v>5.6268946898497249E-2</v>
      </c>
      <c r="D26" s="237" t="s">
        <v>754</v>
      </c>
      <c r="F26" s="6"/>
    </row>
    <row r="27" spans="1:18">
      <c r="A27" s="231" t="s">
        <v>53</v>
      </c>
      <c r="B27" s="33">
        <f>IF(ISERROR(TER_horeca_ele_kWh/1000),0,TER_horeca_ele_kWh/1000)</f>
        <v>1114.5540000000001</v>
      </c>
      <c r="C27" s="39">
        <f>IF(ISERROR(B27*3.6/1000000/'E Balans VL '!Z9*100),0,B27*3.6/1000000/'E Balans VL '!Z9*100)</f>
        <v>8.7859876404516493E-2</v>
      </c>
      <c r="D27" s="237" t="s">
        <v>754</v>
      </c>
      <c r="F27" s="6"/>
    </row>
    <row r="28" spans="1:18">
      <c r="A28" s="171" t="s">
        <v>52</v>
      </c>
      <c r="B28" s="33">
        <f>IF(ISERROR(TER_handel_ele_kWh/1000),0,TER_handel_ele_kWh/1000)</f>
        <v>3344.6002769999996</v>
      </c>
      <c r="C28" s="39">
        <f>IF(ISERROR(B28*3.6/1000000/'E Balans VL '!Z13*100),0,B28*3.6/1000000/'E Balans VL '!Z13*100)</f>
        <v>9.7073813737951584E-2</v>
      </c>
      <c r="D28" s="237" t="s">
        <v>754</v>
      </c>
      <c r="F28" s="6"/>
    </row>
    <row r="29" spans="1:18">
      <c r="A29" s="231" t="s">
        <v>51</v>
      </c>
      <c r="B29" s="33">
        <f>IF(ISERROR(TER_gezond_ele_kWh/1000),0,TER_gezond_ele_kWh/1000)</f>
        <v>724.43693099999996</v>
      </c>
      <c r="C29" s="39">
        <f>IF(ISERROR(B29*3.6/1000000/'E Balans VL '!Z10*100),0,B29*3.6/1000000/'E Balans VL '!Z10*100)</f>
        <v>7.6295104402704039E-2</v>
      </c>
      <c r="D29" s="237" t="s">
        <v>754</v>
      </c>
      <c r="F29" s="6"/>
    </row>
    <row r="30" spans="1:18">
      <c r="A30" s="231" t="s">
        <v>50</v>
      </c>
      <c r="B30" s="33">
        <f>IF(ISERROR(TER_ander_ele_kWh/1000),0,TER_ander_ele_kWh/1000)</f>
        <v>1745.9631959999999</v>
      </c>
      <c r="C30" s="39">
        <f>IF(ISERROR(B30*3.6/1000000/'E Balans VL '!Z14*100),0,B30*3.6/1000000/'E Balans VL '!Z14*100)</f>
        <v>0.12878262455827977</v>
      </c>
      <c r="D30" s="237" t="s">
        <v>754</v>
      </c>
      <c r="F30" s="6"/>
    </row>
    <row r="31" spans="1:18">
      <c r="A31" s="231" t="s">
        <v>55</v>
      </c>
      <c r="B31" s="33">
        <f>IF(ISERROR(TER_onderwijs_ele_kWh/1000),0,TER_onderwijs_ele_kWh/1000)</f>
        <v>127.58752700000001</v>
      </c>
      <c r="C31" s="39">
        <f>IF(ISERROR(B31*3.6/1000000/'E Balans VL '!Z11*100),0,B31*3.6/1000000/'E Balans VL '!Z11*100)</f>
        <v>3.1685959505836123E-2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40026.796907999997</v>
      </c>
      <c r="C5" s="17">
        <f>IF(ISERROR('Eigen informatie GS &amp; warmtenet'!B59),0,'Eigen informatie GS &amp; warmtenet'!B59)</f>
        <v>0</v>
      </c>
      <c r="D5" s="30">
        <f>SUM(D6:D15)</f>
        <v>42418.000468316</v>
      </c>
      <c r="E5" s="17">
        <f>SUM(E6:E15)</f>
        <v>8349.3626741577609</v>
      </c>
      <c r="F5" s="17">
        <f>SUM(F6:F15)</f>
        <v>23687.109605402264</v>
      </c>
      <c r="G5" s="18"/>
      <c r="H5" s="17"/>
      <c r="I5" s="17"/>
      <c r="J5" s="17">
        <f>SUM(J6:J15)</f>
        <v>0.47641706483133051</v>
      </c>
      <c r="K5" s="17"/>
      <c r="L5" s="17"/>
      <c r="M5" s="17"/>
      <c r="N5" s="17">
        <f>SUM(N6:N15)</f>
        <v>10225.242903729888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272.12417900000003</v>
      </c>
      <c r="C8" s="33"/>
      <c r="D8" s="37">
        <f>IF( ISERROR(IND_metaal_Gas_kWH/1000),0,IND_metaal_Gas_kWH/1000)*0.902</f>
        <v>232.18201600000003</v>
      </c>
      <c r="E8" s="33">
        <f>C30*'E Balans VL '!I18/100/3.6*1000000</f>
        <v>2.5019190058734959</v>
      </c>
      <c r="F8" s="33">
        <f>C30*'E Balans VL '!L18/100/3.6*1000000+C30*'E Balans VL '!N18/100/3.6*1000000</f>
        <v>25.51618805919334</v>
      </c>
      <c r="G8" s="34"/>
      <c r="H8" s="33"/>
      <c r="I8" s="33"/>
      <c r="J8" s="40">
        <f>C30*'E Balans VL '!D18/100/3.6*1000000+C30*'E Balans VL '!E18/100/3.6*1000000</f>
        <v>0</v>
      </c>
      <c r="K8" s="33"/>
      <c r="L8" s="33"/>
      <c r="M8" s="33"/>
      <c r="N8" s="33">
        <f>C30*'E Balans VL '!Y18/100/3.6*1000000</f>
        <v>3.8823011175783106</v>
      </c>
      <c r="O8" s="33"/>
      <c r="P8" s="33"/>
      <c r="R8" s="32"/>
    </row>
    <row r="9" spans="1:18">
      <c r="A9" s="6" t="s">
        <v>33</v>
      </c>
      <c r="B9" s="37">
        <f t="shared" si="0"/>
        <v>28445.133013999999</v>
      </c>
      <c r="C9" s="33"/>
      <c r="D9" s="37">
        <f>IF( ISERROR(IND_andere_gas_kWh/1000),0,IND_andere_gas_kWh/1000)*0.902</f>
        <v>16579.948320958003</v>
      </c>
      <c r="E9" s="33">
        <f>C31*'E Balans VL '!I19/100/3.6*1000000</f>
        <v>8315.0661414162005</v>
      </c>
      <c r="F9" s="33">
        <f>C31*'E Balans VL '!L19/100/3.6*1000000+C31*'E Balans VL '!N19/100/3.6*1000000</f>
        <v>22857.8174754787</v>
      </c>
      <c r="G9" s="34"/>
      <c r="H9" s="33"/>
      <c r="I9" s="33"/>
      <c r="J9" s="40">
        <f>C31*'E Balans VL '!D19/100/3.6*1000000+C31*'E Balans VL '!E19/100/3.6*1000000</f>
        <v>0</v>
      </c>
      <c r="K9" s="33"/>
      <c r="L9" s="33"/>
      <c r="M9" s="33"/>
      <c r="N9" s="33">
        <f>C31*'E Balans VL '!Y19/100/3.6*1000000</f>
        <v>9398.7131005608899</v>
      </c>
      <c r="O9" s="33"/>
      <c r="P9" s="33"/>
      <c r="R9" s="32"/>
    </row>
    <row r="10" spans="1:18">
      <c r="A10" s="6" t="s">
        <v>41</v>
      </c>
      <c r="B10" s="37">
        <f t="shared" si="0"/>
        <v>10927.142</v>
      </c>
      <c r="C10" s="33"/>
      <c r="D10" s="37">
        <f>IF( ISERROR(IND_voed_gas_kWh/1000),0,IND_voed_gas_kWh/1000)*0.902</f>
        <v>25308.015299358001</v>
      </c>
      <c r="E10" s="33">
        <f>C32*'E Balans VL '!I20/100/3.6*1000000</f>
        <v>23.116538328343381</v>
      </c>
      <c r="F10" s="33">
        <f>C32*'E Balans VL '!L20/100/3.6*1000000+C32*'E Balans VL '!N20/100/3.6*1000000</f>
        <v>694.7588501082397</v>
      </c>
      <c r="G10" s="34"/>
      <c r="H10" s="33"/>
      <c r="I10" s="33"/>
      <c r="J10" s="40">
        <f>C32*'E Balans VL '!D20/100/3.6*1000000+C32*'E Balans VL '!E20/100/3.6*1000000</f>
        <v>0</v>
      </c>
      <c r="K10" s="33"/>
      <c r="L10" s="33"/>
      <c r="M10" s="33"/>
      <c r="N10" s="33">
        <f>C32*'E Balans VL '!Y20/100/3.6*1000000</f>
        <v>754.08062967207775</v>
      </c>
      <c r="O10" s="33"/>
      <c r="P10" s="33"/>
      <c r="R10" s="32"/>
    </row>
    <row r="11" spans="1:18">
      <c r="A11" s="6" t="s">
        <v>40</v>
      </c>
      <c r="B11" s="37">
        <f t="shared" si="0"/>
        <v>92.489000000000004</v>
      </c>
      <c r="C11" s="33"/>
      <c r="D11" s="37">
        <f>IF( ISERROR(IND_textiel_gas_kWh/1000),0,IND_textiel_gas_kWh/1000)*0.902</f>
        <v>86.835539999999995</v>
      </c>
      <c r="E11" s="33">
        <f>C33*'E Balans VL '!I21/100/3.6*1000000</f>
        <v>0.27468435591524148</v>
      </c>
      <c r="F11" s="33">
        <f>C33*'E Balans VL '!L21/100/3.6*1000000+C33*'E Balans VL '!N21/100/3.6*1000000</f>
        <v>9.343928203791414</v>
      </c>
      <c r="G11" s="34"/>
      <c r="H11" s="33"/>
      <c r="I11" s="33"/>
      <c r="J11" s="40">
        <f>C33*'E Balans VL '!D21/100/3.6*1000000+C33*'E Balans VL '!E21/100/3.6*1000000</f>
        <v>0</v>
      </c>
      <c r="K11" s="33"/>
      <c r="L11" s="33"/>
      <c r="M11" s="33"/>
      <c r="N11" s="33">
        <f>C33*'E Balans VL '!Y21/100/3.6*1000000</f>
        <v>5.1010635151633466</v>
      </c>
      <c r="O11" s="33"/>
      <c r="P11" s="33"/>
      <c r="R11" s="32"/>
    </row>
    <row r="12" spans="1:18">
      <c r="A12" s="6" t="s">
        <v>37</v>
      </c>
      <c r="B12" s="37">
        <f t="shared" si="0"/>
        <v>289.90371500000003</v>
      </c>
      <c r="C12" s="33"/>
      <c r="D12" s="37">
        <f>IF( ISERROR(IND_min_gas_kWh/1000),0,IND_min_gas_kWh/1000)*0.902</f>
        <v>0</v>
      </c>
      <c r="E12" s="33">
        <f>C34*'E Balans VL '!I22/100/3.6*1000000</f>
        <v>8.4031149717212958</v>
      </c>
      <c r="F12" s="33">
        <f>C34*'E Balans VL '!L22/100/3.6*1000000+C34*'E Balans VL '!N22/100/3.6*1000000</f>
        <v>99.672173201991725</v>
      </c>
      <c r="G12" s="34"/>
      <c r="H12" s="33"/>
      <c r="I12" s="33"/>
      <c r="J12" s="40">
        <f>C34*'E Balans VL '!D22/100/3.6*1000000+C34*'E Balans VL '!E22/100/3.6*1000000</f>
        <v>0.47639916492640866</v>
      </c>
      <c r="K12" s="33"/>
      <c r="L12" s="33"/>
      <c r="M12" s="33"/>
      <c r="N12" s="33">
        <f>C34*'E Balans VL '!Y22/100/3.6*1000000</f>
        <v>63.46468728569311</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5.0000000000000001E-3</v>
      </c>
      <c r="C15" s="33"/>
      <c r="D15" s="37">
        <f>IF( ISERROR(IND_rest_gas_kWh/1000),0,IND_rest_gas_kWh/1000)*0.902</f>
        <v>211.01929200000001</v>
      </c>
      <c r="E15" s="33">
        <f>C37*'E Balans VL '!I15/100/3.6*1000000</f>
        <v>2.7607970631879337E-4</v>
      </c>
      <c r="F15" s="33">
        <f>C37*'E Balans VL '!L15/100/3.6*1000000+C37*'E Balans VL '!N15/100/3.6*1000000</f>
        <v>9.9035034744435592E-4</v>
      </c>
      <c r="G15" s="34"/>
      <c r="H15" s="33"/>
      <c r="I15" s="33"/>
      <c r="J15" s="40">
        <f>C37*'E Balans VL '!D15/100/3.6*1000000+C37*'E Balans VL '!E15/100/3.6*1000000</f>
        <v>1.7899904921861178E-5</v>
      </c>
      <c r="K15" s="33"/>
      <c r="L15" s="33"/>
      <c r="M15" s="33"/>
      <c r="N15" s="33">
        <f>C37*'E Balans VL '!Y15/100/3.6*1000000</f>
        <v>1.121578482964059E-3</v>
      </c>
      <c r="O15" s="33"/>
      <c r="P15" s="33"/>
      <c r="R15" s="32"/>
    </row>
    <row r="16" spans="1:18">
      <c r="A16" s="16" t="s">
        <v>488</v>
      </c>
      <c r="B16" s="247">
        <f>'lokale energieproductie'!N89+'lokale energieproductie'!N58</f>
        <v>1125</v>
      </c>
      <c r="C16" s="247">
        <f>'lokale energieproductie'!O89+'lokale energieproductie'!O58</f>
        <v>1607.1428571428571</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41151.796907999997</v>
      </c>
      <c r="C18" s="21">
        <f>C5+C16</f>
        <v>1607.1428571428571</v>
      </c>
      <c r="D18" s="21">
        <f>MAX((D5+D16),0)</f>
        <v>42418.000468316</v>
      </c>
      <c r="E18" s="21">
        <f>MAX((E5+E16),0)</f>
        <v>8349.3626741577609</v>
      </c>
      <c r="F18" s="21">
        <f>MAX((F5+F16),0)</f>
        <v>23687.109605402264</v>
      </c>
      <c r="G18" s="21"/>
      <c r="H18" s="21"/>
      <c r="I18" s="21"/>
      <c r="J18" s="21">
        <f>MAX((J5+J16),0)</f>
        <v>0.47641706483133051</v>
      </c>
      <c r="K18" s="21"/>
      <c r="L18" s="21">
        <f>MAX((L5+L16),0)</f>
        <v>0</v>
      </c>
      <c r="M18" s="21"/>
      <c r="N18" s="21">
        <f>MAX((N5+N16),0)</f>
        <v>7010.9571894441733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0.19648882104455453</v>
      </c>
      <c r="C20" s="25">
        <f ca="1">'EF ele_warmte'!B22</f>
        <v>8.0807346122374769E-3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8085.8680583178639</v>
      </c>
      <c r="C22" s="23">
        <f ca="1">C18*C20</f>
        <v>12.986894912524516</v>
      </c>
      <c r="D22" s="23">
        <f>D18*D20</f>
        <v>8568.4360945998324</v>
      </c>
      <c r="E22" s="23">
        <f>E18*E20</f>
        <v>1895.3053270338119</v>
      </c>
      <c r="F22" s="23">
        <f>F18*F20</f>
        <v>6324.4582646424051</v>
      </c>
      <c r="G22" s="23"/>
      <c r="H22" s="23"/>
      <c r="I22" s="23"/>
      <c r="J22" s="23">
        <f>J18*J20</f>
        <v>0.16865164095029098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272.12417900000003</v>
      </c>
      <c r="C30" s="39">
        <f>IF(ISERROR(B30*3.6/1000000/'E Balans VL '!Z18*100),0,B30*3.6/1000000/'E Balans VL '!Z18*100)</f>
        <v>1.5421974995962626E-2</v>
      </c>
      <c r="D30" s="237" t="s">
        <v>754</v>
      </c>
    </row>
    <row r="31" spans="1:18">
      <c r="A31" s="6" t="s">
        <v>33</v>
      </c>
      <c r="B31" s="37">
        <f>IF( ISERROR(IND_ander_ele_kWh/1000),0,IND_ander_ele_kWh/1000)</f>
        <v>28445.133013999999</v>
      </c>
      <c r="C31" s="39">
        <f>IF(ISERROR(B31*3.6/1000000/'E Balans VL '!Z19*100),0,B31*3.6/1000000/'E Balans VL '!Z19*100)</f>
        <v>1.2901527900426422</v>
      </c>
      <c r="D31" s="237" t="s">
        <v>754</v>
      </c>
    </row>
    <row r="32" spans="1:18">
      <c r="A32" s="171" t="s">
        <v>41</v>
      </c>
      <c r="B32" s="37">
        <f>IF( ISERROR(IND_voed_ele_kWh/1000),0,IND_voed_ele_kWh/1000)</f>
        <v>10927.142</v>
      </c>
      <c r="C32" s="39">
        <f>IF(ISERROR(B32*3.6/1000000/'E Balans VL '!Z20*100),0,B32*3.6/1000000/'E Balans VL '!Z20*100)</f>
        <v>0.33802610709625425</v>
      </c>
      <c r="D32" s="237" t="s">
        <v>754</v>
      </c>
    </row>
    <row r="33" spans="1:5">
      <c r="A33" s="171" t="s">
        <v>40</v>
      </c>
      <c r="B33" s="37">
        <f>IF( ISERROR(IND_textiel_ele_kWh/1000),0,IND_textiel_ele_kWh/1000)</f>
        <v>92.489000000000004</v>
      </c>
      <c r="C33" s="39">
        <f>IF(ISERROR(B33*3.6/1000000/'E Balans VL '!Z21*100),0,B33*3.6/1000000/'E Balans VL '!Z21*100)</f>
        <v>1.2059537532415661E-2</v>
      </c>
      <c r="D33" s="237" t="s">
        <v>754</v>
      </c>
    </row>
    <row r="34" spans="1:5">
      <c r="A34" s="171" t="s">
        <v>37</v>
      </c>
      <c r="B34" s="37">
        <f>IF( ISERROR(IND_min_ele_kWh/1000),0,IND_min_ele_kWh/1000)</f>
        <v>289.90371500000003</v>
      </c>
      <c r="C34" s="39">
        <f>IF(ISERROR(B34*3.6/1000000/'E Balans VL '!Z22*100),0,B34*3.6/1000000/'E Balans VL '!Z22*100)</f>
        <v>5.2144633436761276E-2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5.0000000000000001E-3</v>
      </c>
      <c r="C37" s="39">
        <f>IF(ISERROR(B37*3.6/1000000/'E Balans VL '!Z15*100),0,B37*3.6/1000000/'E Balans VL '!Z15*100)</f>
        <v>3.9631140583999099E-8</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1768.23161</v>
      </c>
      <c r="C5" s="17">
        <f>'Eigen informatie GS &amp; warmtenet'!B60</f>
        <v>0</v>
      </c>
      <c r="D5" s="30">
        <f>IF(ISERROR(SUM(LB_lb_gas_kWh,LB_rest_gas_kWh,onbekend_gas_kWh)/1000),0,SUM(LB_lb_gas_kWh,LB_rest_gas_kWh,onbekend_gas_kWh)/1000)*0.902</f>
        <v>754.57730040000001</v>
      </c>
      <c r="E5" s="17">
        <f>B17*'E Balans VL '!I25/3.6*1000000/100</f>
        <v>51.973727820605681</v>
      </c>
      <c r="F5" s="17">
        <f>B17*('E Balans VL '!L25/3.6*1000000+'E Balans VL '!N25/3.6*1000000)/100</f>
        <v>7366.3573370390041</v>
      </c>
      <c r="G5" s="18"/>
      <c r="H5" s="17"/>
      <c r="I5" s="17"/>
      <c r="J5" s="17">
        <f>('E Balans VL '!D25+'E Balans VL '!E25)/3.6*1000000*landbouw!B17/100</f>
        <v>256.17878708050023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1768.23161</v>
      </c>
      <c r="C8" s="21">
        <f>C5+C6</f>
        <v>0</v>
      </c>
      <c r="D8" s="21">
        <f>MAX((D5+D6),0)</f>
        <v>754.57730040000001</v>
      </c>
      <c r="E8" s="21">
        <f>MAX((E5+E6),0)</f>
        <v>51.973727820605681</v>
      </c>
      <c r="F8" s="21">
        <f>MAX((F5+F6),0)</f>
        <v>7366.3573370390041</v>
      </c>
      <c r="G8" s="21"/>
      <c r="H8" s="21"/>
      <c r="I8" s="21"/>
      <c r="J8" s="21">
        <f>MAX((J5+J6),0)</f>
        <v>256.17878708050023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0.19648882104455453</v>
      </c>
      <c r="C10" s="31">
        <f ca="1">'EF ele_warmte'!B22</f>
        <v>8.0807346122374769E-3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347.43774438261454</v>
      </c>
      <c r="C12" s="23">
        <f ca="1">C8*C10</f>
        <v>0</v>
      </c>
      <c r="D12" s="23">
        <f>D8*D10</f>
        <v>152.4246146808</v>
      </c>
      <c r="E12" s="23">
        <f>E8*E10</f>
        <v>11.79803621527749</v>
      </c>
      <c r="F12" s="23">
        <f>F8*F10</f>
        <v>1966.8174089894142</v>
      </c>
      <c r="G12" s="23"/>
      <c r="H12" s="23"/>
      <c r="I12" s="23"/>
      <c r="J12" s="23">
        <f>J8*J10</f>
        <v>90.687290626497074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0.25091761311649008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176.21246600499137</v>
      </c>
      <c r="C26" s="247">
        <f>B26*'GWP N2O_CH4'!B5</f>
        <v>3700.4617861048187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36.006568620892288</v>
      </c>
      <c r="C27" s="247">
        <f>B27*'GWP N2O_CH4'!B5</f>
        <v>756.13794103873806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2.2808163809323641</v>
      </c>
      <c r="C28" s="247">
        <f>B28*'GWP N2O_CH4'!B4</f>
        <v>707.05307808903285</v>
      </c>
      <c r="D28" s="50"/>
    </row>
    <row r="29" spans="1:4">
      <c r="A29" s="41" t="s">
        <v>277</v>
      </c>
      <c r="B29" s="247">
        <f>B34*'ha_N2O bodem landbouw'!B4</f>
        <v>9.2436759646122511</v>
      </c>
      <c r="C29" s="247">
        <f>B29*'GWP N2O_CH4'!B4</f>
        <v>2865.5395490297979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2.1093750000000001E-3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1.1695147835153678E-4</v>
      </c>
      <c r="C5" s="463" t="s">
        <v>211</v>
      </c>
      <c r="D5" s="448">
        <f>SUM(D6:D11)</f>
        <v>3.9719479113317472E-4</v>
      </c>
      <c r="E5" s="448">
        <f>SUM(E6:E11)</f>
        <v>5.3191985365867711E-4</v>
      </c>
      <c r="F5" s="461" t="s">
        <v>211</v>
      </c>
      <c r="G5" s="448">
        <f>SUM(G6:G11)</f>
        <v>0.19751011990892739</v>
      </c>
      <c r="H5" s="448">
        <f>SUM(H6:H11)</f>
        <v>4.4847050167124723E-2</v>
      </c>
      <c r="I5" s="463" t="s">
        <v>211</v>
      </c>
      <c r="J5" s="463" t="s">
        <v>211</v>
      </c>
      <c r="K5" s="463" t="s">
        <v>211</v>
      </c>
      <c r="L5" s="463" t="s">
        <v>211</v>
      </c>
      <c r="M5" s="448">
        <f>SUM(M6:M11)</f>
        <v>1.2870670542704599E-2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9.7064720864458679E-5</v>
      </c>
      <c r="C6" s="449"/>
      <c r="D6" s="962">
        <f>vkm_2011_GW_PW*SUMIFS(TableVerdeelsleutelVkm[CNG],TableVerdeelsleutelVkm[Voertuigtype],"Lichte voertuigen")*SUMIFS(TableECFTransport[EnergieConsumptieFactor (PJ per km)],TableECFTransport[Index],CONCATENATE($A6,"_CNG_CNG"))</f>
        <v>2.9113845251104391E-4</v>
      </c>
      <c r="E6" s="962">
        <f>vkm_2011_GW_PW*SUMIFS(TableVerdeelsleutelVkm[LPG],TableVerdeelsleutelVkm[Voertuigtype],"Lichte voertuigen")*SUMIFS(TableECFTransport[EnergieConsumptieFactor (PJ per km)],TableECFTransport[Index],CONCATENATE($A6,"_LPG_LPG"))</f>
        <v>3.9773694610780634E-4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0.10283654171848643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3.3107857191976391E-2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6.9908128260536013E-3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5.9818192876319835E-2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1.8228180895265193E-5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3.4955765653462839E-3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1.9886757487078093E-5</v>
      </c>
      <c r="C8" s="449"/>
      <c r="D8" s="451">
        <f>vkm_2011_NGW_PW*SUMIFS(TableVerdeelsleutelVkm[CNG],TableVerdeelsleutelVkm[Voertuigtype],"Lichte voertuigen")*SUMIFS(TableECFTransport[EnergieConsumptieFactor (PJ per km)],TableECFTransport[Index],CONCATENATE($A8,"_CNG_CNG"))</f>
        <v>1.0605633862213081E-4</v>
      </c>
      <c r="E8" s="451">
        <f>vkm_2011_NGW_PW*SUMIFS(TableVerdeelsleutelVkm[LPG],TableVerdeelsleutelVkm[Voertuigtype],"Lichte voertuigen")*SUMIFS(TableECFTransport[EnergieConsumptieFactor (PJ per km)],TableECFTransport[Index],CONCATENATE($A8,"_LPG_LPG"))</f>
        <v>1.3418290755087074E-4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3.2330716654555808E-2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1.1720240533616864E-2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2.2367492353129442E-3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2.5246686595653341E-3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7.2426063620119609E-7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1.4753191599176964E-4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32.486521764315768</v>
      </c>
      <c r="C14" s="21"/>
      <c r="D14" s="21">
        <f t="shared" ref="D14:M14" si="0">((D5)*10^9/3600)+D12</f>
        <v>110.33188642588188</v>
      </c>
      <c r="E14" s="21">
        <f t="shared" si="0"/>
        <v>147.75551490518808</v>
      </c>
      <c r="F14" s="21"/>
      <c r="G14" s="21">
        <f t="shared" si="0"/>
        <v>54863.922196924272</v>
      </c>
      <c r="H14" s="21">
        <f t="shared" si="0"/>
        <v>12457.513935312423</v>
      </c>
      <c r="I14" s="21"/>
      <c r="J14" s="21"/>
      <c r="K14" s="21"/>
      <c r="L14" s="21"/>
      <c r="M14" s="21">
        <f t="shared" si="0"/>
        <v>3575.1862618623886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0.19648882104455453</v>
      </c>
      <c r="C16" s="56">
        <f ca="1">'EF ele_warmte'!B22</f>
        <v>8.0807346122374769E-3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6.383238361308667</v>
      </c>
      <c r="C18" s="23"/>
      <c r="D18" s="23">
        <f t="shared" ref="D18:M18" si="1">D14*D16</f>
        <v>22.287041058028141</v>
      </c>
      <c r="E18" s="23">
        <f t="shared" si="1"/>
        <v>33.540501883477695</v>
      </c>
      <c r="F18" s="23"/>
      <c r="G18" s="23">
        <f t="shared" si="1"/>
        <v>14648.667226578782</v>
      </c>
      <c r="H18" s="23">
        <f t="shared" si="1"/>
        <v>3101.9209698927934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2.5652013445993608E-3</v>
      </c>
      <c r="H50" s="321">
        <f t="shared" si="2"/>
        <v>0</v>
      </c>
      <c r="I50" s="321">
        <f t="shared" si="2"/>
        <v>0</v>
      </c>
      <c r="J50" s="321">
        <f t="shared" si="2"/>
        <v>0</v>
      </c>
      <c r="K50" s="321">
        <f t="shared" si="2"/>
        <v>0</v>
      </c>
      <c r="L50" s="321">
        <f t="shared" si="2"/>
        <v>0</v>
      </c>
      <c r="M50" s="321">
        <f t="shared" si="2"/>
        <v>1.4569211209596616E-4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2.5652013445993608E-3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1.4569211209596616E-4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712.55592905537799</v>
      </c>
      <c r="H54" s="21">
        <f t="shared" si="3"/>
        <v>0</v>
      </c>
      <c r="I54" s="21">
        <f t="shared" si="3"/>
        <v>0</v>
      </c>
      <c r="J54" s="21">
        <f t="shared" si="3"/>
        <v>0</v>
      </c>
      <c r="K54" s="21">
        <f t="shared" si="3"/>
        <v>0</v>
      </c>
      <c r="L54" s="21">
        <f t="shared" si="3"/>
        <v>0</v>
      </c>
      <c r="M54" s="21">
        <f t="shared" si="3"/>
        <v>40.470031137768373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0.19648882104455453</v>
      </c>
      <c r="C56" s="56">
        <f ca="1">'EF ele_warmte'!B22</f>
        <v>8.0807346122374769E-3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190.25243305778594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7036.7087253947611</v>
      </c>
      <c r="C6" s="1263"/>
      <c r="D6" s="1248"/>
      <c r="E6" s="1248"/>
      <c r="F6" s="1266"/>
      <c r="G6" s="1269"/>
      <c r="H6" s="1260"/>
      <c r="I6" s="1248"/>
      <c r="J6" s="1248"/>
      <c r="K6" s="1248"/>
      <c r="L6" s="1252"/>
      <c r="M6" s="575"/>
      <c r="N6" s="1226"/>
      <c r="O6" s="1227"/>
      <c r="Q6" s="573"/>
      <c r="R6" s="1214"/>
      <c r="S6" s="1214"/>
    </row>
    <row r="7" spans="1:19" s="563" customFormat="1">
      <c r="A7" s="576" t="s">
        <v>252</v>
      </c>
      <c r="B7" s="577">
        <f>N57</f>
        <v>1164.5999999999999</v>
      </c>
      <c r="C7" s="578">
        <f>B100</f>
        <v>46.588235294117652</v>
      </c>
      <c r="D7" s="579"/>
      <c r="E7" s="579">
        <f>E100</f>
        <v>0</v>
      </c>
      <c r="F7" s="580"/>
      <c r="G7" s="581"/>
      <c r="H7" s="579">
        <f>I100</f>
        <v>0</v>
      </c>
      <c r="I7" s="579">
        <f>G100+F100</f>
        <v>0</v>
      </c>
      <c r="J7" s="579">
        <f>H100+D100+C100</f>
        <v>1323.5294117647061</v>
      </c>
      <c r="K7" s="579"/>
      <c r="L7" s="582"/>
      <c r="M7" s="583">
        <f>C7*$C$11+D7*$D$11+E7*$E$11+F7*$F$11+G7*$G$11+H7*$H$11+I7*$I$11+J7*$J$11</f>
        <v>9.4108235294117666</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8201.3087253947615</v>
      </c>
      <c r="C9" s="594">
        <f t="shared" ref="C9:L9" si="0">SUM(C7:C8)</f>
        <v>46.588235294117652</v>
      </c>
      <c r="D9" s="594">
        <f t="shared" si="0"/>
        <v>0</v>
      </c>
      <c r="E9" s="594">
        <f t="shared" si="0"/>
        <v>0</v>
      </c>
      <c r="F9" s="594">
        <f t="shared" si="0"/>
        <v>0</v>
      </c>
      <c r="G9" s="594">
        <f t="shared" si="0"/>
        <v>0</v>
      </c>
      <c r="H9" s="594">
        <f t="shared" si="0"/>
        <v>0</v>
      </c>
      <c r="I9" s="594">
        <f t="shared" si="0"/>
        <v>0</v>
      </c>
      <c r="J9" s="594">
        <f t="shared" si="0"/>
        <v>1323.5294117647061</v>
      </c>
      <c r="K9" s="594">
        <f t="shared" si="0"/>
        <v>0</v>
      </c>
      <c r="L9" s="594">
        <f t="shared" si="0"/>
        <v>0</v>
      </c>
      <c r="M9" s="595">
        <f>SUM(M4:M8)</f>
        <v>9.4108235294117666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1663.7142857142858</v>
      </c>
      <c r="C16" s="610">
        <f>B101</f>
        <v>66.554621848739501</v>
      </c>
      <c r="D16" s="611"/>
      <c r="E16" s="611">
        <f>E101</f>
        <v>0</v>
      </c>
      <c r="F16" s="612"/>
      <c r="G16" s="613"/>
      <c r="H16" s="610">
        <f>I101</f>
        <v>0</v>
      </c>
      <c r="I16" s="611">
        <f>G101+F101</f>
        <v>0</v>
      </c>
      <c r="J16" s="611">
        <f>H101+D101+C101</f>
        <v>1890.7563025210086</v>
      </c>
      <c r="K16" s="611"/>
      <c r="L16" s="614"/>
      <c r="M16" s="615">
        <f>C16*$C$21+E16*$E$21+H16*$H$21+I16*$I$21+J16*$J$21+D16*$D$21+F16*$F$21+G16*$G$21+K16*$K$21+L16*$L$21</f>
        <v>13.444033613445381</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1663.7142857142858</v>
      </c>
      <c r="C19" s="593">
        <f>SUM(C16:C18)</f>
        <v>66.554621848739501</v>
      </c>
      <c r="D19" s="593">
        <f t="shared" ref="D19:M19" si="1">SUM(D16:D18)</f>
        <v>0</v>
      </c>
      <c r="E19" s="593">
        <f t="shared" si="1"/>
        <v>0</v>
      </c>
      <c r="F19" s="593">
        <f t="shared" si="1"/>
        <v>0</v>
      </c>
      <c r="G19" s="593">
        <f t="shared" si="1"/>
        <v>0</v>
      </c>
      <c r="H19" s="593">
        <f t="shared" si="1"/>
        <v>0</v>
      </c>
      <c r="I19" s="593">
        <f t="shared" si="1"/>
        <v>0</v>
      </c>
      <c r="J19" s="593">
        <f t="shared" si="1"/>
        <v>1890.7563025210086</v>
      </c>
      <c r="K19" s="593">
        <f t="shared" si="1"/>
        <v>0</v>
      </c>
      <c r="L19" s="593">
        <f t="shared" si="1"/>
        <v>0</v>
      </c>
      <c r="M19" s="620">
        <f t="shared" si="1"/>
        <v>13.444033613445381</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73001</v>
      </c>
      <c r="C27" s="851">
        <v>3570</v>
      </c>
      <c r="D27" s="672" t="s">
        <v>844</v>
      </c>
      <c r="E27" s="671" t="s">
        <v>845</v>
      </c>
      <c r="F27" s="671" t="s">
        <v>846</v>
      </c>
      <c r="G27" s="671" t="s">
        <v>847</v>
      </c>
      <c r="H27" s="671" t="s">
        <v>848</v>
      </c>
      <c r="I27" s="671" t="s">
        <v>849</v>
      </c>
      <c r="J27" s="850">
        <v>40284</v>
      </c>
      <c r="K27" s="850">
        <v>40284</v>
      </c>
      <c r="L27" s="671" t="s">
        <v>850</v>
      </c>
      <c r="M27" s="671">
        <v>250</v>
      </c>
      <c r="N27" s="671">
        <v>1125</v>
      </c>
      <c r="O27" s="671">
        <v>1607.1428571428571</v>
      </c>
      <c r="P27" s="671">
        <v>0</v>
      </c>
      <c r="Q27" s="671">
        <v>3214.2857142857147</v>
      </c>
      <c r="R27" s="671">
        <v>0</v>
      </c>
      <c r="S27" s="671">
        <v>0</v>
      </c>
      <c r="T27" s="671">
        <v>0</v>
      </c>
      <c r="U27" s="671">
        <v>0</v>
      </c>
      <c r="V27" s="671">
        <v>0</v>
      </c>
      <c r="W27" s="671">
        <v>0</v>
      </c>
      <c r="X27" s="671">
        <v>500</v>
      </c>
      <c r="Y27" s="671" t="s">
        <v>41</v>
      </c>
      <c r="Z27" s="673" t="s">
        <v>389</v>
      </c>
    </row>
    <row r="28" spans="1:26" s="625" customFormat="1" ht="25.5">
      <c r="A28" s="624"/>
      <c r="B28" s="851">
        <v>73001</v>
      </c>
      <c r="C28" s="851">
        <v>3570</v>
      </c>
      <c r="D28" s="672" t="s">
        <v>851</v>
      </c>
      <c r="E28" s="671" t="s">
        <v>852</v>
      </c>
      <c r="F28" s="671" t="s">
        <v>853</v>
      </c>
      <c r="G28" s="671" t="s">
        <v>847</v>
      </c>
      <c r="H28" s="671" t="s">
        <v>848</v>
      </c>
      <c r="I28" s="671" t="s">
        <v>852</v>
      </c>
      <c r="J28" s="850">
        <v>40731</v>
      </c>
      <c r="K28" s="850">
        <v>41153</v>
      </c>
      <c r="L28" s="671" t="s">
        <v>850</v>
      </c>
      <c r="M28" s="671">
        <v>8.8000000000000007</v>
      </c>
      <c r="N28" s="671">
        <v>39.6</v>
      </c>
      <c r="O28" s="671">
        <v>56.571428571428577</v>
      </c>
      <c r="P28" s="671">
        <v>113.14285714285715</v>
      </c>
      <c r="Q28" s="671">
        <v>0</v>
      </c>
      <c r="R28" s="671">
        <v>0</v>
      </c>
      <c r="S28" s="671">
        <v>0</v>
      </c>
      <c r="T28" s="671">
        <v>0</v>
      </c>
      <c r="U28" s="671">
        <v>0</v>
      </c>
      <c r="V28" s="671">
        <v>0</v>
      </c>
      <c r="W28" s="671">
        <v>0</v>
      </c>
      <c r="X28" s="671">
        <v>1300</v>
      </c>
      <c r="Y28" s="671" t="s">
        <v>54</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258.8</v>
      </c>
      <c r="N57" s="629">
        <f>SUM(N27:N56)</f>
        <v>1164.5999999999999</v>
      </c>
      <c r="O57" s="629">
        <f t="shared" ref="O57:W57" si="2">SUM(O27:O56)</f>
        <v>1663.7142857142858</v>
      </c>
      <c r="P57" s="629">
        <f t="shared" si="2"/>
        <v>113.14285714285715</v>
      </c>
      <c r="Q57" s="629">
        <f t="shared" si="2"/>
        <v>3214.2857142857147</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250</v>
      </c>
      <c r="N58" s="629">
        <f t="shared" ref="N58:W58" si="3">SUMIF($Z$27:$Z$56,"industrie",N27:N56)</f>
        <v>1125</v>
      </c>
      <c r="O58" s="629">
        <f t="shared" si="3"/>
        <v>1607.1428571428571</v>
      </c>
      <c r="P58" s="629">
        <f t="shared" si="3"/>
        <v>0</v>
      </c>
      <c r="Q58" s="629">
        <f t="shared" si="3"/>
        <v>3214.2857142857147</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8.8000000000000007</v>
      </c>
      <c r="N59" s="629">
        <f ca="1">SUMIF($Z$27:AB56,"tertiair",N27:N56)</f>
        <v>39.6</v>
      </c>
      <c r="O59" s="629">
        <f ca="1">SUMIF($Z$27:AC56,"tertiair",O27:O56)</f>
        <v>56.571428571428577</v>
      </c>
      <c r="P59" s="629">
        <f ca="1">SUMIF($Z$27:AD56,"tertiair",P27:P56)</f>
        <v>113.14285714285715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46.588235294117652</v>
      </c>
      <c r="C100" s="663">
        <f t="shared" si="9"/>
        <v>1323.5294117647061</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66.554621848739501</v>
      </c>
      <c r="C101" s="666">
        <f t="shared" ref="C101:H101" si="10">$B$97*Q57</f>
        <v>1890.7563025210086</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10363.469206000002</v>
      </c>
      <c r="D10" s="718">
        <f ca="1">tertiair!C16</f>
        <v>56.571428571428577</v>
      </c>
      <c r="E10" s="718">
        <f ca="1">tertiair!D16</f>
        <v>9525.6428153731431</v>
      </c>
      <c r="F10" s="718">
        <f>tertiair!E16</f>
        <v>141.3367242480191</v>
      </c>
      <c r="G10" s="718">
        <f ca="1">tertiair!F16</f>
        <v>1772.1508900537729</v>
      </c>
      <c r="H10" s="718">
        <f>tertiair!G16</f>
        <v>0</v>
      </c>
      <c r="I10" s="718">
        <f>tertiair!H16</f>
        <v>0</v>
      </c>
      <c r="J10" s="718">
        <f>tertiair!I16</f>
        <v>0</v>
      </c>
      <c r="K10" s="718">
        <f>tertiair!J16</f>
        <v>3.7898016998407551E-2</v>
      </c>
      <c r="L10" s="718">
        <f>tertiair!K16</f>
        <v>0</v>
      </c>
      <c r="M10" s="718">
        <f ca="1">tertiair!L16</f>
        <v>0</v>
      </c>
      <c r="N10" s="718">
        <f>tertiair!M16</f>
        <v>0</v>
      </c>
      <c r="O10" s="718">
        <f ca="1">tertiair!N16</f>
        <v>1501.6931146405107</v>
      </c>
      <c r="P10" s="718">
        <f>tertiair!O16</f>
        <v>3.1266666666666669</v>
      </c>
      <c r="Q10" s="719">
        <f>tertiair!P16</f>
        <v>38.133333333333333</v>
      </c>
      <c r="R10" s="721">
        <f ca="1">SUM(C10:Q10)</f>
        <v>23402.162076903882</v>
      </c>
      <c r="S10" s="67"/>
    </row>
    <row r="11" spans="1:19" s="474" customFormat="1">
      <c r="A11" s="870" t="s">
        <v>225</v>
      </c>
      <c r="B11" s="875"/>
      <c r="C11" s="718">
        <f>huishoudens!B8</f>
        <v>20245.487769120307</v>
      </c>
      <c r="D11" s="718">
        <f>huishoudens!C8</f>
        <v>0</v>
      </c>
      <c r="E11" s="718">
        <f>huishoudens!D8</f>
        <v>28106.4696869</v>
      </c>
      <c r="F11" s="718">
        <f>huishoudens!E8</f>
        <v>1462.0075477028251</v>
      </c>
      <c r="G11" s="718">
        <f>huishoudens!F8</f>
        <v>50520.991380875035</v>
      </c>
      <c r="H11" s="718">
        <f>huishoudens!G8</f>
        <v>0</v>
      </c>
      <c r="I11" s="718">
        <f>huishoudens!H8</f>
        <v>0</v>
      </c>
      <c r="J11" s="718">
        <f>huishoudens!I8</f>
        <v>0</v>
      </c>
      <c r="K11" s="718">
        <f>huishoudens!J8</f>
        <v>0</v>
      </c>
      <c r="L11" s="718">
        <f>huishoudens!K8</f>
        <v>0</v>
      </c>
      <c r="M11" s="718">
        <f>huishoudens!L8</f>
        <v>0</v>
      </c>
      <c r="N11" s="718">
        <f>huishoudens!M8</f>
        <v>0</v>
      </c>
      <c r="O11" s="718">
        <f>huishoudens!N8</f>
        <v>8015.2333538984658</v>
      </c>
      <c r="P11" s="718">
        <f>huishoudens!O8</f>
        <v>340.80666666666667</v>
      </c>
      <c r="Q11" s="719">
        <f>huishoudens!P8</f>
        <v>915.2</v>
      </c>
      <c r="R11" s="721">
        <f>SUM(C11:Q11)</f>
        <v>109606.1964051633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41151.796907999997</v>
      </c>
      <c r="D13" s="718">
        <f>industrie!C18</f>
        <v>1607.1428571428571</v>
      </c>
      <c r="E13" s="718">
        <f>industrie!D18</f>
        <v>42418.000468316</v>
      </c>
      <c r="F13" s="718">
        <f>industrie!E18</f>
        <v>8349.3626741577609</v>
      </c>
      <c r="G13" s="718">
        <f>industrie!F18</f>
        <v>23687.109605402264</v>
      </c>
      <c r="H13" s="718">
        <f>industrie!G18</f>
        <v>0</v>
      </c>
      <c r="I13" s="718">
        <f>industrie!H18</f>
        <v>0</v>
      </c>
      <c r="J13" s="718">
        <f>industrie!I18</f>
        <v>0</v>
      </c>
      <c r="K13" s="718">
        <f>industrie!J18</f>
        <v>0.47641706483133051</v>
      </c>
      <c r="L13" s="718">
        <f>industrie!K18</f>
        <v>0</v>
      </c>
      <c r="M13" s="718">
        <f>industrie!L18</f>
        <v>0</v>
      </c>
      <c r="N13" s="718">
        <f>industrie!M18</f>
        <v>0</v>
      </c>
      <c r="O13" s="718">
        <f>industrie!N18</f>
        <v>7010.9571894441733</v>
      </c>
      <c r="P13" s="718">
        <f>industrie!O18</f>
        <v>0</v>
      </c>
      <c r="Q13" s="719">
        <f>industrie!P18</f>
        <v>0</v>
      </c>
      <c r="R13" s="721">
        <f>SUM(C13:Q13)</f>
        <v>124224.84611952788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71760.753883120313</v>
      </c>
      <c r="D15" s="723">
        <f t="shared" ref="D15:Q15" ca="1" si="0">SUM(D9:D14)</f>
        <v>1663.7142857142858</v>
      </c>
      <c r="E15" s="723">
        <f t="shared" ca="1" si="0"/>
        <v>80050.112970589136</v>
      </c>
      <c r="F15" s="723">
        <f t="shared" si="0"/>
        <v>9952.7069461086048</v>
      </c>
      <c r="G15" s="723">
        <f t="shared" ca="1" si="0"/>
        <v>75980.25187633108</v>
      </c>
      <c r="H15" s="723">
        <f t="shared" si="0"/>
        <v>0</v>
      </c>
      <c r="I15" s="723">
        <f t="shared" si="0"/>
        <v>0</v>
      </c>
      <c r="J15" s="723">
        <f t="shared" si="0"/>
        <v>0</v>
      </c>
      <c r="K15" s="723">
        <f t="shared" si="0"/>
        <v>0.51431508182973806</v>
      </c>
      <c r="L15" s="723">
        <f t="shared" si="0"/>
        <v>0</v>
      </c>
      <c r="M15" s="723">
        <f t="shared" ca="1" si="0"/>
        <v>0</v>
      </c>
      <c r="N15" s="723">
        <f t="shared" si="0"/>
        <v>0</v>
      </c>
      <c r="O15" s="723">
        <f t="shared" ca="1" si="0"/>
        <v>16527.883657983151</v>
      </c>
      <c r="P15" s="723">
        <f t="shared" si="0"/>
        <v>343.93333333333334</v>
      </c>
      <c r="Q15" s="724">
        <f t="shared" si="0"/>
        <v>953.33333333333337</v>
      </c>
      <c r="R15" s="725">
        <f ca="1">SUM(R9:R14)</f>
        <v>257233.20460159506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712.55592905537799</v>
      </c>
      <c r="I18" s="718">
        <f>transport!H54</f>
        <v>0</v>
      </c>
      <c r="J18" s="718">
        <f>transport!I54</f>
        <v>0</v>
      </c>
      <c r="K18" s="718">
        <f>transport!J54</f>
        <v>0</v>
      </c>
      <c r="L18" s="718">
        <f>transport!K54</f>
        <v>0</v>
      </c>
      <c r="M18" s="718">
        <f>transport!L54</f>
        <v>0</v>
      </c>
      <c r="N18" s="718">
        <f>transport!M54</f>
        <v>40.470031137768373</v>
      </c>
      <c r="O18" s="718">
        <f>transport!N54</f>
        <v>0</v>
      </c>
      <c r="P18" s="718">
        <f>transport!O54</f>
        <v>0</v>
      </c>
      <c r="Q18" s="719">
        <f>transport!P54</f>
        <v>0</v>
      </c>
      <c r="R18" s="721">
        <f>SUM(C18:Q18)</f>
        <v>753.02596019314637</v>
      </c>
      <c r="S18" s="67"/>
    </row>
    <row r="19" spans="1:19" s="474" customFormat="1" ht="15" thickBot="1">
      <c r="A19" s="870" t="s">
        <v>307</v>
      </c>
      <c r="B19" s="875"/>
      <c r="C19" s="727">
        <f>transport!B14</f>
        <v>32.486521764315768</v>
      </c>
      <c r="D19" s="727">
        <f>transport!C14</f>
        <v>0</v>
      </c>
      <c r="E19" s="727">
        <f>transport!D14</f>
        <v>110.33188642588188</v>
      </c>
      <c r="F19" s="727">
        <f>transport!E14</f>
        <v>147.75551490518808</v>
      </c>
      <c r="G19" s="727">
        <f>transport!F14</f>
        <v>0</v>
      </c>
      <c r="H19" s="727">
        <f>transport!G14</f>
        <v>54863.922196924272</v>
      </c>
      <c r="I19" s="727">
        <f>transport!H14</f>
        <v>12457.513935312423</v>
      </c>
      <c r="J19" s="727">
        <f>transport!I14</f>
        <v>0</v>
      </c>
      <c r="K19" s="727">
        <f>transport!J14</f>
        <v>0</v>
      </c>
      <c r="L19" s="727">
        <f>transport!K14</f>
        <v>0</v>
      </c>
      <c r="M19" s="727">
        <f>transport!L14</f>
        <v>0</v>
      </c>
      <c r="N19" s="727">
        <f>transport!M14</f>
        <v>3575.1862618623886</v>
      </c>
      <c r="O19" s="727">
        <f>transport!N14</f>
        <v>0</v>
      </c>
      <c r="P19" s="727">
        <f>transport!O14</f>
        <v>0</v>
      </c>
      <c r="Q19" s="728">
        <f>transport!P14</f>
        <v>0</v>
      </c>
      <c r="R19" s="729">
        <f>SUM(C19:Q19)</f>
        <v>71187.196317194466</v>
      </c>
      <c r="S19" s="67"/>
    </row>
    <row r="20" spans="1:19" s="474" customFormat="1" ht="15.75" thickBot="1">
      <c r="A20" s="730" t="s">
        <v>230</v>
      </c>
      <c r="B20" s="878"/>
      <c r="C20" s="873">
        <f>SUM(C17:C19)</f>
        <v>32.486521764315768</v>
      </c>
      <c r="D20" s="731">
        <f t="shared" ref="D20:R20" si="1">SUM(D17:D19)</f>
        <v>0</v>
      </c>
      <c r="E20" s="731">
        <f t="shared" si="1"/>
        <v>110.33188642588188</v>
      </c>
      <c r="F20" s="731">
        <f t="shared" si="1"/>
        <v>147.75551490518808</v>
      </c>
      <c r="G20" s="731">
        <f t="shared" si="1"/>
        <v>0</v>
      </c>
      <c r="H20" s="731">
        <f t="shared" si="1"/>
        <v>55576.478125979651</v>
      </c>
      <c r="I20" s="731">
        <f t="shared" si="1"/>
        <v>12457.513935312423</v>
      </c>
      <c r="J20" s="731">
        <f t="shared" si="1"/>
        <v>0</v>
      </c>
      <c r="K20" s="731">
        <f t="shared" si="1"/>
        <v>0</v>
      </c>
      <c r="L20" s="731">
        <f t="shared" si="1"/>
        <v>0</v>
      </c>
      <c r="M20" s="731">
        <f t="shared" si="1"/>
        <v>0</v>
      </c>
      <c r="N20" s="731">
        <f t="shared" si="1"/>
        <v>3615.6562930001569</v>
      </c>
      <c r="O20" s="731">
        <f t="shared" si="1"/>
        <v>0</v>
      </c>
      <c r="P20" s="731">
        <f t="shared" si="1"/>
        <v>0</v>
      </c>
      <c r="Q20" s="732">
        <f t="shared" si="1"/>
        <v>0</v>
      </c>
      <c r="R20" s="733">
        <f t="shared" si="1"/>
        <v>71940.222277387613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1768.23161</v>
      </c>
      <c r="D22" s="727">
        <f>+landbouw!C8</f>
        <v>0</v>
      </c>
      <c r="E22" s="727">
        <f>+landbouw!D8</f>
        <v>754.57730040000001</v>
      </c>
      <c r="F22" s="727">
        <f>+landbouw!E8</f>
        <v>51.973727820605681</v>
      </c>
      <c r="G22" s="727">
        <f>+landbouw!F8</f>
        <v>7366.3573370390041</v>
      </c>
      <c r="H22" s="727">
        <f>+landbouw!G8</f>
        <v>0</v>
      </c>
      <c r="I22" s="727">
        <f>+landbouw!H8</f>
        <v>0</v>
      </c>
      <c r="J22" s="727">
        <f>+landbouw!I8</f>
        <v>0</v>
      </c>
      <c r="K22" s="727">
        <f>+landbouw!J8</f>
        <v>256.17878708050023</v>
      </c>
      <c r="L22" s="727">
        <f>+landbouw!K8</f>
        <v>0</v>
      </c>
      <c r="M22" s="727">
        <f>+landbouw!L8</f>
        <v>0</v>
      </c>
      <c r="N22" s="727">
        <f>+landbouw!M8</f>
        <v>0</v>
      </c>
      <c r="O22" s="727">
        <f>+landbouw!N8</f>
        <v>0</v>
      </c>
      <c r="P22" s="727">
        <f>+landbouw!O8</f>
        <v>0</v>
      </c>
      <c r="Q22" s="728">
        <f>+landbouw!P8</f>
        <v>0</v>
      </c>
      <c r="R22" s="729">
        <f>SUM(C22:Q22)</f>
        <v>10197.31876234011</v>
      </c>
      <c r="S22" s="67"/>
    </row>
    <row r="23" spans="1:19" s="474" customFormat="1" ht="17.25" thickTop="1" thickBot="1">
      <c r="A23" s="734" t="s">
        <v>116</v>
      </c>
      <c r="B23" s="864"/>
      <c r="C23" s="735">
        <f ca="1">C20+C15+C22</f>
        <v>73561.472014884625</v>
      </c>
      <c r="D23" s="735">
        <f t="shared" ref="D23:Q23" ca="1" si="2">D20+D15+D22</f>
        <v>1663.7142857142858</v>
      </c>
      <c r="E23" s="735">
        <f t="shared" ca="1" si="2"/>
        <v>80915.022157415005</v>
      </c>
      <c r="F23" s="735">
        <f t="shared" si="2"/>
        <v>10152.436188834397</v>
      </c>
      <c r="G23" s="735">
        <f t="shared" ca="1" si="2"/>
        <v>83346.609213370088</v>
      </c>
      <c r="H23" s="735">
        <f t="shared" si="2"/>
        <v>55576.478125979651</v>
      </c>
      <c r="I23" s="735">
        <f t="shared" si="2"/>
        <v>12457.513935312423</v>
      </c>
      <c r="J23" s="735">
        <f t="shared" si="2"/>
        <v>0</v>
      </c>
      <c r="K23" s="735">
        <f t="shared" si="2"/>
        <v>256.69310216232998</v>
      </c>
      <c r="L23" s="735">
        <f t="shared" si="2"/>
        <v>0</v>
      </c>
      <c r="M23" s="735">
        <f t="shared" ca="1" si="2"/>
        <v>0</v>
      </c>
      <c r="N23" s="735">
        <f t="shared" si="2"/>
        <v>3615.6562930001569</v>
      </c>
      <c r="O23" s="735">
        <f t="shared" ca="1" si="2"/>
        <v>16527.883657983151</v>
      </c>
      <c r="P23" s="735">
        <f t="shared" si="2"/>
        <v>343.93333333333334</v>
      </c>
      <c r="Q23" s="736">
        <f t="shared" si="2"/>
        <v>953.33333333333337</v>
      </c>
      <c r="R23" s="737">
        <f ca="1">R20+R15+R22</f>
        <v>339370.74564132281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2036.3058462184856</v>
      </c>
      <c r="D36" s="718">
        <f ca="1">tertiair!C20</f>
        <v>0.45713870092086301</v>
      </c>
      <c r="E36" s="718">
        <f ca="1">tertiair!D20</f>
        <v>1924.179848705375</v>
      </c>
      <c r="F36" s="718">
        <f>tertiair!E20</f>
        <v>32.083436404300336</v>
      </c>
      <c r="G36" s="718">
        <f ca="1">tertiair!F20</f>
        <v>473.16428764435739</v>
      </c>
      <c r="H36" s="718">
        <f>tertiair!G20</f>
        <v>0</v>
      </c>
      <c r="I36" s="718">
        <f>tertiair!H20</f>
        <v>0</v>
      </c>
      <c r="J36" s="718">
        <f>tertiair!I20</f>
        <v>0</v>
      </c>
      <c r="K36" s="718">
        <f>tertiair!J20</f>
        <v>1.3415898017436272E-2</v>
      </c>
      <c r="L36" s="718">
        <f>tertiair!K20</f>
        <v>0</v>
      </c>
      <c r="M36" s="718">
        <f ca="1">tertiair!L20</f>
        <v>0</v>
      </c>
      <c r="N36" s="718">
        <f>tertiair!M20</f>
        <v>0</v>
      </c>
      <c r="O36" s="718">
        <f ca="1">tertiair!N20</f>
        <v>0</v>
      </c>
      <c r="P36" s="718">
        <f>tertiair!O20</f>
        <v>0</v>
      </c>
      <c r="Q36" s="828">
        <f>tertiair!P20</f>
        <v>0</v>
      </c>
      <c r="R36" s="917">
        <f ca="1">SUM(C36:Q36)</f>
        <v>4466.2039735714561</v>
      </c>
    </row>
    <row r="37" spans="1:18">
      <c r="A37" s="885" t="s">
        <v>225</v>
      </c>
      <c r="B37" s="892"/>
      <c r="C37" s="718">
        <f ca="1">huishoudens!B12</f>
        <v>3978.0120232263976</v>
      </c>
      <c r="D37" s="718">
        <f ca="1">huishoudens!C12</f>
        <v>0</v>
      </c>
      <c r="E37" s="718">
        <f>huishoudens!D12</f>
        <v>5677.5068767538005</v>
      </c>
      <c r="F37" s="718">
        <f>huishoudens!E12</f>
        <v>331.87571332854134</v>
      </c>
      <c r="G37" s="718">
        <f>huishoudens!F12</f>
        <v>13489.104698693634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23476.499312002372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8085.8680583178639</v>
      </c>
      <c r="D39" s="718">
        <f ca="1">industrie!C22</f>
        <v>12.986894912524516</v>
      </c>
      <c r="E39" s="718">
        <f>industrie!D22</f>
        <v>8568.4360945998324</v>
      </c>
      <c r="F39" s="718">
        <f>industrie!E22</f>
        <v>1895.3053270338119</v>
      </c>
      <c r="G39" s="718">
        <f>industrie!F22</f>
        <v>6324.4582646424051</v>
      </c>
      <c r="H39" s="718">
        <f>industrie!G22</f>
        <v>0</v>
      </c>
      <c r="I39" s="718">
        <f>industrie!H22</f>
        <v>0</v>
      </c>
      <c r="J39" s="718">
        <f>industrie!I22</f>
        <v>0</v>
      </c>
      <c r="K39" s="718">
        <f>industrie!J22</f>
        <v>0.16865164095029098</v>
      </c>
      <c r="L39" s="718">
        <f>industrie!K22</f>
        <v>0</v>
      </c>
      <c r="M39" s="718">
        <f>industrie!L22</f>
        <v>0</v>
      </c>
      <c r="N39" s="718">
        <f>industrie!M22</f>
        <v>0</v>
      </c>
      <c r="O39" s="718">
        <f>industrie!N22</f>
        <v>0</v>
      </c>
      <c r="P39" s="718">
        <f>industrie!O22</f>
        <v>0</v>
      </c>
      <c r="Q39" s="828">
        <f>industrie!P22</f>
        <v>0</v>
      </c>
      <c r="R39" s="918">
        <f ca="1">SUM(C39:Q39)</f>
        <v>24887.223291147391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14100.185927762748</v>
      </c>
      <c r="D41" s="763">
        <f t="shared" ref="D41:R41" ca="1" si="4">SUM(D35:D40)</f>
        <v>13.444033613445379</v>
      </c>
      <c r="E41" s="763">
        <f t="shared" ca="1" si="4"/>
        <v>16170.122820059009</v>
      </c>
      <c r="F41" s="763">
        <f t="shared" si="4"/>
        <v>2259.2644767666534</v>
      </c>
      <c r="G41" s="763">
        <f t="shared" ca="1" si="4"/>
        <v>20286.727250980395</v>
      </c>
      <c r="H41" s="763">
        <f t="shared" si="4"/>
        <v>0</v>
      </c>
      <c r="I41" s="763">
        <f t="shared" si="4"/>
        <v>0</v>
      </c>
      <c r="J41" s="763">
        <f t="shared" si="4"/>
        <v>0</v>
      </c>
      <c r="K41" s="763">
        <f t="shared" si="4"/>
        <v>0.18206753896772726</v>
      </c>
      <c r="L41" s="763">
        <f t="shared" si="4"/>
        <v>0</v>
      </c>
      <c r="M41" s="763">
        <f t="shared" ca="1" si="4"/>
        <v>0</v>
      </c>
      <c r="N41" s="763">
        <f t="shared" si="4"/>
        <v>0</v>
      </c>
      <c r="O41" s="763">
        <f t="shared" ca="1" si="4"/>
        <v>0</v>
      </c>
      <c r="P41" s="763">
        <f t="shared" si="4"/>
        <v>0</v>
      </c>
      <c r="Q41" s="764">
        <f t="shared" si="4"/>
        <v>0</v>
      </c>
      <c r="R41" s="765">
        <f t="shared" ca="1" si="4"/>
        <v>52829.92657672122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190.25243305778594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190.25243305778594</v>
      </c>
    </row>
    <row r="45" spans="1:18" ht="15" thickBot="1">
      <c r="A45" s="888" t="s">
        <v>307</v>
      </c>
      <c r="B45" s="898"/>
      <c r="C45" s="727">
        <f ca="1">transport!B18</f>
        <v>6.383238361308667</v>
      </c>
      <c r="D45" s="727">
        <f>transport!C18</f>
        <v>0</v>
      </c>
      <c r="E45" s="727">
        <f>transport!D18</f>
        <v>22.287041058028141</v>
      </c>
      <c r="F45" s="727">
        <f>transport!E18</f>
        <v>33.540501883477695</v>
      </c>
      <c r="G45" s="727">
        <f>transport!F18</f>
        <v>0</v>
      </c>
      <c r="H45" s="727">
        <f>transport!G18</f>
        <v>14648.667226578782</v>
      </c>
      <c r="I45" s="727">
        <f>transport!H18</f>
        <v>3101.9209698927934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17812.79897777439</v>
      </c>
    </row>
    <row r="46" spans="1:18" ht="15.75" thickBot="1">
      <c r="A46" s="886" t="s">
        <v>230</v>
      </c>
      <c r="B46" s="899"/>
      <c r="C46" s="763">
        <f t="shared" ref="C46:R46" ca="1" si="5">SUM(C43:C45)</f>
        <v>6.383238361308667</v>
      </c>
      <c r="D46" s="763">
        <f t="shared" ca="1" si="5"/>
        <v>0</v>
      </c>
      <c r="E46" s="763">
        <f t="shared" si="5"/>
        <v>22.287041058028141</v>
      </c>
      <c r="F46" s="763">
        <f t="shared" si="5"/>
        <v>33.540501883477695</v>
      </c>
      <c r="G46" s="763">
        <f t="shared" si="5"/>
        <v>0</v>
      </c>
      <c r="H46" s="763">
        <f t="shared" si="5"/>
        <v>14838.919659636567</v>
      </c>
      <c r="I46" s="763">
        <f t="shared" si="5"/>
        <v>3101.9209698927934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18003.051410832177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347.43774438261454</v>
      </c>
      <c r="D48" s="718">
        <f ca="1">+landbouw!C12</f>
        <v>0</v>
      </c>
      <c r="E48" s="718">
        <f>+landbouw!D12</f>
        <v>152.4246146808</v>
      </c>
      <c r="F48" s="718">
        <f>+landbouw!E12</f>
        <v>11.79803621527749</v>
      </c>
      <c r="G48" s="718">
        <f>+landbouw!F12</f>
        <v>1966.8174089894142</v>
      </c>
      <c r="H48" s="718">
        <f>+landbouw!G12</f>
        <v>0</v>
      </c>
      <c r="I48" s="718">
        <f>+landbouw!H12</f>
        <v>0</v>
      </c>
      <c r="J48" s="718">
        <f>+landbouw!I12</f>
        <v>0</v>
      </c>
      <c r="K48" s="718">
        <f>+landbouw!J12</f>
        <v>90.687290626497074</v>
      </c>
      <c r="L48" s="718">
        <f>+landbouw!K12</f>
        <v>0</v>
      </c>
      <c r="M48" s="718">
        <f>+landbouw!L12</f>
        <v>0</v>
      </c>
      <c r="N48" s="718">
        <f>+landbouw!M12</f>
        <v>0</v>
      </c>
      <c r="O48" s="718">
        <f>+landbouw!N12</f>
        <v>0</v>
      </c>
      <c r="P48" s="718">
        <f>+landbouw!O12</f>
        <v>0</v>
      </c>
      <c r="Q48" s="719">
        <f>+landbouw!P12</f>
        <v>0</v>
      </c>
      <c r="R48" s="761">
        <f ca="1">SUM(C48:Q48)</f>
        <v>2569.1650948946035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14454.00691050667</v>
      </c>
      <c r="D53" s="773">
        <f t="shared" ref="D53:Q53" ca="1" si="6">D41+D46+D48</f>
        <v>13.444033613445379</v>
      </c>
      <c r="E53" s="773">
        <f t="shared" ca="1" si="6"/>
        <v>16344.834475797838</v>
      </c>
      <c r="F53" s="773">
        <f t="shared" si="6"/>
        <v>2304.6030148654086</v>
      </c>
      <c r="G53" s="773">
        <f t="shared" ca="1" si="6"/>
        <v>22253.544659969808</v>
      </c>
      <c r="H53" s="773">
        <f t="shared" si="6"/>
        <v>14838.919659636567</v>
      </c>
      <c r="I53" s="773">
        <f t="shared" si="6"/>
        <v>3101.9209698927934</v>
      </c>
      <c r="J53" s="773">
        <f t="shared" si="6"/>
        <v>0</v>
      </c>
      <c r="K53" s="773">
        <f t="shared" si="6"/>
        <v>90.869358165464803</v>
      </c>
      <c r="L53" s="773">
        <f t="shared" si="6"/>
        <v>0</v>
      </c>
      <c r="M53" s="773">
        <f t="shared" ca="1" si="6"/>
        <v>0</v>
      </c>
      <c r="N53" s="773">
        <f t="shared" si="6"/>
        <v>0</v>
      </c>
      <c r="O53" s="773">
        <f t="shared" ca="1" si="6"/>
        <v>0</v>
      </c>
      <c r="P53" s="773">
        <f>P41+P46+P48</f>
        <v>0</v>
      </c>
      <c r="Q53" s="774">
        <f t="shared" si="6"/>
        <v>0</v>
      </c>
      <c r="R53" s="775">
        <f ca="1">R41+R46+R48</f>
        <v>73402.143082448005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0.19648882104455453</v>
      </c>
      <c r="D55" s="836">
        <f t="shared" ca="1" si="7"/>
        <v>8.0807346122374769E-3</v>
      </c>
      <c r="E55" s="836">
        <f t="shared" ca="1" si="7"/>
        <v>0.20200000000000007</v>
      </c>
      <c r="F55" s="836">
        <f t="shared" si="7"/>
        <v>0.22700000000000004</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7036.7087253947611</v>
      </c>
      <c r="C66" s="795">
        <f>'lokale energieproductie'!B6</f>
        <v>7036.7087253947611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1164.5999999999999</v>
      </c>
      <c r="C67" s="794">
        <f>B67*IFERROR(SUM(J67:L67)/SUM(D67:M67),0)</f>
        <v>1125</v>
      </c>
      <c r="D67" s="826">
        <f>'lokale energieproductie'!C7</f>
        <v>46.588235294117652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1323.5294117647061</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9.4108235294117666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8201.3087253947615</v>
      </c>
      <c r="C69" s="803">
        <f>SUM(C64:C68)</f>
        <v>8161.7087253947611</v>
      </c>
      <c r="D69" s="804">
        <f t="shared" ref="D69:M69" si="8">SUM(D67:D68)</f>
        <v>46.588235294117652</v>
      </c>
      <c r="E69" s="804">
        <f t="shared" si="8"/>
        <v>0</v>
      </c>
      <c r="F69" s="804">
        <f t="shared" si="8"/>
        <v>0</v>
      </c>
      <c r="G69" s="804">
        <f t="shared" si="8"/>
        <v>0</v>
      </c>
      <c r="H69" s="804">
        <f t="shared" si="8"/>
        <v>0</v>
      </c>
      <c r="I69" s="804">
        <f t="shared" si="8"/>
        <v>0</v>
      </c>
      <c r="J69" s="804">
        <f t="shared" si="8"/>
        <v>0</v>
      </c>
      <c r="K69" s="804">
        <f t="shared" si="8"/>
        <v>1323.5294117647061</v>
      </c>
      <c r="L69" s="804">
        <f t="shared" si="8"/>
        <v>0</v>
      </c>
      <c r="M69" s="930">
        <f t="shared" si="8"/>
        <v>0</v>
      </c>
      <c r="N69" s="805">
        <v>0</v>
      </c>
      <c r="O69" s="805">
        <f>SUM(O67:O68)</f>
        <v>9.4108235294117666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1663.7142857142858</v>
      </c>
      <c r="C78" s="817">
        <f>B78*IFERROR(SUM(I78:L78)/SUM(D78:M78),0)</f>
        <v>1607.1428571428571</v>
      </c>
      <c r="D78" s="832">
        <f>'lokale energieproductie'!C16</f>
        <v>66.554621848739501</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1890.7563025210086</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13.444033613445381</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1663.7142857142858</v>
      </c>
      <c r="C81" s="803">
        <f>SUM(C78:C80)</f>
        <v>1607.1428571428571</v>
      </c>
      <c r="D81" s="803">
        <f t="shared" ref="D81:P81" si="9">SUM(D78:D80)</f>
        <v>66.554621848739501</v>
      </c>
      <c r="E81" s="803">
        <f t="shared" si="9"/>
        <v>0</v>
      </c>
      <c r="F81" s="803">
        <f t="shared" si="9"/>
        <v>0</v>
      </c>
      <c r="G81" s="803">
        <f t="shared" si="9"/>
        <v>0</v>
      </c>
      <c r="H81" s="803">
        <f t="shared" si="9"/>
        <v>0</v>
      </c>
      <c r="I81" s="803">
        <f t="shared" si="9"/>
        <v>0</v>
      </c>
      <c r="J81" s="803">
        <f t="shared" si="9"/>
        <v>0</v>
      </c>
      <c r="K81" s="803">
        <f t="shared" si="9"/>
        <v>1890.7563025210086</v>
      </c>
      <c r="L81" s="803">
        <f t="shared" si="9"/>
        <v>0</v>
      </c>
      <c r="M81" s="803">
        <f t="shared" si="9"/>
        <v>0</v>
      </c>
      <c r="N81" s="803">
        <v>0</v>
      </c>
      <c r="O81" s="803">
        <f>SUM(O78:O80)</f>
        <v>13.444033613445381</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20245.487769120307</v>
      </c>
      <c r="C4" s="478">
        <f>huishoudens!C8</f>
        <v>0</v>
      </c>
      <c r="D4" s="478">
        <f>huishoudens!D8</f>
        <v>28106.4696869</v>
      </c>
      <c r="E4" s="478">
        <f>huishoudens!E8</f>
        <v>1462.0075477028251</v>
      </c>
      <c r="F4" s="478">
        <f>huishoudens!F8</f>
        <v>50520.991380875035</v>
      </c>
      <c r="G4" s="478">
        <f>huishoudens!G8</f>
        <v>0</v>
      </c>
      <c r="H4" s="478">
        <f>huishoudens!H8</f>
        <v>0</v>
      </c>
      <c r="I4" s="478">
        <f>huishoudens!I8</f>
        <v>0</v>
      </c>
      <c r="J4" s="478">
        <f>huishoudens!J8</f>
        <v>0</v>
      </c>
      <c r="K4" s="478">
        <f>huishoudens!K8</f>
        <v>0</v>
      </c>
      <c r="L4" s="478">
        <f>huishoudens!L8</f>
        <v>0</v>
      </c>
      <c r="M4" s="478">
        <f>huishoudens!M8</f>
        <v>0</v>
      </c>
      <c r="N4" s="478">
        <f>huishoudens!N8</f>
        <v>8015.2333538984658</v>
      </c>
      <c r="O4" s="478">
        <f>huishoudens!O8</f>
        <v>340.80666666666667</v>
      </c>
      <c r="P4" s="479">
        <f>huishoudens!P8</f>
        <v>915.2</v>
      </c>
      <c r="Q4" s="480">
        <f>SUM(B4:P4)</f>
        <v>109606.1964051633</v>
      </c>
    </row>
    <row r="5" spans="1:17">
      <c r="A5" s="477" t="s">
        <v>156</v>
      </c>
      <c r="B5" s="478">
        <f ca="1">tertiair!B16</f>
        <v>9758.6702060000007</v>
      </c>
      <c r="C5" s="478">
        <f ca="1">tertiair!C16</f>
        <v>56.571428571428577</v>
      </c>
      <c r="D5" s="478">
        <f ca="1">tertiair!D16</f>
        <v>9525.6428153731431</v>
      </c>
      <c r="E5" s="478">
        <f>tertiair!E16</f>
        <v>141.3367242480191</v>
      </c>
      <c r="F5" s="478">
        <f ca="1">tertiair!F16</f>
        <v>1772.1508900537729</v>
      </c>
      <c r="G5" s="478">
        <f>tertiair!G16</f>
        <v>0</v>
      </c>
      <c r="H5" s="478">
        <f>tertiair!H16</f>
        <v>0</v>
      </c>
      <c r="I5" s="478">
        <f>tertiair!I16</f>
        <v>0</v>
      </c>
      <c r="J5" s="478">
        <f>tertiair!J16</f>
        <v>3.7898016998407551E-2</v>
      </c>
      <c r="K5" s="478">
        <f>tertiair!K16</f>
        <v>0</v>
      </c>
      <c r="L5" s="478">
        <f ca="1">tertiair!L16</f>
        <v>0</v>
      </c>
      <c r="M5" s="478">
        <f>tertiair!M16</f>
        <v>0</v>
      </c>
      <c r="N5" s="478">
        <f ca="1">tertiair!N16</f>
        <v>1501.6931146405107</v>
      </c>
      <c r="O5" s="478">
        <f>tertiair!O16</f>
        <v>3.1266666666666669</v>
      </c>
      <c r="P5" s="479">
        <f>tertiair!P16</f>
        <v>38.133333333333333</v>
      </c>
      <c r="Q5" s="477">
        <f t="shared" ref="Q5:Q13" ca="1" si="0">SUM(B5:P5)</f>
        <v>22797.363076903879</v>
      </c>
    </row>
    <row r="6" spans="1:17">
      <c r="A6" s="477" t="s">
        <v>194</v>
      </c>
      <c r="B6" s="478">
        <f>'openbare verlichting'!B8</f>
        <v>604.79899999999998</v>
      </c>
      <c r="C6" s="478"/>
      <c r="D6" s="478"/>
      <c r="E6" s="478"/>
      <c r="F6" s="478"/>
      <c r="G6" s="478"/>
      <c r="H6" s="478"/>
      <c r="I6" s="478"/>
      <c r="J6" s="478"/>
      <c r="K6" s="478"/>
      <c r="L6" s="478"/>
      <c r="M6" s="478"/>
      <c r="N6" s="478"/>
      <c r="O6" s="478"/>
      <c r="P6" s="479"/>
      <c r="Q6" s="477">
        <f t="shared" si="0"/>
        <v>604.79899999999998</v>
      </c>
    </row>
    <row r="7" spans="1:17">
      <c r="A7" s="477" t="s">
        <v>112</v>
      </c>
      <c r="B7" s="478">
        <f>landbouw!B8</f>
        <v>1768.23161</v>
      </c>
      <c r="C7" s="478">
        <f>landbouw!C8</f>
        <v>0</v>
      </c>
      <c r="D7" s="478">
        <f>landbouw!D8</f>
        <v>754.57730040000001</v>
      </c>
      <c r="E7" s="478">
        <f>landbouw!E8</f>
        <v>51.973727820605681</v>
      </c>
      <c r="F7" s="478">
        <f>landbouw!F8</f>
        <v>7366.3573370390041</v>
      </c>
      <c r="G7" s="478">
        <f>landbouw!G8</f>
        <v>0</v>
      </c>
      <c r="H7" s="478">
        <f>landbouw!H8</f>
        <v>0</v>
      </c>
      <c r="I7" s="478">
        <f>landbouw!I8</f>
        <v>0</v>
      </c>
      <c r="J7" s="478">
        <f>landbouw!J8</f>
        <v>256.17878708050023</v>
      </c>
      <c r="K7" s="478">
        <f>landbouw!K8</f>
        <v>0</v>
      </c>
      <c r="L7" s="478">
        <f>landbouw!L8</f>
        <v>0</v>
      </c>
      <c r="M7" s="478">
        <f>landbouw!M8</f>
        <v>0</v>
      </c>
      <c r="N7" s="478">
        <f>landbouw!N8</f>
        <v>0</v>
      </c>
      <c r="O7" s="478">
        <f>landbouw!O8</f>
        <v>0</v>
      </c>
      <c r="P7" s="479">
        <f>landbouw!P8</f>
        <v>0</v>
      </c>
      <c r="Q7" s="477">
        <f t="shared" si="0"/>
        <v>10197.31876234011</v>
      </c>
    </row>
    <row r="8" spans="1:17">
      <c r="A8" s="477" t="s">
        <v>635</v>
      </c>
      <c r="B8" s="478">
        <f>industrie!B18</f>
        <v>41151.796907999997</v>
      </c>
      <c r="C8" s="478">
        <f>industrie!C18</f>
        <v>1607.1428571428571</v>
      </c>
      <c r="D8" s="478">
        <f>industrie!D18</f>
        <v>42418.000468316</v>
      </c>
      <c r="E8" s="478">
        <f>industrie!E18</f>
        <v>8349.3626741577609</v>
      </c>
      <c r="F8" s="478">
        <f>industrie!F18</f>
        <v>23687.109605402264</v>
      </c>
      <c r="G8" s="478">
        <f>industrie!G18</f>
        <v>0</v>
      </c>
      <c r="H8" s="478">
        <f>industrie!H18</f>
        <v>0</v>
      </c>
      <c r="I8" s="478">
        <f>industrie!I18</f>
        <v>0</v>
      </c>
      <c r="J8" s="478">
        <f>industrie!J18</f>
        <v>0.47641706483133051</v>
      </c>
      <c r="K8" s="478">
        <f>industrie!K18</f>
        <v>0</v>
      </c>
      <c r="L8" s="478">
        <f>industrie!L18</f>
        <v>0</v>
      </c>
      <c r="M8" s="478">
        <f>industrie!M18</f>
        <v>0</v>
      </c>
      <c r="N8" s="478">
        <f>industrie!N18</f>
        <v>7010.9571894441733</v>
      </c>
      <c r="O8" s="478">
        <f>industrie!O18</f>
        <v>0</v>
      </c>
      <c r="P8" s="479">
        <f>industrie!P18</f>
        <v>0</v>
      </c>
      <c r="Q8" s="477">
        <f t="shared" si="0"/>
        <v>124224.84611952788</v>
      </c>
    </row>
    <row r="9" spans="1:17" s="483" customFormat="1">
      <c r="A9" s="481" t="s">
        <v>561</v>
      </c>
      <c r="B9" s="482">
        <f>transport!B14</f>
        <v>32.486521764315768</v>
      </c>
      <c r="C9" s="482"/>
      <c r="D9" s="482">
        <f>transport!D14</f>
        <v>110.33188642588188</v>
      </c>
      <c r="E9" s="482">
        <f>transport!E14</f>
        <v>147.75551490518808</v>
      </c>
      <c r="F9" s="482"/>
      <c r="G9" s="482">
        <f>transport!G14</f>
        <v>54863.922196924272</v>
      </c>
      <c r="H9" s="482">
        <f>transport!H14</f>
        <v>12457.513935312423</v>
      </c>
      <c r="I9" s="482"/>
      <c r="J9" s="482"/>
      <c r="K9" s="482"/>
      <c r="L9" s="482"/>
      <c r="M9" s="482">
        <f>transport!M14</f>
        <v>3575.1862618623886</v>
      </c>
      <c r="N9" s="482"/>
      <c r="O9" s="482"/>
      <c r="P9" s="482"/>
      <c r="Q9" s="481">
        <f>SUM(B9:P9)</f>
        <v>71187.196317194466</v>
      </c>
    </row>
    <row r="10" spans="1:17">
      <c r="A10" s="477" t="s">
        <v>551</v>
      </c>
      <c r="B10" s="478">
        <f>transport!B54</f>
        <v>0</v>
      </c>
      <c r="C10" s="478"/>
      <c r="D10" s="478">
        <f>transport!D54</f>
        <v>0</v>
      </c>
      <c r="E10" s="478"/>
      <c r="F10" s="478"/>
      <c r="G10" s="478">
        <f>transport!G54</f>
        <v>712.55592905537799</v>
      </c>
      <c r="H10" s="478"/>
      <c r="I10" s="478"/>
      <c r="J10" s="478"/>
      <c r="K10" s="478"/>
      <c r="L10" s="478"/>
      <c r="M10" s="478">
        <f>transport!M54</f>
        <v>40.470031137768373</v>
      </c>
      <c r="N10" s="478"/>
      <c r="O10" s="478"/>
      <c r="P10" s="479"/>
      <c r="Q10" s="477">
        <f t="shared" si="0"/>
        <v>753.02596019314637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73561.47201488461</v>
      </c>
      <c r="C14" s="488">
        <f t="shared" ref="C14:Q14" ca="1" si="1">SUM(C4:C13)</f>
        <v>1663.7142857142858</v>
      </c>
      <c r="D14" s="488">
        <f t="shared" ca="1" si="1"/>
        <v>80915.02215741502</v>
      </c>
      <c r="E14" s="488">
        <f t="shared" si="1"/>
        <v>10152.436188834399</v>
      </c>
      <c r="F14" s="488">
        <f t="shared" ca="1" si="1"/>
        <v>83346.609213370073</v>
      </c>
      <c r="G14" s="488">
        <f t="shared" si="1"/>
        <v>55576.478125979651</v>
      </c>
      <c r="H14" s="488">
        <f t="shared" si="1"/>
        <v>12457.513935312423</v>
      </c>
      <c r="I14" s="488">
        <f t="shared" si="1"/>
        <v>0</v>
      </c>
      <c r="J14" s="488">
        <f t="shared" si="1"/>
        <v>256.69310216232992</v>
      </c>
      <c r="K14" s="488">
        <f t="shared" si="1"/>
        <v>0</v>
      </c>
      <c r="L14" s="488">
        <f t="shared" ca="1" si="1"/>
        <v>0</v>
      </c>
      <c r="M14" s="488">
        <f t="shared" si="1"/>
        <v>3615.6562930001569</v>
      </c>
      <c r="N14" s="488">
        <f t="shared" ca="1" si="1"/>
        <v>16527.883657983151</v>
      </c>
      <c r="O14" s="488">
        <f t="shared" si="1"/>
        <v>343.93333333333334</v>
      </c>
      <c r="P14" s="489">
        <f t="shared" si="1"/>
        <v>953.33333333333337</v>
      </c>
      <c r="Q14" s="489">
        <f t="shared" ca="1" si="1"/>
        <v>339370.74564132281</v>
      </c>
    </row>
    <row r="16" spans="1:17">
      <c r="A16" s="491" t="s">
        <v>556</v>
      </c>
      <c r="B16" s="841">
        <f ca="1">huishoudens!B10</f>
        <v>0.19648882104455453</v>
      </c>
      <c r="C16" s="841">
        <f ca="1">huishoudens!C10</f>
        <v>8.0807346122374769E-3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3978.0120232263976</v>
      </c>
      <c r="C21" s="478">
        <f t="shared" ref="C21:C28" ca="1" si="3">C4*$C$16</f>
        <v>0</v>
      </c>
      <c r="D21" s="478">
        <f t="shared" ref="D21:D30" si="4">D4*$D$16</f>
        <v>5677.5068767538005</v>
      </c>
      <c r="E21" s="478">
        <f t="shared" ref="E21:E30" si="5">E4*$E$16</f>
        <v>331.87571332854134</v>
      </c>
      <c r="F21" s="478">
        <f t="shared" ref="F21:F28" si="6">F4*$F$16</f>
        <v>13489.104698693634</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23476.499312002372</v>
      </c>
    </row>
    <row r="22" spans="1:17">
      <c r="A22" s="477" t="s">
        <v>156</v>
      </c>
      <c r="B22" s="478">
        <f t="shared" ca="1" si="2"/>
        <v>1917.4696037395602</v>
      </c>
      <c r="C22" s="478">
        <f t="shared" ca="1" si="3"/>
        <v>0.45713870092086301</v>
      </c>
      <c r="D22" s="478">
        <f t="shared" ca="1" si="4"/>
        <v>1924.179848705375</v>
      </c>
      <c r="E22" s="478">
        <f t="shared" si="5"/>
        <v>32.083436404300336</v>
      </c>
      <c r="F22" s="478">
        <f t="shared" ca="1" si="6"/>
        <v>473.16428764435739</v>
      </c>
      <c r="G22" s="478">
        <f t="shared" si="7"/>
        <v>0</v>
      </c>
      <c r="H22" s="478">
        <f t="shared" si="8"/>
        <v>0</v>
      </c>
      <c r="I22" s="478">
        <f t="shared" si="9"/>
        <v>0</v>
      </c>
      <c r="J22" s="478">
        <f t="shared" si="10"/>
        <v>1.3415898017436272E-2</v>
      </c>
      <c r="K22" s="478">
        <f t="shared" si="11"/>
        <v>0</v>
      </c>
      <c r="L22" s="478">
        <f t="shared" ca="1" si="12"/>
        <v>0</v>
      </c>
      <c r="M22" s="478">
        <f t="shared" si="13"/>
        <v>0</v>
      </c>
      <c r="N22" s="478">
        <f t="shared" ca="1" si="14"/>
        <v>0</v>
      </c>
      <c r="O22" s="478">
        <f t="shared" si="15"/>
        <v>0</v>
      </c>
      <c r="P22" s="479">
        <f t="shared" si="16"/>
        <v>0</v>
      </c>
      <c r="Q22" s="477">
        <f t="shared" ref="Q22:Q30" ca="1" si="17">SUM(B22:P22)</f>
        <v>4347.3677310925314</v>
      </c>
    </row>
    <row r="23" spans="1:17">
      <c r="A23" s="477" t="s">
        <v>194</v>
      </c>
      <c r="B23" s="478">
        <f t="shared" ca="1" si="2"/>
        <v>118.83624247892553</v>
      </c>
      <c r="C23" s="478"/>
      <c r="D23" s="478"/>
      <c r="E23" s="478"/>
      <c r="F23" s="478"/>
      <c r="G23" s="478"/>
      <c r="H23" s="478"/>
      <c r="I23" s="478"/>
      <c r="J23" s="478"/>
      <c r="K23" s="478"/>
      <c r="L23" s="478"/>
      <c r="M23" s="478"/>
      <c r="N23" s="478"/>
      <c r="O23" s="478"/>
      <c r="P23" s="479"/>
      <c r="Q23" s="477">
        <f t="shared" ca="1" si="17"/>
        <v>118.83624247892553</v>
      </c>
    </row>
    <row r="24" spans="1:17">
      <c r="A24" s="477" t="s">
        <v>112</v>
      </c>
      <c r="B24" s="478">
        <f t="shared" ca="1" si="2"/>
        <v>347.43774438261454</v>
      </c>
      <c r="C24" s="478">
        <f t="shared" ca="1" si="3"/>
        <v>0</v>
      </c>
      <c r="D24" s="478">
        <f t="shared" si="4"/>
        <v>152.4246146808</v>
      </c>
      <c r="E24" s="478">
        <f t="shared" si="5"/>
        <v>11.79803621527749</v>
      </c>
      <c r="F24" s="478">
        <f t="shared" si="6"/>
        <v>1966.8174089894142</v>
      </c>
      <c r="G24" s="478">
        <f t="shared" si="7"/>
        <v>0</v>
      </c>
      <c r="H24" s="478">
        <f t="shared" si="8"/>
        <v>0</v>
      </c>
      <c r="I24" s="478">
        <f t="shared" si="9"/>
        <v>0</v>
      </c>
      <c r="J24" s="478">
        <f t="shared" si="10"/>
        <v>90.687290626497074</v>
      </c>
      <c r="K24" s="478">
        <f t="shared" si="11"/>
        <v>0</v>
      </c>
      <c r="L24" s="478">
        <f t="shared" si="12"/>
        <v>0</v>
      </c>
      <c r="M24" s="478">
        <f t="shared" si="13"/>
        <v>0</v>
      </c>
      <c r="N24" s="478">
        <f t="shared" si="14"/>
        <v>0</v>
      </c>
      <c r="O24" s="478">
        <f t="shared" si="15"/>
        <v>0</v>
      </c>
      <c r="P24" s="479">
        <f t="shared" si="16"/>
        <v>0</v>
      </c>
      <c r="Q24" s="477">
        <f t="shared" ca="1" si="17"/>
        <v>2569.1650948946035</v>
      </c>
    </row>
    <row r="25" spans="1:17">
      <c r="A25" s="477" t="s">
        <v>635</v>
      </c>
      <c r="B25" s="478">
        <f t="shared" ca="1" si="2"/>
        <v>8085.8680583178639</v>
      </c>
      <c r="C25" s="478">
        <f t="shared" ca="1" si="3"/>
        <v>12.986894912524516</v>
      </c>
      <c r="D25" s="478">
        <f t="shared" si="4"/>
        <v>8568.4360945998324</v>
      </c>
      <c r="E25" s="478">
        <f t="shared" si="5"/>
        <v>1895.3053270338119</v>
      </c>
      <c r="F25" s="478">
        <f t="shared" si="6"/>
        <v>6324.4582646424051</v>
      </c>
      <c r="G25" s="478">
        <f t="shared" si="7"/>
        <v>0</v>
      </c>
      <c r="H25" s="478">
        <f t="shared" si="8"/>
        <v>0</v>
      </c>
      <c r="I25" s="478">
        <f t="shared" si="9"/>
        <v>0</v>
      </c>
      <c r="J25" s="478">
        <f t="shared" si="10"/>
        <v>0.16865164095029098</v>
      </c>
      <c r="K25" s="478">
        <f t="shared" si="11"/>
        <v>0</v>
      </c>
      <c r="L25" s="478">
        <f t="shared" si="12"/>
        <v>0</v>
      </c>
      <c r="M25" s="478">
        <f t="shared" si="13"/>
        <v>0</v>
      </c>
      <c r="N25" s="478">
        <f t="shared" si="14"/>
        <v>0</v>
      </c>
      <c r="O25" s="478">
        <f t="shared" si="15"/>
        <v>0</v>
      </c>
      <c r="P25" s="479">
        <f t="shared" si="16"/>
        <v>0</v>
      </c>
      <c r="Q25" s="477">
        <f t="shared" ca="1" si="17"/>
        <v>24887.223291147391</v>
      </c>
    </row>
    <row r="26" spans="1:17" s="483" customFormat="1">
      <c r="A26" s="481" t="s">
        <v>561</v>
      </c>
      <c r="B26" s="835">
        <f t="shared" ca="1" si="2"/>
        <v>6.383238361308667</v>
      </c>
      <c r="C26" s="482"/>
      <c r="D26" s="482">
        <f t="shared" si="4"/>
        <v>22.287041058028141</v>
      </c>
      <c r="E26" s="482">
        <f t="shared" si="5"/>
        <v>33.540501883477695</v>
      </c>
      <c r="F26" s="482"/>
      <c r="G26" s="482">
        <f t="shared" si="7"/>
        <v>14648.667226578782</v>
      </c>
      <c r="H26" s="482">
        <f t="shared" si="8"/>
        <v>3101.9209698927934</v>
      </c>
      <c r="I26" s="482"/>
      <c r="J26" s="482"/>
      <c r="K26" s="482"/>
      <c r="L26" s="482"/>
      <c r="M26" s="482">
        <f t="shared" si="13"/>
        <v>0</v>
      </c>
      <c r="N26" s="482"/>
      <c r="O26" s="482"/>
      <c r="P26" s="493"/>
      <c r="Q26" s="481">
        <f t="shared" ca="1" si="17"/>
        <v>17812.79897777439</v>
      </c>
    </row>
    <row r="27" spans="1:17">
      <c r="A27" s="477" t="s">
        <v>551</v>
      </c>
      <c r="B27" s="478">
        <f t="shared" ca="1" si="2"/>
        <v>0</v>
      </c>
      <c r="C27" s="478"/>
      <c r="D27" s="482">
        <f t="shared" si="4"/>
        <v>0</v>
      </c>
      <c r="E27" s="478"/>
      <c r="F27" s="478"/>
      <c r="G27" s="478">
        <f t="shared" si="7"/>
        <v>190.25243305778594</v>
      </c>
      <c r="H27" s="478"/>
      <c r="I27" s="478"/>
      <c r="J27" s="478"/>
      <c r="K27" s="478"/>
      <c r="L27" s="478"/>
      <c r="M27" s="478">
        <f t="shared" si="13"/>
        <v>0</v>
      </c>
      <c r="N27" s="478"/>
      <c r="O27" s="478"/>
      <c r="P27" s="479"/>
      <c r="Q27" s="477">
        <f t="shared" ca="1" si="17"/>
        <v>190.25243305778594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14454.006910506669</v>
      </c>
      <c r="C31" s="488">
        <f t="shared" ca="1" si="18"/>
        <v>13.444033613445379</v>
      </c>
      <c r="D31" s="488">
        <f t="shared" ca="1" si="18"/>
        <v>16344.834475797838</v>
      </c>
      <c r="E31" s="488">
        <f t="shared" si="18"/>
        <v>2304.6030148654086</v>
      </c>
      <c r="F31" s="488">
        <f t="shared" ca="1" si="18"/>
        <v>22253.544659969812</v>
      </c>
      <c r="G31" s="488">
        <f t="shared" si="18"/>
        <v>14838.919659636567</v>
      </c>
      <c r="H31" s="488">
        <f t="shared" si="18"/>
        <v>3101.9209698927934</v>
      </c>
      <c r="I31" s="488">
        <f t="shared" si="18"/>
        <v>0</v>
      </c>
      <c r="J31" s="488">
        <f t="shared" si="18"/>
        <v>90.869358165464803</v>
      </c>
      <c r="K31" s="488">
        <f t="shared" si="18"/>
        <v>0</v>
      </c>
      <c r="L31" s="488">
        <f t="shared" ca="1" si="18"/>
        <v>0</v>
      </c>
      <c r="M31" s="488">
        <f t="shared" si="18"/>
        <v>0</v>
      </c>
      <c r="N31" s="488">
        <f t="shared" ca="1" si="18"/>
        <v>0</v>
      </c>
      <c r="O31" s="488">
        <f t="shared" si="18"/>
        <v>0</v>
      </c>
      <c r="P31" s="489">
        <f t="shared" si="18"/>
        <v>0</v>
      </c>
      <c r="Q31" s="489">
        <f t="shared" ca="1" si="18"/>
        <v>73402.143082448005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0.19648882104455453</v>
      </c>
      <c r="C17" s="528">
        <f ca="1">'EF ele_warmte'!B22</f>
        <v>8.0807346122374769E-3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0.19648882104455453</v>
      </c>
      <c r="C17" s="528">
        <f ca="1">'EF ele_warmte'!B22</f>
        <v>8.0807346122374769E-3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0.19648882104455453</v>
      </c>
      <c r="C29" s="529">
        <f ca="1">'EF ele_warmte'!B22</f>
        <v>8.0807346122374769E-3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2019-01-01T21:21:50Z</dcterms:modified>
</cp:coreProperties>
</file>