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I20" i="15"/>
  <c r="J36" i="14" s="1"/>
  <c r="G22"/>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<sst xmlns="http://schemas.openxmlformats.org/spreadsheetml/2006/main" count="2099" uniqueCount="844">
  <si>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</si>
  <si>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</si>
  <si>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</si>
  <si>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</si>
  <si>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</si>
  <si>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</si>
  <si>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</si>
  <si>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</si>
  <si>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</si>
  <si>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</si>
  <si>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</si>
  <si>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</si>
  <si>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</si>
  <si>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</si>
  <si>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</si>
  <si>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</si>
  <si>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</si>
  <si>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</si>
  <si>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</si>
  <si>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</si>
  <si>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</si>
  <si>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</si>
  <si>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</si>
  <si>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</si>
  <si>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</si>
  <si>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</si>
  <si>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</si>
  <si>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</si>
  <si>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</si>
  <si>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</si>
  <si>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</si>
  <si>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</si>
  <si>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</si>
  <si>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</si>
  <si>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</si>
  <si>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</si>
  <si>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</si>
  <si>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</si>
  <si>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</si>
  <si>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</si>
  <si>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</si>
  <si>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</si>
  <si>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</si>
  <si>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</si>
  <si>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</si>
  <si>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</si>
  <si>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</si>
  <si>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</si>
  <si>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</si>
  <si>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</si>
  <si>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</si>
  <si>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</si>
  <si>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</si>
  <si>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</si>
  <si>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</si>
  <si>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</si>
  <si>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</si>
  <si>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</si>
  <si>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</si>
  <si>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</si>
  <si>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</si>
  <si>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</si>
  <si>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</si>
  <si>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</si>
  <si>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</si>
  <si>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</si>
  <si>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</si>
  <si>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</si>
  <si>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</si>
  <si>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</si>
  <si>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</si>
  <si>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</si>
  <si>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</si>
  <si>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</si>
  <si>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</si>
  <si>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</si>
  <si>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</si>
  <si>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</si>
  <si>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</si>
  <si>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</si>
  <si>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</si>
  <si>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</si>
  <si>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</si>
  <si>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</si>
  <si>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</si>
  <si>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</si>
  <si>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</si>
  <si>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</si>
  <si>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</si>
  <si>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</si>
  <si>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</si>
  <si>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</si>
  <si>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</si>
  <si>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</si>
  <si>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</si>
  <si>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</si>
  <si>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</si>
  <si>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</si>
  <si>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</si>
  <si>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</si>
  <si>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</si>
  <si>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</si>
  <si>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</si>
  <si>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</si>
  <si>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</si>
  <si>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</si>
  <si>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</si>
  <si>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</si>
  <si>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</si>
  <si>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</si>
  <si>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</si>
  <si>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</si>
  <si>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</si>
  <si>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</si>
  <si>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</si>
  <si>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</si>
  <si>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</si>
  <si>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</si>
  <si>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</si>
  <si>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</si>
  <si>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</si>
  <si>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</si>
  <si>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</si>
  <si>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</si>
  <si>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</si>
  <si>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</si>
  <si>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</si>
  <si>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</si>
  <si>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</si>
  <si>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</si>
  <si>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</si>
  <si>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</si>
  <si>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</si>
  <si>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</si>
  <si>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</si>
  <si>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</si>
  <si>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</si>
  <si>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</si>
  <si>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</si>
  <si>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</si>
  <si>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</si>
  <si>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</si>
  <si>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</si>
  <si>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</si>
  <si>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</si>
  <si>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</si>
  <si>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</si>
  <si>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</si>
  <si>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</si>
  <si>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</si>
  <si>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</si>
  <si>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</si>
  <si>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</si>
  <si>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</si>
  <si>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</si>
  <si>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</si>
  <si>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</si>
  <si>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</si>
  <si>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</si>
  <si>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</si>
  <si>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</si>
  <si>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</si>
  <si>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</si>
  <si>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</si>
  <si>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</si>
  <si>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</si>
  <si>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</si>
  <si>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</si>
  <si>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</si>
  <si>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</si>
  <si>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</si>
  <si>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</si>
  <si>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</si>
  <si>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</si>
  <si>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</si>
  <si>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</si>
  <si>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</si>
  <si>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</si>
  <si>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</si>
  <si>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</si>
  <si>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</si>
  <si>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</si>
  <si>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</si>
  <si>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</si>
  <si>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</si>
  <si>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</si>
  <si>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</si>
  <si>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</si>
  <si>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</si>
  <si>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</si>
  <si>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</si>
  <si>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</si>
  <si>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</si>
  <si>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</si>
  <si>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</si>
  <si>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</si>
  <si>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</si>
  <si>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</si>
  <si>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</si>
  <si>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</si>
  <si>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</si>
  <si>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</si>
  <si>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</si>
  <si>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</si>
  <si>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</si>
  <si>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</si>
  <si>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</si>
  <si>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</si>
  <si>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</si>
  <si>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</si>
  <si>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</si>
  <si>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</si>
  <si>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</si>
  <si>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</si>
  <si>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</si>
  <si>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</si>
  <si>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</si>
  <si>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</si>
  <si>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</si>
  <si>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</si>
  <si>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</si>
  <si>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</si>
  <si>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</si>
  <si>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</si>
  <si>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</si>
  <si>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</si>
  <si>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</si>
  <si>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</si>
  <si>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</si>
  <si>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</si>
  <si>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</si>
  <si>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</si>
  <si>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</si>
  <si>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</si>
  <si>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</si>
  <si>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</si>
  <si>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</si>
  <si>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</si>
  <si>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</si>
  <si>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</si>
  <si>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</si>
  <si>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</si>
  <si>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</si>
  <si>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</si>
  <si>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</si>
  <si>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</si>
  <si>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</si>
  <si>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</si>
  <si>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</si>
  <si>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</si>
  <si>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</si>
  <si>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</si>
  <si>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</si>
  <si>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</si>
  <si>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</si>
  <si>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</si>
  <si>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</si>
  <si>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</si>
  <si>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</si>
  <si>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</si>
  <si>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</si>
  <si>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</si>
  <si>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</si>
  <si>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</si>
  <si>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</si>
  <si>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</si>
  <si>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</si>
  <si>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</si>
  <si>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</si>
  <si>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</si>
  <si>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</si>
  <si>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</si>
  <si>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</si>
  <si>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</si>
  <si>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</si>
  <si>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</si>
  <si>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</si>
  <si>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</si>
  <si>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</si>
  <si>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</si>
  <si>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</si>
  <si>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</si>
  <si>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</si>
  <si>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</si>
  <si>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</si>
  <si>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</si>
  <si>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</si>
  <si>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</si>
  <si>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</si>
  <si>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</si>
  <si>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</si>
  <si>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</si>
  <si>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</si>
  <si>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</si>
  <si>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</si>
  <si>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</si>
  <si>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</si>
  <si>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</si>
  <si>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</si>
  <si>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</si>
  <si>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</si>
  <si>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</si>
  <si>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</si>
  <si>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</si>
  <si>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</si>
  <si>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</si>
  <si>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</si>
  <si>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</si>
  <si>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</si>
  <si>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</si>
  <si>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</si>
  <si>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</si>
  <si>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</si>
  <si>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</si>
  <si>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</si>
  <si>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</si>
  <si>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</si>
  <si>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</si>
  <si>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</si>
  <si>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</si>
  <si>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</si>
  <si>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</si>
  <si>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</si>
  <si>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</si>
  <si>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</si>
  <si>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</si>
  <si>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</si>
  <si>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</si>
  <si>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</si>
  <si>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</si>
  <si>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</si>
  <si>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</si>
  <si>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</si>
  <si>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</si>
  <si>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</si>
  <si>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</si>
  <si>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</si>
  <si>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</si>
  <si>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</si>
  <si>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</si>
  <si>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</si>
  <si>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</si>
  <si>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</si>
  <si>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</si>
  <si>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</si>
  <si>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</si>
  <si>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</si>
  <si>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</si>
  <si>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</si>
  <si>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</si>
  <si>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</si>
  <si>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</si>
  <si>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</si>
  <si>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</si>
  <si>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</si>
  <si>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</si>
  <si>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</si>
  <si>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</si>
  <si>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</si>
  <si>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</si>
  <si>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</si>
  <si>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</si>
  <si>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</si>
  <si>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</si>
  <si>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</si>
  <si>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</si>
  <si>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</si>
  <si>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</si>
  <si>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</si>
  <si>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</si>
  <si>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</si>
  <si>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</si>
  <si>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</si>
  <si>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</si>
  <si>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</si>
  <si>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</si>
  <si>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</si>
  <si>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</si>
  <si>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</si>
  <si>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</si>
  <si>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</si>
  <si>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</si>
  <si>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</si>
  <si>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</si>
  <si>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</si>
  <si>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</si>
  <si>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</si>
  <si>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</si>
  <si>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</si>
  <si>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</si>
  <si>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</si>
  <si>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</si>
  <si>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</si>
  <si>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</si>
  <si>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</si>
  <si>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</si>
  <si>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</si>
  <si>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</si>
  <si>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</si>
  <si>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</si>
  <si>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</si>
  <si>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</si>
  <si>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</si>
  <si>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</si>
  <si>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</si>
  <si>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</si>
  <si>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</si>
  <si>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</si>
  <si>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</si>
  <si>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</si>
  <si>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</si>
  <si>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</si>
  <si>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</si>
  <si>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</si>
  <si>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</si>
  <si>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</si>
  <si>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</si>
  <si>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</si>
  <si>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</si>
  <si>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</si>
  <si>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</si>
  <si>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</si>
  <si>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</si>
  <si>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</si>
  <si>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</si>
  <si>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</si>
  <si>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</si>
  <si>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</si>
  <si>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</si>
  <si>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</si>
  <si>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</si>
  <si>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</si>
  <si>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</si>
  <si>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</si>
  <si>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</si>
  <si>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</si>
  <si>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</si>
  <si>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</si>
  <si>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</si>
  <si>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</si>
  <si>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</si>
  <si>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</si>
  <si>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</si>
  <si>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</si>
  <si>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</si>
  <si>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</si>
  <si>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</si>
  <si>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</si>
  <si>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</si>
  <si>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</si>
  <si>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</si>
  <si>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</si>
  <si>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</si>
  <si>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</si>
  <si>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</si>
  <si>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</si>
  <si>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</si>
  <si>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</si>
  <si>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</si>
  <si>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</si>
  <si>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</si>
  <si>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</si>
  <si>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</si>
  <si>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</si>
  <si>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</si>
  <si>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</si>
  <si>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</si>
  <si>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</si>
  <si>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</si>
  <si>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</si>
  <si>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</si>
  <si>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</si>
  <si>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</si>
  <si>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</si>
  <si>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</si>
  <si>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</si>
  <si>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</si>
  <si>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</si>
  <si>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</si>
  <si>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</si>
  <si>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</si>
  <si>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</si>
  <si>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</si>
  <si>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</si>
  <si>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</si>
  <si>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</si>
  <si>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</si>
  <si>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</si>
  <si>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</si>
  <si>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</si>
  <si>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</si>
  <si>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</si>
  <si>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</si>
  <si>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</si>
  <si>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</si>
  <si>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</si>
  <si>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</si>
  <si>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</si>
  <si>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</si>
  <si>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</si>
  <si>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</si>
  <si>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</si>
  <si>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</si>
  <si>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</si>
  <si>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</si>
  <si>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</si>
  <si>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</si>
  <si>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</si>
  <si>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</si>
  <si>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</si>
  <si>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</si>
  <si>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</si>
  <si>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</si>
  <si>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</si>
  <si>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</si>
  <si>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</si>
  <si>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</si>
  <si>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</si>
  <si>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</si>
  <si>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</si>
  <si>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</si>
  <si>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</si>
  <si>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</si>
  <si>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</si>
  <si>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</si>
  <si>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</si>
  <si>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</si>
  <si>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</si>
  <si>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</si>
  <si>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</si>
  <si>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</si>
  <si>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</si>
  <si>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</si>
  <si>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</si>
  <si>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</si>
  <si>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</si>
  <si>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</si>
  <si>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</si>
  <si>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</si>
  <si>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</si>
  <si>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</si>
  <si>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</si>
  <si>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</si>
  <si>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</si>
  <si>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</si>
  <si>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</si>
  <si>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</si>
  <si>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</si>
  <si>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</si>
  <si>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</si>
  <si>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</si>
  <si>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</si>
  <si>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</si>
  <si>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</si>
  <si>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</si>
  <si>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</si>
  <si>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</si>
  <si>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</si>
  <si>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</si>
  <si>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</si>
  <si>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</si>
  <si>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</si>
  <si>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</si>
  <si>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</si>
  <si>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</si>
  <si>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</si>
  <si>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</si>
  <si>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</si>
  <si>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</si>
  <si>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</si>
  <si>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</si>
  <si>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</si>
  <si>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</si>
  <si>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</si>
  <si>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</si>
  <si>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</si>
  <si>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</si>
  <si>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</si>
  <si>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</si>
  <si>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</si>
  <si>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</si>
  <si>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</si>
  <si>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</si>
  <si>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</si>
  <si>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</si>
  <si>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</si>
  <si>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</si>
  <si>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</si>
  <si>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</si>
  <si>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</si>
  <si>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</si>
  <si>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</si>
  <si>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</si>
  <si>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</si>
  <si>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</si>
  <si>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</si>
  <si>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</si>
  <si>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</si>
  <si>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</si>
  <si>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</si>
  <si>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</si>
  <si>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</si>
  <si>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</si>
  <si>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</si>
  <si>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</si>
  <si>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</si>
  <si>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</si>
  <si>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</si>
  <si>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</si>
  <si>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</si>
  <si>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</si>
  <si>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</si>
  <si>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</si>
  <si>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</si>
  <si>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</si>
  <si>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</si>
  <si>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</si>
  <si>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</si>
  <si>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</si>
  <si>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</si>
  <si>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</si>
  <si>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</si>
  <si>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</si>
  <si>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</si>
  <si>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</si>
  <si>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</si>
  <si>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</si>
  <si>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</si>
  <si>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</si>
  <si>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</si>
  <si>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</si>
  <si>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</si>
  <si>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</si>
  <si>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</si>
  <si>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</si>
  <si>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</si>
  <si>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</si>
  <si>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</si>
  <si>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</si>
  <si>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</si>
  <si>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</si>
  <si>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</si>
  <si>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</si>
  <si>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</si>
  <si>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</si>
  <si>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</si>
  <si>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</si>
  <si>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</si>
  <si>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</si>
  <si>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</si>
  <si>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</si>
  <si>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</si>
  <si>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</si>
  <si>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</si>
  <si>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</si>
  <si>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</si>
  <si>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</si>
  <si>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</si>
  <si>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</si>
  <si>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</si>
  <si>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</si>
  <si>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</si>
  <si>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</si>
  <si>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</si>
  <si>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</si>
  <si>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</si>
  <si>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</si>
  <si>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</si>
  <si>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</si>
  <si>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</si>
  <si>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</si>
  <si>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</si>
  <si>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</si>
  <si>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</si>
  <si>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</si>
  <si>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</si>
  <si>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</si>
  <si>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</si>
  <si>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</si>
  <si>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</si>
  <si>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</si>
  <si>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</si>
  <si>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</si>
  <si>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</si>
  <si>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</si>
  <si>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</si>
  <si>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</si>
  <si>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</si>
  <si>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</si>
  <si>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</si>
  <si>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</si>
  <si>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</si>
  <si>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</si>
  <si>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</si>
  <si>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</si>
  <si>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</si>
  <si>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</si>
  <si>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</si>
  <si>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</si>
  <si>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</si>
  <si>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</si>
  <si>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</si>
  <si>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</si>
  <si>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</si>
  <si>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</si>
  <si>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</si>
  <si>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</si>
  <si>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</si>
  <si>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</si>
  <si>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</si>
  <si>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</si>
  <si>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</si>
  <si>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</si>
  <si>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</si>
  <si>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</si>
  <si>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</si>
  <si>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</si>
  <si>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</si>
  <si>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</si>
  <si>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</si>
  <si>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</si>
  <si>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</si>
  <si>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</si>
  <si>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</si>
  <si>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</si>
  <si>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</si>
  <si>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</si>
  <si>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</si>
  <si>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</si>
  <si>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</si>
  <si>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</si>
  <si>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</si>
  <si>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</si>
  <si>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</si>
  <si>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</si>
  <si>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</si>
  <si>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</si>
  <si>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</si>
  <si>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</si>
  <si>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</si>
  <si>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</si>
  <si>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</si>
  <si>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</si>
  <si>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</si>
  <si>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</si>
  <si>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</si>
  <si>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</si>
  <si>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</si>
  <si>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</si>
  <si>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</si>
  <si>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</si>
  <si>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</si>
  <si>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</si>
  <si>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</si>
  <si>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</si>
  <si>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</si>
  <si>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</si>
  <si>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</si>
  <si>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</si>
  <si>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</si>
  <si>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</si>
  <si>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</si>
  <si>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</si>
  <si>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</si>
  <si>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</si>
  <si>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</si>
  <si>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</si>
  <si>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</si>
  <si>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</si>
  <si>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</si>
  <si>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</si>
  <si>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</si>
  <si>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</si>
  <si>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</si>
  <si>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</si>
  <si>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</si>
  <si>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</si>
  <si>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</si>
  <si>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</si>
  <si>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</si>
  <si>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</si>
  <si>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</si>
  <si>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</si>
  <si>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</si>
  <si>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</si>
  <si>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</si>
  <si>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</si>
  <si>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</si>
  <si>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</si>
  <si>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</si>
  <si>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</si>
  <si>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</si>
  <si>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</si>
  <si>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</si>
  <si>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</si>
  <si>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</si>
  <si>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</si>
  <si>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</si>
  <si>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</si>
  <si>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</si>
  <si>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</si>
  <si>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</si>
  <si>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</si>
  <si>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</si>
  <si>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</si>
  <si>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</si>
  <si>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</si>
  <si>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</si>
  <si>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</si>
  <si>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</si>
  <si>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</si>
  <si>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</si>
  <si>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</si>
  <si>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</si>
  <si>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</si>
  <si>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</si>
  <si>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</si>
  <si>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</si>
  <si>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</si>
  <si>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</si>
  <si>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</si>
  <si>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</si>
  <si>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</si>
  <si>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</si>
  <si>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</si>
  <si>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</si>
  <si>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</si>
  <si>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</si>
  <si>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</si>
  <si>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</si>
  <si>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</si>
  <si>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</si>
  <si>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</si>
  <si>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</si>
  <si>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</si>
  <si>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</si>
  <si>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72041</t>
  </si>
  <si>
    <t>DILSEN-STOKKEM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</si>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</sst>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181392.99050720592</c:v>
                </c:pt>
                <c:pt idx="1">
                  <c:v>42729.916670433762</c:v>
                </c:pt>
                <c:pt idx="2">
                  <c:v>1119.2280000000001</c:v>
                </c:pt>
                <c:pt idx="3">
                  <c:v>8467.8257926769602</c:v>
                </c:pt>
                <c:pt idx="4">
                  <c:v>146249.0230237238</c:v>
                </c:pt>
                <c:pt idx="5">
                  <c:v>114543.00765144872</c:v>
                </c:pt>
                <c:pt idx="6">
                  <c:v>2283.719464036627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181392.99050720592</c:v>
                </c:pt>
                <c:pt idx="1">
                  <c:v>42729.916670433762</c:v>
                </c:pt>
                <c:pt idx="2">
                  <c:v>1119.2280000000001</c:v>
                </c:pt>
                <c:pt idx="3">
                  <c:v>8467.8257926769602</c:v>
                </c:pt>
                <c:pt idx="4">
                  <c:v>146249.0230237238</c:v>
                </c:pt>
                <c:pt idx="5">
                  <c:v>114543.00765144872</c:v>
                </c:pt>
                <c:pt idx="6">
                  <c:v>2283.719464036627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34694.432645332759</c:v>
                </c:pt>
                <c:pt idx="1">
                  <c:v>7403.7591281997493</c:v>
                </c:pt>
                <c:pt idx="2">
                  <c:v>173.2018194688608</c:v>
                </c:pt>
                <c:pt idx="3">
                  <c:v>1975.2174154199522</c:v>
                </c:pt>
                <c:pt idx="4">
                  <c:v>27279.974590255944</c:v>
                </c:pt>
                <c:pt idx="5">
                  <c:v>28666.188929574972</c:v>
                </c:pt>
                <c:pt idx="6">
                  <c:v>576.98300911558078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34694.432645332759</c:v>
                </c:pt>
                <c:pt idx="1">
                  <c:v>7403.7591281997493</c:v>
                </c:pt>
                <c:pt idx="2">
                  <c:v>173.2018194688608</c:v>
                </c:pt>
                <c:pt idx="3">
                  <c:v>1975.2174154199522</c:v>
                </c:pt>
                <c:pt idx="4">
                  <c:v>27279.974590255944</c:v>
                </c:pt>
                <c:pt idx="5">
                  <c:v>28666.188929574972</c:v>
                </c:pt>
                <c:pt idx="6">
                  <c:v>576.98300911558078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17402.902953000001</v>
      </c>
      <c r="D10" s="718">
        <f ca="1">tertiair!C16</f>
        <v>0</v>
      </c>
      <c r="E10" s="718">
        <f ca="1">tertiair!D16</f>
        <v>19789.089396999996</v>
      </c>
      <c r="F10" s="718">
        <f>tertiair!E16</f>
        <v>267.50987556838987</v>
      </c>
      <c r="G10" s="718">
        <f ca="1">tertiair!F16</f>
        <v>3092.4808624114012</v>
      </c>
      <c r="H10" s="718">
        <f>tertiair!G16</f>
        <v>0</v>
      </c>
      <c r="I10" s="718">
        <f>tertiair!H16</f>
        <v>0</v>
      </c>
      <c r="J10" s="718">
        <f>tertiair!I16</f>
        <v>0</v>
      </c>
      <c r="K10" s="718">
        <f>tertiair!J16</f>
        <v>8.057103077005108E-2</v>
      </c>
      <c r="L10" s="718">
        <f>tertiair!K16</f>
        <v>0</v>
      </c>
      <c r="M10" s="718">
        <f ca="1">tertiair!L16</f>
        <v>0</v>
      </c>
      <c r="N10" s="718">
        <f>tertiair!M16</f>
        <v>0</v>
      </c>
      <c r="O10" s="718">
        <f ca="1">tertiair!N16</f>
        <v>3177.9910114232011</v>
      </c>
      <c r="P10" s="718">
        <f>tertiair!O16</f>
        <v>4.6900000000000004</v>
      </c>
      <c r="Q10" s="719">
        <f>tertiair!P16</f>
        <v>114.4</v>
      </c>
      <c r="R10" s="721">
        <f ca="1">SUM(C10:Q10)</f>
        <v>43849.144670433765</v>
      </c>
      <c r="S10" s="67"/>
    </row>
    <row r="11" spans="1:19" s="474" customFormat="1">
      <c r="A11" s="870" t="s">
        <v>225</v>
      </c>
      <c r="B11" s="875"/>
      <c r="C11" s="718">
        <f>huishoudens!B8</f>
        <v>33356.530087027168</v>
      </c>
      <c r="D11" s="718">
        <f>huishoudens!C8</f>
        <v>0</v>
      </c>
      <c r="E11" s="718">
        <f>huishoudens!D8</f>
        <v>55966.121190099999</v>
      </c>
      <c r="F11" s="718">
        <f>huishoudens!E8</f>
        <v>8154.1657589640427</v>
      </c>
      <c r="G11" s="718">
        <f>huishoudens!F8</f>
        <v>61334.528711026971</v>
      </c>
      <c r="H11" s="718">
        <f>huishoudens!G8</f>
        <v>0</v>
      </c>
      <c r="I11" s="718">
        <f>huishoudens!H8</f>
        <v>0</v>
      </c>
      <c r="J11" s="718">
        <f>huishoudens!I8</f>
        <v>0</v>
      </c>
      <c r="K11" s="718">
        <f>huishoudens!J8</f>
        <v>0</v>
      </c>
      <c r="L11" s="718">
        <f>huishoudens!K8</f>
        <v>0</v>
      </c>
      <c r="M11" s="718">
        <f>huishoudens!L8</f>
        <v>0</v>
      </c>
      <c r="N11" s="718">
        <f>huishoudens!M8</f>
        <v>0</v>
      </c>
      <c r="O11" s="718">
        <f>huishoudens!N8</f>
        <v>21275.918093421089</v>
      </c>
      <c r="P11" s="718">
        <f>huishoudens!O8</f>
        <v>409.59333333333336</v>
      </c>
      <c r="Q11" s="719">
        <f>huishoudens!P8</f>
        <v>896.13333333333333</v>
      </c>
      <c r="R11" s="721">
        <f>SUM(C11:Q11)</f>
        <v>181392.99050720592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43893.408817999996</v>
      </c>
      <c r="D13" s="718">
        <f>industrie!C18</f>
        <v>0</v>
      </c>
      <c r="E13" s="718">
        <f>industrie!D18</f>
        <v>76557.228100341992</v>
      </c>
      <c r="F13" s="718">
        <f>industrie!E18</f>
        <v>4448.9482697872872</v>
      </c>
      <c r="G13" s="718">
        <f>industrie!F18</f>
        <v>15018.206559249524</v>
      </c>
      <c r="H13" s="718">
        <f>industrie!G18</f>
        <v>0</v>
      </c>
      <c r="I13" s="718">
        <f>industrie!H18</f>
        <v>0</v>
      </c>
      <c r="J13" s="718">
        <f>industrie!I18</f>
        <v>0</v>
      </c>
      <c r="K13" s="718">
        <f>industrie!J18</f>
        <v>8.7193182205855617</v>
      </c>
      <c r="L13" s="718">
        <f>industrie!K18</f>
        <v>0</v>
      </c>
      <c r="M13" s="718">
        <f>industrie!L18</f>
        <v>0</v>
      </c>
      <c r="N13" s="718">
        <f>industrie!M18</f>
        <v>0</v>
      </c>
      <c r="O13" s="718">
        <f>industrie!N18</f>
        <v>6322.5119581244035</v>
      </c>
      <c r="P13" s="718">
        <f>industrie!O18</f>
        <v>0</v>
      </c>
      <c r="Q13" s="719">
        <f>industrie!P18</f>
        <v>0</v>
      </c>
      <c r="R13" s="721">
        <f>SUM(C13:Q13)</f>
        <v>146249.0230237238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94652.841858027168</v>
      </c>
      <c r="D15" s="723">
        <f t="shared" ref="D15:Q15" ca="1" si="0">SUM(D9:D14)</f>
        <v>0</v>
      </c>
      <c r="E15" s="723">
        <f t="shared" ca="1" si="0"/>
        <v>152312.43868744199</v>
      </c>
      <c r="F15" s="723">
        <f t="shared" si="0"/>
        <v>12870.62390431972</v>
      </c>
      <c r="G15" s="723">
        <f t="shared" ca="1" si="0"/>
        <v>79445.2161326879</v>
      </c>
      <c r="H15" s="723">
        <f t="shared" si="0"/>
        <v>0</v>
      </c>
      <c r="I15" s="723">
        <f t="shared" si="0"/>
        <v>0</v>
      </c>
      <c r="J15" s="723">
        <f t="shared" si="0"/>
        <v>0</v>
      </c>
      <c r="K15" s="723">
        <f t="shared" si="0"/>
        <v>8.7998892513556122</v>
      </c>
      <c r="L15" s="723">
        <f t="shared" si="0"/>
        <v>0</v>
      </c>
      <c r="M15" s="723">
        <f t="shared" ca="1" si="0"/>
        <v>0</v>
      </c>
      <c r="N15" s="723">
        <f t="shared" si="0"/>
        <v>0</v>
      </c>
      <c r="O15" s="723">
        <f t="shared" ca="1" si="0"/>
        <v>30776.421062968693</v>
      </c>
      <c r="P15" s="723">
        <f t="shared" si="0"/>
        <v>414.28333333333336</v>
      </c>
      <c r="Q15" s="724">
        <f t="shared" si="0"/>
        <v>1010.5333333333333</v>
      </c>
      <c r="R15" s="725">
        <f ca="1">SUM(R9:R14)</f>
        <v>371491.15820136352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2160.9850528673437</v>
      </c>
      <c r="I18" s="718">
        <f>transport!H54</f>
        <v>0</v>
      </c>
      <c r="J18" s="718">
        <f>transport!I54</f>
        <v>0</v>
      </c>
      <c r="K18" s="718">
        <f>transport!J54</f>
        <v>0</v>
      </c>
      <c r="L18" s="718">
        <f>transport!K54</f>
        <v>0</v>
      </c>
      <c r="M18" s="718">
        <f>transport!L54</f>
        <v>0</v>
      </c>
      <c r="N18" s="718">
        <f>transport!M54</f>
        <v>122.73441116928333</v>
      </c>
      <c r="O18" s="718">
        <f>transport!N54</f>
        <v>0</v>
      </c>
      <c r="P18" s="718">
        <f>transport!O54</f>
        <v>0</v>
      </c>
      <c r="Q18" s="719">
        <f>transport!P54</f>
        <v>0</v>
      </c>
      <c r="R18" s="721">
        <f>SUM(C18:Q18)</f>
        <v>2283.719464036627</v>
      </c>
      <c r="S18" s="67"/>
    </row>
    <row r="19" spans="1:19" s="474" customFormat="1" ht="15" thickBot="1">
      <c r="A19" s="870" t="s">
        <v>307</v>
      </c>
      <c r="B19" s="875"/>
      <c r="C19" s="727">
        <f>transport!B14</f>
        <v>51.953554423748088</v>
      </c>
      <c r="D19" s="727">
        <f>transport!C14</f>
        <v>0</v>
      </c>
      <c r="E19" s="727">
        <f>transport!D14</f>
        <v>171.98968161366713</v>
      </c>
      <c r="F19" s="727">
        <f>transport!E14</f>
        <v>231.23508697897648</v>
      </c>
      <c r="G19" s="727">
        <f>transport!F14</f>
        <v>0</v>
      </c>
      <c r="H19" s="727">
        <f>transport!G14</f>
        <v>88869.34422324349</v>
      </c>
      <c r="I19" s="727">
        <f>transport!H14</f>
        <v>19449.003491064133</v>
      </c>
      <c r="J19" s="727">
        <f>transport!I14</f>
        <v>0</v>
      </c>
      <c r="K19" s="727">
        <f>transport!J14</f>
        <v>0</v>
      </c>
      <c r="L19" s="727">
        <f>transport!K14</f>
        <v>0</v>
      </c>
      <c r="M19" s="727">
        <f>transport!L14</f>
        <v>0</v>
      </c>
      <c r="N19" s="727">
        <f>transport!M14</f>
        <v>5769.4816141247056</v>
      </c>
      <c r="O19" s="727">
        <f>transport!N14</f>
        <v>0</v>
      </c>
      <c r="P19" s="727">
        <f>transport!O14</f>
        <v>0</v>
      </c>
      <c r="Q19" s="728">
        <f>transport!P14</f>
        <v>0</v>
      </c>
      <c r="R19" s="729">
        <f>SUM(C19:Q19)</f>
        <v>114543.00765144872</v>
      </c>
      <c r="S19" s="67"/>
    </row>
    <row r="20" spans="1:19" s="474" customFormat="1" ht="15.75" thickBot="1">
      <c r="A20" s="730" t="s">
        <v>230</v>
      </c>
      <c r="B20" s="878"/>
      <c r="C20" s="873">
        <f>SUM(C17:C19)</f>
        <v>51.953554423748088</v>
      </c>
      <c r="D20" s="731">
        <f t="shared" ref="D20:R20" si="1">SUM(D17:D19)</f>
        <v>0</v>
      </c>
      <c r="E20" s="731">
        <f t="shared" si="1"/>
        <v>171.98968161366713</v>
      </c>
      <c r="F20" s="731">
        <f t="shared" si="1"/>
        <v>231.23508697897648</v>
      </c>
      <c r="G20" s="731">
        <f t="shared" si="1"/>
        <v>0</v>
      </c>
      <c r="H20" s="731">
        <f t="shared" si="1"/>
        <v>91030.329276110831</v>
      </c>
      <c r="I20" s="731">
        <f t="shared" si="1"/>
        <v>19449.003491064133</v>
      </c>
      <c r="J20" s="731">
        <f t="shared" si="1"/>
        <v>0</v>
      </c>
      <c r="K20" s="731">
        <f t="shared" si="1"/>
        <v>0</v>
      </c>
      <c r="L20" s="731">
        <f t="shared" si="1"/>
        <v>0</v>
      </c>
      <c r="M20" s="731">
        <f t="shared" si="1"/>
        <v>0</v>
      </c>
      <c r="N20" s="731">
        <f t="shared" si="1"/>
        <v>5892.2160252939893</v>
      </c>
      <c r="O20" s="731">
        <f t="shared" si="1"/>
        <v>0</v>
      </c>
      <c r="P20" s="731">
        <f t="shared" si="1"/>
        <v>0</v>
      </c>
      <c r="Q20" s="732">
        <f t="shared" si="1"/>
        <v>0</v>
      </c>
      <c r="R20" s="733">
        <f t="shared" si="1"/>
        <v>116826.72711548534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1074.7992490000001</v>
      </c>
      <c r="D22" s="727">
        <f>+landbouw!C8</f>
        <v>0</v>
      </c>
      <c r="E22" s="727">
        <f>+landbouw!D8</f>
        <v>2728.1639891</v>
      </c>
      <c r="F22" s="727">
        <f>+landbouw!E8</f>
        <v>31.591632743923974</v>
      </c>
      <c r="G22" s="727">
        <f>+landbouw!F8</f>
        <v>4477.5555922310214</v>
      </c>
      <c r="H22" s="727">
        <f>+landbouw!G8</f>
        <v>0</v>
      </c>
      <c r="I22" s="727">
        <f>+landbouw!H8</f>
        <v>0</v>
      </c>
      <c r="J22" s="727">
        <f>+landbouw!I8</f>
        <v>0</v>
      </c>
      <c r="K22" s="727">
        <f>+landbouw!J8</f>
        <v>155.71532960201552</v>
      </c>
      <c r="L22" s="727">
        <f>+landbouw!K8</f>
        <v>0</v>
      </c>
      <c r="M22" s="727">
        <f>+landbouw!L8</f>
        <v>0</v>
      </c>
      <c r="N22" s="727">
        <f>+landbouw!M8</f>
        <v>0</v>
      </c>
      <c r="O22" s="727">
        <f>+landbouw!N8</f>
        <v>0</v>
      </c>
      <c r="P22" s="727">
        <f>+landbouw!O8</f>
        <v>0</v>
      </c>
      <c r="Q22" s="728">
        <f>+landbouw!P8</f>
        <v>0</v>
      </c>
      <c r="R22" s="729">
        <f>SUM(C22:Q22)</f>
        <v>8467.8257926769602</v>
      </c>
      <c r="S22" s="67"/>
    </row>
    <row r="23" spans="1:19" s="474" customFormat="1" ht="17.25" thickTop="1" thickBot="1">
      <c r="A23" s="734" t="s">
        <v>116</v>
      </c>
      <c r="B23" s="864"/>
      <c r="C23" s="735">
        <f ca="1">C20+C15+C22</f>
        <v>95779.594661450916</v>
      </c>
      <c r="D23" s="735">
        <f t="shared" ref="D23:Q23" ca="1" si="2">D20+D15+D22</f>
        <v>0</v>
      </c>
      <c r="E23" s="735">
        <f t="shared" ca="1" si="2"/>
        <v>155212.59235815564</v>
      </c>
      <c r="F23" s="735">
        <f t="shared" si="2"/>
        <v>13133.450624042622</v>
      </c>
      <c r="G23" s="735">
        <f t="shared" ca="1" si="2"/>
        <v>83922.771724918915</v>
      </c>
      <c r="H23" s="735">
        <f t="shared" si="2"/>
        <v>91030.329276110831</v>
      </c>
      <c r="I23" s="735">
        <f t="shared" si="2"/>
        <v>19449.003491064133</v>
      </c>
      <c r="J23" s="735">
        <f t="shared" si="2"/>
        <v>0</v>
      </c>
      <c r="K23" s="735">
        <f t="shared" si="2"/>
        <v>164.51521885337112</v>
      </c>
      <c r="L23" s="735">
        <f t="shared" si="2"/>
        <v>0</v>
      </c>
      <c r="M23" s="735">
        <f t="shared" ca="1" si="2"/>
        <v>0</v>
      </c>
      <c r="N23" s="735">
        <f t="shared" si="2"/>
        <v>5892.2160252939893</v>
      </c>
      <c r="O23" s="735">
        <f t="shared" ca="1" si="2"/>
        <v>30776.421062968693</v>
      </c>
      <c r="P23" s="735">
        <f t="shared" si="2"/>
        <v>414.28333333333336</v>
      </c>
      <c r="Q23" s="736">
        <f t="shared" si="2"/>
        <v>1010.5333333333333</v>
      </c>
      <c r="R23" s="737">
        <f ca="1">R20+R15+R22</f>
        <v>496785.71110952582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2693.1192353118495</v>
      </c>
      <c r="D36" s="718">
        <f ca="1">tertiair!C20</f>
        <v>0</v>
      </c>
      <c r="E36" s="718">
        <f ca="1">tertiair!D20</f>
        <v>3997.3960581939996</v>
      </c>
      <c r="F36" s="718">
        <f>tertiair!E20</f>
        <v>60.724741754024507</v>
      </c>
      <c r="G36" s="718">
        <f ca="1">tertiair!F20</f>
        <v>825.69239026384412</v>
      </c>
      <c r="H36" s="718">
        <f>tertiair!G20</f>
        <v>0</v>
      </c>
      <c r="I36" s="718">
        <f>tertiair!H20</f>
        <v>0</v>
      </c>
      <c r="J36" s="718">
        <f>tertiair!I20</f>
        <v>0</v>
      </c>
      <c r="K36" s="718">
        <f>tertiair!J20</f>
        <v>2.8522144892598082E-2</v>
      </c>
      <c r="L36" s="718">
        <f>tertiair!K20</f>
        <v>0</v>
      </c>
      <c r="M36" s="718">
        <f ca="1">tertiair!L20</f>
        <v>0</v>
      </c>
      <c r="N36" s="718">
        <f>tertiair!M20</f>
        <v>0</v>
      </c>
      <c r="O36" s="718">
        <f ca="1">tertiair!N20</f>
        <v>0</v>
      </c>
      <c r="P36" s="718">
        <f>tertiair!O20</f>
        <v>0</v>
      </c>
      <c r="Q36" s="828">
        <f>tertiair!P20</f>
        <v>0</v>
      </c>
      <c r="R36" s="917">
        <f ca="1">SUM(C36:Q36)</f>
        <v>7576.9609476686101</v>
      </c>
    </row>
    <row r="37" spans="1:18">
      <c r="A37" s="885" t="s">
        <v>225</v>
      </c>
      <c r="B37" s="892"/>
      <c r="C37" s="718">
        <f ca="1">huishoudens!B12</f>
        <v>5161.9613718035143</v>
      </c>
      <c r="D37" s="718">
        <f ca="1">huishoudens!C12</f>
        <v>0</v>
      </c>
      <c r="E37" s="718">
        <f>huishoudens!D12</f>
        <v>11305.156480400201</v>
      </c>
      <c r="F37" s="718">
        <f>huishoudens!E12</f>
        <v>1850.9956272848378</v>
      </c>
      <c r="G37" s="718">
        <f>huishoudens!F12</f>
        <v>16376.319165844203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34694.432645332759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6792.5554667754368</v>
      </c>
      <c r="D39" s="718">
        <f ca="1">industrie!C22</f>
        <v>0</v>
      </c>
      <c r="E39" s="718">
        <f>industrie!D22</f>
        <v>15464.560076269083</v>
      </c>
      <c r="F39" s="718">
        <f>industrie!E22</f>
        <v>1009.9112572417142</v>
      </c>
      <c r="G39" s="718">
        <f>industrie!F22</f>
        <v>4009.8611513196229</v>
      </c>
      <c r="H39" s="718">
        <f>industrie!G22</f>
        <v>0</v>
      </c>
      <c r="I39" s="718">
        <f>industrie!H22</f>
        <v>0</v>
      </c>
      <c r="J39" s="718">
        <f>industrie!I22</f>
        <v>0</v>
      </c>
      <c r="K39" s="718">
        <f>industrie!J22</f>
        <v>3.0866386500872887</v>
      </c>
      <c r="L39" s="718">
        <f>industrie!K22</f>
        <v>0</v>
      </c>
      <c r="M39" s="718">
        <f>industrie!L22</f>
        <v>0</v>
      </c>
      <c r="N39" s="718">
        <f>industrie!M22</f>
        <v>0</v>
      </c>
      <c r="O39" s="718">
        <f>industrie!N22</f>
        <v>0</v>
      </c>
      <c r="P39" s="718">
        <f>industrie!O22</f>
        <v>0</v>
      </c>
      <c r="Q39" s="828">
        <f>industrie!P22</f>
        <v>0</v>
      </c>
      <c r="R39" s="918">
        <f ca="1">SUM(C39:Q39)</f>
        <v>27279.974590255944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14647.636073890801</v>
      </c>
      <c r="D41" s="763">
        <f t="shared" ref="D41:R41" ca="1" si="4">SUM(D35:D40)</f>
        <v>0</v>
      </c>
      <c r="E41" s="763">
        <f t="shared" ca="1" si="4"/>
        <v>30767.112614863283</v>
      </c>
      <c r="F41" s="763">
        <f t="shared" si="4"/>
        <v>2921.6316262805767</v>
      </c>
      <c r="G41" s="763">
        <f t="shared" ca="1" si="4"/>
        <v>21211.872707427669</v>
      </c>
      <c r="H41" s="763">
        <f t="shared" si="4"/>
        <v>0</v>
      </c>
      <c r="I41" s="763">
        <f t="shared" si="4"/>
        <v>0</v>
      </c>
      <c r="J41" s="763">
        <f t="shared" si="4"/>
        <v>0</v>
      </c>
      <c r="K41" s="763">
        <f t="shared" si="4"/>
        <v>3.1151607949798867</v>
      </c>
      <c r="L41" s="763">
        <f t="shared" si="4"/>
        <v>0</v>
      </c>
      <c r="M41" s="763">
        <f t="shared" ca="1" si="4"/>
        <v>0</v>
      </c>
      <c r="N41" s="763">
        <f t="shared" si="4"/>
        <v>0</v>
      </c>
      <c r="O41" s="763">
        <f t="shared" ca="1" si="4"/>
        <v>0</v>
      </c>
      <c r="P41" s="763">
        <f t="shared" si="4"/>
        <v>0</v>
      </c>
      <c r="Q41" s="764">
        <f t="shared" si="4"/>
        <v>0</v>
      </c>
      <c r="R41" s="765">
        <f t="shared" ca="1" si="4"/>
        <v>69551.36818325732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576.98300911558078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576.98300911558078</v>
      </c>
    </row>
    <row r="45" spans="1:18" ht="15" thickBot="1">
      <c r="A45" s="888" t="s">
        <v>307</v>
      </c>
      <c r="B45" s="898"/>
      <c r="C45" s="727">
        <f ca="1">transport!B18</f>
        <v>8.0398722637993796</v>
      </c>
      <c r="D45" s="727">
        <f>transport!C18</f>
        <v>0</v>
      </c>
      <c r="E45" s="727">
        <f>transport!D18</f>
        <v>34.741915685960763</v>
      </c>
      <c r="F45" s="727">
        <f>transport!E18</f>
        <v>52.490364744227662</v>
      </c>
      <c r="G45" s="727">
        <f>transport!F18</f>
        <v>0</v>
      </c>
      <c r="H45" s="727">
        <f>transport!G18</f>
        <v>23728.114907606014</v>
      </c>
      <c r="I45" s="727">
        <f>transport!H18</f>
        <v>4842.8018692749692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28666.188929574972</v>
      </c>
    </row>
    <row r="46" spans="1:18" ht="15.75" thickBot="1">
      <c r="A46" s="886" t="s">
        <v>230</v>
      </c>
      <c r="B46" s="899"/>
      <c r="C46" s="763">
        <f t="shared" ref="C46:R46" ca="1" si="5">SUM(C43:C45)</f>
        <v>8.0398722637993796</v>
      </c>
      <c r="D46" s="763">
        <f t="shared" ca="1" si="5"/>
        <v>0</v>
      </c>
      <c r="E46" s="763">
        <f t="shared" si="5"/>
        <v>34.741915685960763</v>
      </c>
      <c r="F46" s="763">
        <f t="shared" si="5"/>
        <v>52.490364744227662</v>
      </c>
      <c r="G46" s="763">
        <f t="shared" si="5"/>
        <v>0</v>
      </c>
      <c r="H46" s="763">
        <f t="shared" si="5"/>
        <v>24305.097916721596</v>
      </c>
      <c r="I46" s="763">
        <f t="shared" si="5"/>
        <v>4842.8018692749692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29243.171938690553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166.3264191840851</v>
      </c>
      <c r="D48" s="718">
        <f ca="1">+landbouw!C12</f>
        <v>0</v>
      </c>
      <c r="E48" s="718">
        <f>+landbouw!D12</f>
        <v>551.08912579820003</v>
      </c>
      <c r="F48" s="718">
        <f>+landbouw!E12</f>
        <v>7.171300632870742</v>
      </c>
      <c r="G48" s="718">
        <f>+landbouw!F12</f>
        <v>1195.5073431256828</v>
      </c>
      <c r="H48" s="718">
        <f>+landbouw!G12</f>
        <v>0</v>
      </c>
      <c r="I48" s="718">
        <f>+landbouw!H12</f>
        <v>0</v>
      </c>
      <c r="J48" s="718">
        <f>+landbouw!I12</f>
        <v>0</v>
      </c>
      <c r="K48" s="718">
        <f>+landbouw!J12</f>
        <v>55.123226679113486</v>
      </c>
      <c r="L48" s="718">
        <f>+landbouw!K12</f>
        <v>0</v>
      </c>
      <c r="M48" s="718">
        <f>+landbouw!L12</f>
        <v>0</v>
      </c>
      <c r="N48" s="718">
        <f>+landbouw!M12</f>
        <v>0</v>
      </c>
      <c r="O48" s="718">
        <f>+landbouw!N12</f>
        <v>0</v>
      </c>
      <c r="P48" s="718">
        <f>+landbouw!O12</f>
        <v>0</v>
      </c>
      <c r="Q48" s="719">
        <f>+landbouw!P12</f>
        <v>0</v>
      </c>
      <c r="R48" s="761">
        <f ca="1">SUM(C48:Q48)</f>
        <v>1975.2174154199522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14822.002365338685</v>
      </c>
      <c r="D53" s="773">
        <f t="shared" ref="D53:Q53" ca="1" si="6">D41+D46+D48</f>
        <v>0</v>
      </c>
      <c r="E53" s="773">
        <f t="shared" ca="1" si="6"/>
        <v>31352.943656347445</v>
      </c>
      <c r="F53" s="773">
        <f t="shared" si="6"/>
        <v>2981.2932916576751</v>
      </c>
      <c r="G53" s="773">
        <f t="shared" ca="1" si="6"/>
        <v>22407.380050553351</v>
      </c>
      <c r="H53" s="773">
        <f t="shared" si="6"/>
        <v>24305.097916721596</v>
      </c>
      <c r="I53" s="773">
        <f t="shared" si="6"/>
        <v>4842.8018692749692</v>
      </c>
      <c r="J53" s="773">
        <f t="shared" si="6"/>
        <v>0</v>
      </c>
      <c r="K53" s="773">
        <f t="shared" si="6"/>
        <v>58.238387474093372</v>
      </c>
      <c r="L53" s="773">
        <f t="shared" si="6"/>
        <v>0</v>
      </c>
      <c r="M53" s="773">
        <f t="shared" ca="1" si="6"/>
        <v>0</v>
      </c>
      <c r="N53" s="773">
        <f t="shared" si="6"/>
        <v>0</v>
      </c>
      <c r="O53" s="773">
        <f t="shared" ca="1" si="6"/>
        <v>0</v>
      </c>
      <c r="P53" s="773">
        <f>P41+P46+P48</f>
        <v>0</v>
      </c>
      <c r="Q53" s="774">
        <f t="shared" si="6"/>
        <v>0</v>
      </c>
      <c r="R53" s="775">
        <f ca="1">R41+R46+R48</f>
        <v>100769.75753736783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0.1547511494251938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10334.121279407986</v>
      </c>
      <c r="C64" s="795">
        <f>'lokale energieproductie'!B4</f>
        <v>10334.121279407986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18377.589375985535</v>
      </c>
      <c r="C66" s="795">
        <f>'lokale energieproductie'!B6</f>
        <v>18377.589375985535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28711.710655393523</v>
      </c>
      <c r="C69" s="803">
        <f>SUM(C64:C68)</f>
        <v>28711.710655393523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33356.530087027168</v>
      </c>
      <c r="C4" s="478">
        <f>huishoudens!C8</f>
        <v>0</v>
      </c>
      <c r="D4" s="478">
        <f>huishoudens!D8</f>
        <v>55966.121190099999</v>
      </c>
      <c r="E4" s="478">
        <f>huishoudens!E8</f>
        <v>8154.1657589640427</v>
      </c>
      <c r="F4" s="478">
        <f>huishoudens!F8</f>
        <v>61334.528711026971</v>
      </c>
      <c r="G4" s="478">
        <f>huishoudens!G8</f>
        <v>0</v>
      </c>
      <c r="H4" s="478">
        <f>huishoudens!H8</f>
        <v>0</v>
      </c>
      <c r="I4" s="478">
        <f>huishoudens!I8</f>
        <v>0</v>
      </c>
      <c r="J4" s="478">
        <f>huishoudens!J8</f>
        <v>0</v>
      </c>
      <c r="K4" s="478">
        <f>huishoudens!K8</f>
        <v>0</v>
      </c>
      <c r="L4" s="478">
        <f>huishoudens!L8</f>
        <v>0</v>
      </c>
      <c r="M4" s="478">
        <f>huishoudens!M8</f>
        <v>0</v>
      </c>
      <c r="N4" s="478">
        <f>huishoudens!N8</f>
        <v>21275.918093421089</v>
      </c>
      <c r="O4" s="478">
        <f>huishoudens!O8</f>
        <v>409.59333333333336</v>
      </c>
      <c r="P4" s="479">
        <f>huishoudens!P8</f>
        <v>896.13333333333333</v>
      </c>
      <c r="Q4" s="480">
        <f>SUM(B4:P4)</f>
        <v>181392.99050720592</v>
      </c>
    </row>
    <row r="5" spans="1:17">
      <c r="A5" s="477" t="s">
        <v>156</v>
      </c>
      <c r="B5" s="478">
        <f ca="1">tertiair!B16</f>
        <v>16283.674953000002</v>
      </c>
      <c r="C5" s="478">
        <f ca="1">tertiair!C16</f>
        <v>0</v>
      </c>
      <c r="D5" s="478">
        <f ca="1">tertiair!D16</f>
        <v>19789.089396999996</v>
      </c>
      <c r="E5" s="478">
        <f>tertiair!E16</f>
        <v>267.50987556838987</v>
      </c>
      <c r="F5" s="478">
        <f ca="1">tertiair!F16</f>
        <v>3092.4808624114012</v>
      </c>
      <c r="G5" s="478">
        <f>tertiair!G16</f>
        <v>0</v>
      </c>
      <c r="H5" s="478">
        <f>tertiair!H16</f>
        <v>0</v>
      </c>
      <c r="I5" s="478">
        <f>tertiair!I16</f>
        <v>0</v>
      </c>
      <c r="J5" s="478">
        <f>tertiair!J16</f>
        <v>8.057103077005108E-2</v>
      </c>
      <c r="K5" s="478">
        <f>tertiair!K16</f>
        <v>0</v>
      </c>
      <c r="L5" s="478">
        <f ca="1">tertiair!L16</f>
        <v>0</v>
      </c>
      <c r="M5" s="478">
        <f>tertiair!M16</f>
        <v>0</v>
      </c>
      <c r="N5" s="478">
        <f ca="1">tertiair!N16</f>
        <v>3177.9910114232011</v>
      </c>
      <c r="O5" s="478">
        <f>tertiair!O16</f>
        <v>4.6900000000000004</v>
      </c>
      <c r="P5" s="479">
        <f>tertiair!P16</f>
        <v>114.4</v>
      </c>
      <c r="Q5" s="477">
        <f t="shared" ref="Q5:Q13" ca="1" si="0">SUM(B5:P5)</f>
        <v>42729.916670433762</v>
      </c>
    </row>
    <row r="6" spans="1:17">
      <c r="A6" s="477" t="s">
        <v>194</v>
      </c>
      <c r="B6" s="478">
        <f>'openbare verlichting'!B8</f>
        <v>1119.2280000000001</v>
      </c>
      <c r="C6" s="478"/>
      <c r="D6" s="478"/>
      <c r="E6" s="478"/>
      <c r="F6" s="478"/>
      <c r="G6" s="478"/>
      <c r="H6" s="478"/>
      <c r="I6" s="478"/>
      <c r="J6" s="478"/>
      <c r="K6" s="478"/>
      <c r="L6" s="478"/>
      <c r="M6" s="478"/>
      <c r="N6" s="478"/>
      <c r="O6" s="478"/>
      <c r="P6" s="479"/>
      <c r="Q6" s="477">
        <f t="shared" si="0"/>
        <v>1119.2280000000001</v>
      </c>
    </row>
    <row r="7" spans="1:17">
      <c r="A7" s="477" t="s">
        <v>112</v>
      </c>
      <c r="B7" s="478">
        <f>landbouw!B8</f>
        <v>1074.7992490000001</v>
      </c>
      <c r="C7" s="478">
        <f>landbouw!C8</f>
        <v>0</v>
      </c>
      <c r="D7" s="478">
        <f>landbouw!D8</f>
        <v>2728.1639891</v>
      </c>
      <c r="E7" s="478">
        <f>landbouw!E8</f>
        <v>31.591632743923974</v>
      </c>
      <c r="F7" s="478">
        <f>landbouw!F8</f>
        <v>4477.5555922310214</v>
      </c>
      <c r="G7" s="478">
        <f>landbouw!G8</f>
        <v>0</v>
      </c>
      <c r="H7" s="478">
        <f>landbouw!H8</f>
        <v>0</v>
      </c>
      <c r="I7" s="478">
        <f>landbouw!I8</f>
        <v>0</v>
      </c>
      <c r="J7" s="478">
        <f>landbouw!J8</f>
        <v>155.71532960201552</v>
      </c>
      <c r="K7" s="478">
        <f>landbouw!K8</f>
        <v>0</v>
      </c>
      <c r="L7" s="478">
        <f>landbouw!L8</f>
        <v>0</v>
      </c>
      <c r="M7" s="478">
        <f>landbouw!M8</f>
        <v>0</v>
      </c>
      <c r="N7" s="478">
        <f>landbouw!N8</f>
        <v>0</v>
      </c>
      <c r="O7" s="478">
        <f>landbouw!O8</f>
        <v>0</v>
      </c>
      <c r="P7" s="479">
        <f>landbouw!P8</f>
        <v>0</v>
      </c>
      <c r="Q7" s="477">
        <f t="shared" si="0"/>
        <v>8467.8257926769602</v>
      </c>
    </row>
    <row r="8" spans="1:17">
      <c r="A8" s="477" t="s">
        <v>635</v>
      </c>
      <c r="B8" s="478">
        <f>industrie!B18</f>
        <v>43893.408817999996</v>
      </c>
      <c r="C8" s="478">
        <f>industrie!C18</f>
        <v>0</v>
      </c>
      <c r="D8" s="478">
        <f>industrie!D18</f>
        <v>76557.228100341992</v>
      </c>
      <c r="E8" s="478">
        <f>industrie!E18</f>
        <v>4448.9482697872872</v>
      </c>
      <c r="F8" s="478">
        <f>industrie!F18</f>
        <v>15018.206559249524</v>
      </c>
      <c r="G8" s="478">
        <f>industrie!G18</f>
        <v>0</v>
      </c>
      <c r="H8" s="478">
        <f>industrie!H18</f>
        <v>0</v>
      </c>
      <c r="I8" s="478">
        <f>industrie!I18</f>
        <v>0</v>
      </c>
      <c r="J8" s="478">
        <f>industrie!J18</f>
        <v>8.7193182205855617</v>
      </c>
      <c r="K8" s="478">
        <f>industrie!K18</f>
        <v>0</v>
      </c>
      <c r="L8" s="478">
        <f>industrie!L18</f>
        <v>0</v>
      </c>
      <c r="M8" s="478">
        <f>industrie!M18</f>
        <v>0</v>
      </c>
      <c r="N8" s="478">
        <f>industrie!N18</f>
        <v>6322.5119581244035</v>
      </c>
      <c r="O8" s="478">
        <f>industrie!O18</f>
        <v>0</v>
      </c>
      <c r="P8" s="479">
        <f>industrie!P18</f>
        <v>0</v>
      </c>
      <c r="Q8" s="477">
        <f t="shared" si="0"/>
        <v>146249.0230237238</v>
      </c>
    </row>
    <row r="9" spans="1:17" s="483" customFormat="1">
      <c r="A9" s="481" t="s">
        <v>561</v>
      </c>
      <c r="B9" s="482">
        <f>transport!B14</f>
        <v>51.953554423748088</v>
      </c>
      <c r="C9" s="482"/>
      <c r="D9" s="482">
        <f>transport!D14</f>
        <v>171.98968161366713</v>
      </c>
      <c r="E9" s="482">
        <f>transport!E14</f>
        <v>231.23508697897648</v>
      </c>
      <c r="F9" s="482"/>
      <c r="G9" s="482">
        <f>transport!G14</f>
        <v>88869.34422324349</v>
      </c>
      <c r="H9" s="482">
        <f>transport!H14</f>
        <v>19449.003491064133</v>
      </c>
      <c r="I9" s="482"/>
      <c r="J9" s="482"/>
      <c r="K9" s="482"/>
      <c r="L9" s="482"/>
      <c r="M9" s="482">
        <f>transport!M14</f>
        <v>5769.4816141247056</v>
      </c>
      <c r="N9" s="482"/>
      <c r="O9" s="482"/>
      <c r="P9" s="482"/>
      <c r="Q9" s="481">
        <f>SUM(B9:P9)</f>
        <v>114543.00765144872</v>
      </c>
    </row>
    <row r="10" spans="1:17">
      <c r="A10" s="477" t="s">
        <v>551</v>
      </c>
      <c r="B10" s="478">
        <f>transport!B54</f>
        <v>0</v>
      </c>
      <c r="C10" s="478"/>
      <c r="D10" s="478">
        <f>transport!D54</f>
        <v>0</v>
      </c>
      <c r="E10" s="478"/>
      <c r="F10" s="478"/>
      <c r="G10" s="478">
        <f>transport!G54</f>
        <v>2160.9850528673437</v>
      </c>
      <c r="H10" s="478"/>
      <c r="I10" s="478"/>
      <c r="J10" s="478"/>
      <c r="K10" s="478"/>
      <c r="L10" s="478"/>
      <c r="M10" s="478">
        <f>transport!M54</f>
        <v>122.73441116928333</v>
      </c>
      <c r="N10" s="478"/>
      <c r="O10" s="478"/>
      <c r="P10" s="479"/>
      <c r="Q10" s="477">
        <f t="shared" si="0"/>
        <v>2283.719464036627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95779.594661450916</v>
      </c>
      <c r="C14" s="488">
        <f t="shared" ref="C14:Q14" ca="1" si="1">SUM(C4:C13)</f>
        <v>0</v>
      </c>
      <c r="D14" s="488">
        <f t="shared" ca="1" si="1"/>
        <v>155212.59235815564</v>
      </c>
      <c r="E14" s="488">
        <f t="shared" si="1"/>
        <v>13133.45062404262</v>
      </c>
      <c r="F14" s="488">
        <f t="shared" ca="1" si="1"/>
        <v>83922.771724918915</v>
      </c>
      <c r="G14" s="488">
        <f t="shared" si="1"/>
        <v>91030.329276110831</v>
      </c>
      <c r="H14" s="488">
        <f t="shared" si="1"/>
        <v>19449.003491064133</v>
      </c>
      <c r="I14" s="488">
        <f t="shared" si="1"/>
        <v>0</v>
      </c>
      <c r="J14" s="488">
        <f t="shared" si="1"/>
        <v>164.51521885337112</v>
      </c>
      <c r="K14" s="488">
        <f t="shared" si="1"/>
        <v>0</v>
      </c>
      <c r="L14" s="488">
        <f t="shared" ca="1" si="1"/>
        <v>0</v>
      </c>
      <c r="M14" s="488">
        <f t="shared" si="1"/>
        <v>5892.2160252939893</v>
      </c>
      <c r="N14" s="488">
        <f t="shared" ca="1" si="1"/>
        <v>30776.421062968693</v>
      </c>
      <c r="O14" s="488">
        <f t="shared" si="1"/>
        <v>414.28333333333336</v>
      </c>
      <c r="P14" s="489">
        <f t="shared" si="1"/>
        <v>1010.5333333333333</v>
      </c>
      <c r="Q14" s="489">
        <f t="shared" ca="1" si="1"/>
        <v>496785.71110952582</v>
      </c>
    </row>
    <row r="16" spans="1:17">
      <c r="A16" s="491" t="s">
        <v>556</v>
      </c>
      <c r="B16" s="841">
        <f ca="1">huishoudens!B10</f>
        <v>0.1547511494251938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5161.9613718035143</v>
      </c>
      <c r="C21" s="478">
        <f t="shared" ref="C21:C28" ca="1" si="3">C4*$C$16</f>
        <v>0</v>
      </c>
      <c r="D21" s="478">
        <f t="shared" ref="D21:D30" si="4">D4*$D$16</f>
        <v>11305.156480400201</v>
      </c>
      <c r="E21" s="478">
        <f t="shared" ref="E21:E30" si="5">E4*$E$16</f>
        <v>1850.9956272848378</v>
      </c>
      <c r="F21" s="478">
        <f t="shared" ref="F21:F28" si="6">F4*$F$16</f>
        <v>16376.319165844203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34694.432645332759</v>
      </c>
    </row>
    <row r="22" spans="1:17">
      <c r="A22" s="477" t="s">
        <v>156</v>
      </c>
      <c r="B22" s="478">
        <f t="shared" ca="1" si="2"/>
        <v>2519.9174158429887</v>
      </c>
      <c r="C22" s="478">
        <f t="shared" ca="1" si="3"/>
        <v>0</v>
      </c>
      <c r="D22" s="478">
        <f t="shared" ca="1" si="4"/>
        <v>3997.3960581939996</v>
      </c>
      <c r="E22" s="478">
        <f t="shared" si="5"/>
        <v>60.724741754024507</v>
      </c>
      <c r="F22" s="478">
        <f t="shared" ca="1" si="6"/>
        <v>825.69239026384412</v>
      </c>
      <c r="G22" s="478">
        <f t="shared" si="7"/>
        <v>0</v>
      </c>
      <c r="H22" s="478">
        <f t="shared" si="8"/>
        <v>0</v>
      </c>
      <c r="I22" s="478">
        <f t="shared" si="9"/>
        <v>0</v>
      </c>
      <c r="J22" s="478">
        <f t="shared" si="10"/>
        <v>2.8522144892598082E-2</v>
      </c>
      <c r="K22" s="478">
        <f t="shared" si="11"/>
        <v>0</v>
      </c>
      <c r="L22" s="478">
        <f t="shared" ca="1" si="12"/>
        <v>0</v>
      </c>
      <c r="M22" s="478">
        <f t="shared" si="13"/>
        <v>0</v>
      </c>
      <c r="N22" s="478">
        <f t="shared" ca="1" si="14"/>
        <v>0</v>
      </c>
      <c r="O22" s="478">
        <f t="shared" si="15"/>
        <v>0</v>
      </c>
      <c r="P22" s="479">
        <f t="shared" si="16"/>
        <v>0</v>
      </c>
      <c r="Q22" s="477">
        <f t="shared" ref="Q22:Q30" ca="1" si="17">SUM(B22:P22)</f>
        <v>7403.7591281997493</v>
      </c>
    </row>
    <row r="23" spans="1:17">
      <c r="A23" s="477" t="s">
        <v>194</v>
      </c>
      <c r="B23" s="478">
        <f t="shared" ca="1" si="2"/>
        <v>173.2018194688608</v>
      </c>
      <c r="C23" s="478"/>
      <c r="D23" s="478"/>
      <c r="E23" s="478"/>
      <c r="F23" s="478"/>
      <c r="G23" s="478"/>
      <c r="H23" s="478"/>
      <c r="I23" s="478"/>
      <c r="J23" s="478"/>
      <c r="K23" s="478"/>
      <c r="L23" s="478"/>
      <c r="M23" s="478"/>
      <c r="N23" s="478"/>
      <c r="O23" s="478"/>
      <c r="P23" s="479"/>
      <c r="Q23" s="477">
        <f t="shared" ca="1" si="17"/>
        <v>173.2018194688608</v>
      </c>
    </row>
    <row r="24" spans="1:17">
      <c r="A24" s="477" t="s">
        <v>112</v>
      </c>
      <c r="B24" s="478">
        <f t="shared" ca="1" si="2"/>
        <v>166.3264191840851</v>
      </c>
      <c r="C24" s="478">
        <f t="shared" ca="1" si="3"/>
        <v>0</v>
      </c>
      <c r="D24" s="478">
        <f t="shared" si="4"/>
        <v>551.08912579820003</v>
      </c>
      <c r="E24" s="478">
        <f t="shared" si="5"/>
        <v>7.171300632870742</v>
      </c>
      <c r="F24" s="478">
        <f t="shared" si="6"/>
        <v>1195.5073431256828</v>
      </c>
      <c r="G24" s="478">
        <f t="shared" si="7"/>
        <v>0</v>
      </c>
      <c r="H24" s="478">
        <f t="shared" si="8"/>
        <v>0</v>
      </c>
      <c r="I24" s="478">
        <f t="shared" si="9"/>
        <v>0</v>
      </c>
      <c r="J24" s="478">
        <f t="shared" si="10"/>
        <v>55.123226679113486</v>
      </c>
      <c r="K24" s="478">
        <f t="shared" si="11"/>
        <v>0</v>
      </c>
      <c r="L24" s="478">
        <f t="shared" si="12"/>
        <v>0</v>
      </c>
      <c r="M24" s="478">
        <f t="shared" si="13"/>
        <v>0</v>
      </c>
      <c r="N24" s="478">
        <f t="shared" si="14"/>
        <v>0</v>
      </c>
      <c r="O24" s="478">
        <f t="shared" si="15"/>
        <v>0</v>
      </c>
      <c r="P24" s="479">
        <f t="shared" si="16"/>
        <v>0</v>
      </c>
      <c r="Q24" s="477">
        <f t="shared" ca="1" si="17"/>
        <v>1975.2174154199522</v>
      </c>
    </row>
    <row r="25" spans="1:17">
      <c r="A25" s="477" t="s">
        <v>635</v>
      </c>
      <c r="B25" s="478">
        <f t="shared" ca="1" si="2"/>
        <v>6792.5554667754368</v>
      </c>
      <c r="C25" s="478">
        <f t="shared" ca="1" si="3"/>
        <v>0</v>
      </c>
      <c r="D25" s="478">
        <f t="shared" si="4"/>
        <v>15464.560076269083</v>
      </c>
      <c r="E25" s="478">
        <f t="shared" si="5"/>
        <v>1009.9112572417142</v>
      </c>
      <c r="F25" s="478">
        <f t="shared" si="6"/>
        <v>4009.8611513196229</v>
      </c>
      <c r="G25" s="478">
        <f t="shared" si="7"/>
        <v>0</v>
      </c>
      <c r="H25" s="478">
        <f t="shared" si="8"/>
        <v>0</v>
      </c>
      <c r="I25" s="478">
        <f t="shared" si="9"/>
        <v>0</v>
      </c>
      <c r="J25" s="478">
        <f t="shared" si="10"/>
        <v>3.0866386500872887</v>
      </c>
      <c r="K25" s="478">
        <f t="shared" si="11"/>
        <v>0</v>
      </c>
      <c r="L25" s="478">
        <f t="shared" si="12"/>
        <v>0</v>
      </c>
      <c r="M25" s="478">
        <f t="shared" si="13"/>
        <v>0</v>
      </c>
      <c r="N25" s="478">
        <f t="shared" si="14"/>
        <v>0</v>
      </c>
      <c r="O25" s="478">
        <f t="shared" si="15"/>
        <v>0</v>
      </c>
      <c r="P25" s="479">
        <f t="shared" si="16"/>
        <v>0</v>
      </c>
      <c r="Q25" s="477">
        <f t="shared" ca="1" si="17"/>
        <v>27279.974590255944</v>
      </c>
    </row>
    <row r="26" spans="1:17" s="483" customFormat="1">
      <c r="A26" s="481" t="s">
        <v>561</v>
      </c>
      <c r="B26" s="835">
        <f t="shared" ca="1" si="2"/>
        <v>8.0398722637993796</v>
      </c>
      <c r="C26" s="482"/>
      <c r="D26" s="482">
        <f t="shared" si="4"/>
        <v>34.741915685960763</v>
      </c>
      <c r="E26" s="482">
        <f t="shared" si="5"/>
        <v>52.490364744227662</v>
      </c>
      <c r="F26" s="482"/>
      <c r="G26" s="482">
        <f t="shared" si="7"/>
        <v>23728.114907606014</v>
      </c>
      <c r="H26" s="482">
        <f t="shared" si="8"/>
        <v>4842.8018692749692</v>
      </c>
      <c r="I26" s="482"/>
      <c r="J26" s="482"/>
      <c r="K26" s="482"/>
      <c r="L26" s="482"/>
      <c r="M26" s="482">
        <f t="shared" si="13"/>
        <v>0</v>
      </c>
      <c r="N26" s="482"/>
      <c r="O26" s="482"/>
      <c r="P26" s="493"/>
      <c r="Q26" s="481">
        <f t="shared" ca="1" si="17"/>
        <v>28666.188929574972</v>
      </c>
    </row>
    <row r="27" spans="1:17">
      <c r="A27" s="477" t="s">
        <v>551</v>
      </c>
      <c r="B27" s="478">
        <f t="shared" ca="1" si="2"/>
        <v>0</v>
      </c>
      <c r="C27" s="478"/>
      <c r="D27" s="482">
        <f t="shared" si="4"/>
        <v>0</v>
      </c>
      <c r="E27" s="478"/>
      <c r="F27" s="478"/>
      <c r="G27" s="478">
        <f t="shared" si="7"/>
        <v>576.98300911558078</v>
      </c>
      <c r="H27" s="478"/>
      <c r="I27" s="478"/>
      <c r="J27" s="478"/>
      <c r="K27" s="478"/>
      <c r="L27" s="478"/>
      <c r="M27" s="478">
        <f t="shared" si="13"/>
        <v>0</v>
      </c>
      <c r="N27" s="478"/>
      <c r="O27" s="478"/>
      <c r="P27" s="479"/>
      <c r="Q27" s="477">
        <f t="shared" ca="1" si="17"/>
        <v>576.98300911558078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14822.002365338687</v>
      </c>
      <c r="C31" s="488">
        <f t="shared" ca="1" si="18"/>
        <v>0</v>
      </c>
      <c r="D31" s="488">
        <f t="shared" ca="1" si="18"/>
        <v>31352.943656347445</v>
      </c>
      <c r="E31" s="488">
        <f t="shared" si="18"/>
        <v>2981.2932916576747</v>
      </c>
      <c r="F31" s="488">
        <f t="shared" ca="1" si="18"/>
        <v>22407.380050553351</v>
      </c>
      <c r="G31" s="488">
        <f t="shared" si="18"/>
        <v>24305.097916721596</v>
      </c>
      <c r="H31" s="488">
        <f t="shared" si="18"/>
        <v>4842.8018692749692</v>
      </c>
      <c r="I31" s="488">
        <f t="shared" si="18"/>
        <v>0</v>
      </c>
      <c r="J31" s="488">
        <f t="shared" si="18"/>
        <v>58.238387474093372</v>
      </c>
      <c r="K31" s="488">
        <f t="shared" si="18"/>
        <v>0</v>
      </c>
      <c r="L31" s="488">
        <f t="shared" ca="1" si="18"/>
        <v>0</v>
      </c>
      <c r="M31" s="488">
        <f t="shared" si="18"/>
        <v>0</v>
      </c>
      <c r="N31" s="488">
        <f t="shared" ca="1" si="18"/>
        <v>0</v>
      </c>
      <c r="O31" s="488">
        <f t="shared" si="18"/>
        <v>0</v>
      </c>
      <c r="P31" s="489">
        <f t="shared" si="18"/>
        <v>0</v>
      </c>
      <c r="Q31" s="489">
        <f t="shared" ca="1" si="18"/>
        <v>100769.75753736783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0.1547511494251938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0.1547511494251938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0.1547511494251938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8153</v>
      </c>
      <c r="C9" s="342">
        <v>8147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2103.6999999999998</v>
      </c>
    </row>
    <row r="15" spans="1:6">
      <c r="A15" s="348" t="s">
        <v>184</v>
      </c>
      <c r="B15" s="334">
        <v>16</v>
      </c>
    </row>
    <row r="16" spans="1:6">
      <c r="A16" s="348" t="s">
        <v>6</v>
      </c>
      <c r="B16" s="334">
        <v>814</v>
      </c>
    </row>
    <row r="17" spans="1:6">
      <c r="A17" s="348" t="s">
        <v>7</v>
      </c>
      <c r="B17" s="334">
        <v>481</v>
      </c>
    </row>
    <row r="18" spans="1:6">
      <c r="A18" s="348" t="s">
        <v>8</v>
      </c>
      <c r="B18" s="334">
        <v>802</v>
      </c>
    </row>
    <row r="19" spans="1:6">
      <c r="A19" s="348" t="s">
        <v>9</v>
      </c>
      <c r="B19" s="334">
        <v>733</v>
      </c>
    </row>
    <row r="20" spans="1:6">
      <c r="A20" s="348" t="s">
        <v>10</v>
      </c>
      <c r="B20" s="334">
        <v>482</v>
      </c>
    </row>
    <row r="21" spans="1:6">
      <c r="A21" s="348" t="s">
        <v>11</v>
      </c>
      <c r="B21" s="334">
        <v>2557</v>
      </c>
    </row>
    <row r="22" spans="1:6">
      <c r="A22" s="348" t="s">
        <v>12</v>
      </c>
      <c r="B22" s="334">
        <v>2508</v>
      </c>
    </row>
    <row r="23" spans="1:6">
      <c r="A23" s="348" t="s">
        <v>13</v>
      </c>
      <c r="B23" s="334">
        <v>152</v>
      </c>
    </row>
    <row r="24" spans="1:6">
      <c r="A24" s="348" t="s">
        <v>14</v>
      </c>
      <c r="B24" s="334">
        <v>4</v>
      </c>
    </row>
    <row r="25" spans="1:6">
      <c r="A25" s="348" t="s">
        <v>15</v>
      </c>
      <c r="B25" s="334">
        <v>665</v>
      </c>
    </row>
    <row r="26" spans="1:6">
      <c r="A26" s="348" t="s">
        <v>16</v>
      </c>
      <c r="B26" s="334">
        <v>622</v>
      </c>
    </row>
    <row r="27" spans="1:6">
      <c r="A27" s="348" t="s">
        <v>17</v>
      </c>
      <c r="B27" s="334">
        <v>624</v>
      </c>
    </row>
    <row r="28" spans="1:6" s="356" customFormat="1">
      <c r="A28" s="355" t="s">
        <v>18</v>
      </c>
      <c r="B28" s="355">
        <v>165855</v>
      </c>
    </row>
    <row r="29" spans="1:6">
      <c r="A29" s="355" t="s">
        <v>744</v>
      </c>
      <c r="B29" s="355">
        <v>205</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12512</v>
      </c>
    </row>
    <row r="36" spans="1:6">
      <c r="A36" s="348" t="s">
        <v>25</v>
      </c>
      <c r="B36" s="348" t="s">
        <v>27</v>
      </c>
      <c r="C36" s="334">
        <v>0</v>
      </c>
      <c r="D36" s="334">
        <v>0</v>
      </c>
      <c r="E36" s="334">
        <v>20</v>
      </c>
      <c r="F36" s="334">
        <v>626112</v>
      </c>
    </row>
    <row r="37" spans="1:6">
      <c r="A37" s="348" t="s">
        <v>25</v>
      </c>
      <c r="B37" s="348" t="s">
        <v>28</v>
      </c>
      <c r="C37" s="334">
        <v>0</v>
      </c>
      <c r="D37" s="334">
        <v>0</v>
      </c>
      <c r="E37" s="334">
        <v>0</v>
      </c>
      <c r="F37" s="334">
        <v>0</v>
      </c>
    </row>
    <row r="38" spans="1:6">
      <c r="A38" s="348" t="s">
        <v>25</v>
      </c>
      <c r="B38" s="348" t="s">
        <v>29</v>
      </c>
      <c r="C38" s="334">
        <v>2</v>
      </c>
      <c r="D38" s="334">
        <v>594636.42099999997</v>
      </c>
      <c r="E38" s="334">
        <v>0</v>
      </c>
      <c r="F38" s="334">
        <v>0</v>
      </c>
    </row>
    <row r="39" spans="1:6">
      <c r="A39" s="348" t="s">
        <v>30</v>
      </c>
      <c r="B39" s="348" t="s">
        <v>31</v>
      </c>
      <c r="C39" s="334">
        <v>4076</v>
      </c>
      <c r="D39" s="334">
        <v>62046697.549999997</v>
      </c>
      <c r="E39" s="334">
        <v>8073</v>
      </c>
      <c r="F39" s="334">
        <v>26591344.350000001</v>
      </c>
    </row>
    <row r="40" spans="1:6">
      <c r="A40" s="348" t="s">
        <v>30</v>
      </c>
      <c r="B40" s="348" t="s">
        <v>29</v>
      </c>
      <c r="C40" s="334">
        <v>0</v>
      </c>
      <c r="D40" s="334">
        <v>0</v>
      </c>
      <c r="E40" s="334">
        <v>0</v>
      </c>
      <c r="F40" s="334">
        <v>0</v>
      </c>
    </row>
    <row r="41" spans="1:6">
      <c r="A41" s="348" t="s">
        <v>32</v>
      </c>
      <c r="B41" s="348" t="s">
        <v>33</v>
      </c>
      <c r="C41" s="334">
        <v>69</v>
      </c>
      <c r="D41" s="334">
        <v>24492577.721000001</v>
      </c>
      <c r="E41" s="334">
        <v>149</v>
      </c>
      <c r="F41" s="334">
        <v>14046314.023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49854453</v>
      </c>
      <c r="E44" s="334">
        <v>42</v>
      </c>
      <c r="F44" s="334">
        <v>19790833</v>
      </c>
    </row>
    <row r="45" spans="1:6">
      <c r="A45" s="348" t="s">
        <v>32</v>
      </c>
      <c r="B45" s="348" t="s">
        <v>37</v>
      </c>
      <c r="C45" s="334">
        <v>4</v>
      </c>
      <c r="D45" s="334">
        <v>238119</v>
      </c>
      <c r="E45" s="334">
        <v>13</v>
      </c>
      <c r="F45" s="334">
        <v>4156878.2069999999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20185</v>
      </c>
      <c r="E48" s="334">
        <v>5</v>
      </c>
      <c r="F48" s="334">
        <v>527465</v>
      </c>
    </row>
    <row r="49" spans="1:6">
      <c r="A49" s="348" t="s">
        <v>32</v>
      </c>
      <c r="B49" s="348" t="s">
        <v>40</v>
      </c>
      <c r="C49" s="334">
        <v>0</v>
      </c>
      <c r="D49" s="334">
        <v>0</v>
      </c>
      <c r="E49" s="334">
        <v>0</v>
      </c>
      <c r="F49" s="334">
        <v>0</v>
      </c>
    </row>
    <row r="50" spans="1:6">
      <c r="A50" s="348" t="s">
        <v>32</v>
      </c>
      <c r="B50" s="348" t="s">
        <v>41</v>
      </c>
      <c r="C50" s="334">
        <v>8</v>
      </c>
      <c r="D50" s="334">
        <v>10269641</v>
      </c>
      <c r="E50" s="334">
        <v>20</v>
      </c>
      <c r="F50" s="334">
        <v>5371918.5880000005</v>
      </c>
    </row>
    <row r="51" spans="1:6">
      <c r="A51" s="348" t="s">
        <v>42</v>
      </c>
      <c r="B51" s="348" t="s">
        <v>43</v>
      </c>
      <c r="C51" s="334">
        <v>7</v>
      </c>
      <c r="D51" s="334">
        <v>155656</v>
      </c>
      <c r="E51" s="334">
        <v>51</v>
      </c>
      <c r="F51" s="334">
        <v>1074799.2490000001</v>
      </c>
    </row>
    <row r="52" spans="1:6">
      <c r="A52" s="348" t="s">
        <v>42</v>
      </c>
      <c r="B52" s="348" t="s">
        <v>29</v>
      </c>
      <c r="C52" s="334">
        <v>0</v>
      </c>
      <c r="D52" s="334">
        <v>0</v>
      </c>
      <c r="E52" s="334">
        <v>0</v>
      </c>
      <c r="F52" s="334">
        <v>0</v>
      </c>
    </row>
    <row r="53" spans="1:6">
      <c r="A53" s="348" t="s">
        <v>44</v>
      </c>
      <c r="B53" s="348" t="s">
        <v>45</v>
      </c>
      <c r="C53" s="334">
        <v>59</v>
      </c>
      <c r="D53" s="334">
        <v>2868916.05</v>
      </c>
      <c r="E53" s="334">
        <v>147</v>
      </c>
      <c r="F53" s="334">
        <v>686881.65</v>
      </c>
    </row>
    <row r="54" spans="1:6">
      <c r="A54" s="348" t="s">
        <v>46</v>
      </c>
      <c r="B54" s="348" t="s">
        <v>47</v>
      </c>
      <c r="C54" s="334">
        <v>0</v>
      </c>
      <c r="D54" s="334">
        <v>0</v>
      </c>
      <c r="E54" s="334">
        <v>3</v>
      </c>
      <c r="F54" s="334">
        <v>1119228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2365067</v>
      </c>
      <c r="E57" s="334">
        <v>73</v>
      </c>
      <c r="F57" s="334">
        <v>3711910.6889999998</v>
      </c>
    </row>
    <row r="58" spans="1:6">
      <c r="A58" s="348" t="s">
        <v>49</v>
      </c>
      <c r="B58" s="348" t="s">
        <v>51</v>
      </c>
      <c r="C58" s="334">
        <v>34</v>
      </c>
      <c r="D58" s="334">
        <v>2339615</v>
      </c>
      <c r="E58" s="334">
        <v>44</v>
      </c>
      <c r="F58" s="334">
        <v>820381.49199999997</v>
      </c>
    </row>
    <row r="59" spans="1:6">
      <c r="A59" s="348" t="s">
        <v>49</v>
      </c>
      <c r="B59" s="348" t="s">
        <v>52</v>
      </c>
      <c r="C59" s="334">
        <v>95</v>
      </c>
      <c r="D59" s="334">
        <v>3669089</v>
      </c>
      <c r="E59" s="334">
        <v>224</v>
      </c>
      <c r="F59" s="334">
        <v>6399509.9380000001</v>
      </c>
    </row>
    <row r="60" spans="1:6">
      <c r="A60" s="348" t="s">
        <v>49</v>
      </c>
      <c r="B60" s="348" t="s">
        <v>53</v>
      </c>
      <c r="C60" s="334">
        <v>45</v>
      </c>
      <c r="D60" s="334">
        <v>1772180</v>
      </c>
      <c r="E60" s="334">
        <v>79</v>
      </c>
      <c r="F60" s="334">
        <v>1871145</v>
      </c>
    </row>
    <row r="61" spans="1:6">
      <c r="A61" s="348" t="s">
        <v>49</v>
      </c>
      <c r="B61" s="348" t="s">
        <v>54</v>
      </c>
      <c r="C61" s="334">
        <v>128</v>
      </c>
      <c r="D61" s="334">
        <v>10419098.5</v>
      </c>
      <c r="E61" s="334">
        <v>276</v>
      </c>
      <c r="F61" s="334">
        <v>3208331.8339999998</v>
      </c>
    </row>
    <row r="62" spans="1:6">
      <c r="A62" s="348" t="s">
        <v>49</v>
      </c>
      <c r="B62" s="348" t="s">
        <v>55</v>
      </c>
      <c r="C62" s="334">
        <v>7</v>
      </c>
      <c r="D62" s="334">
        <v>1374074</v>
      </c>
      <c r="E62" s="334">
        <v>15</v>
      </c>
      <c r="F62" s="334">
        <v>272396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82937</v>
      </c>
      <c r="E65" s="334">
        <v>0</v>
      </c>
      <c r="F65" s="334">
        <v>0</v>
      </c>
    </row>
    <row r="66" spans="1:6">
      <c r="A66" s="348" t="s">
        <v>56</v>
      </c>
      <c r="B66" s="348" t="s">
        <v>58</v>
      </c>
      <c r="C66" s="334">
        <v>0</v>
      </c>
      <c r="D66" s="334">
        <v>0</v>
      </c>
      <c r="E66" s="334">
        <v>30</v>
      </c>
      <c r="F66" s="334">
        <v>799373</v>
      </c>
    </row>
    <row r="67" spans="1:6">
      <c r="A67" s="355" t="s">
        <v>56</v>
      </c>
      <c r="B67" s="355" t="s">
        <v>59</v>
      </c>
      <c r="C67" s="334">
        <v>0</v>
      </c>
      <c r="D67" s="334">
        <v>0</v>
      </c>
      <c r="E67" s="334">
        <v>0</v>
      </c>
      <c r="F67" s="334">
        <v>0</v>
      </c>
    </row>
    <row r="68" spans="1:6">
      <c r="A68" s="341" t="s">
        <v>56</v>
      </c>
      <c r="B68" s="341" t="s">
        <v>60</v>
      </c>
      <c r="C68" s="334">
        <v>0</v>
      </c>
      <c r="D68" s="334">
        <v>0</v>
      </c>
      <c r="E68" s="334">
        <v>9</v>
      </c>
      <c r="F68" s="334">
        <v>95120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114460377</v>
      </c>
      <c r="E73" s="476">
        <v>116234218.11198471</v>
      </c>
    </row>
    <row r="74" spans="1:6">
      <c r="A74" s="348" t="s">
        <v>64</v>
      </c>
      <c r="B74" s="348" t="s">
        <v>657</v>
      </c>
      <c r="C74" s="1272" t="s">
        <v>659</v>
      </c>
      <c r="D74" s="476">
        <v>10797478.557053939</v>
      </c>
      <c r="E74" s="476">
        <v>11030761.883922756</v>
      </c>
    </row>
    <row r="75" spans="1:6">
      <c r="A75" s="348" t="s">
        <v>65</v>
      </c>
      <c r="B75" s="348" t="s">
        <v>656</v>
      </c>
      <c r="C75" s="1272" t="s">
        <v>660</v>
      </c>
      <c r="D75" s="476">
        <v>17601435</v>
      </c>
      <c r="E75" s="476">
        <v>17822414.668259915</v>
      </c>
    </row>
    <row r="76" spans="1:6">
      <c r="A76" s="348" t="s">
        <v>65</v>
      </c>
      <c r="B76" s="348" t="s">
        <v>657</v>
      </c>
      <c r="C76" s="1272" t="s">
        <v>661</v>
      </c>
      <c r="D76" s="476">
        <v>526478.55705393944</v>
      </c>
      <c r="E76" s="476">
        <v>537838.82718195685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619382.88589212124</v>
      </c>
      <c r="C83" s="476">
        <v>633349.30453559267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10334.121279407986</v>
      </c>
    </row>
    <row r="91" spans="1:6">
      <c r="A91" s="348" t="s">
        <v>68</v>
      </c>
      <c r="B91" s="334">
        <v>6765.1857370271655</v>
      </c>
    </row>
    <row r="92" spans="1:6">
      <c r="A92" s="341" t="s">
        <v>69</v>
      </c>
      <c r="B92" s="342">
        <v>11612.403638958371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233</v>
      </c>
    </row>
    <row r="130" spans="1:6">
      <c r="A130" s="348" t="s">
        <v>295</v>
      </c>
      <c r="B130" s="334">
        <v>3</v>
      </c>
    </row>
    <row r="131" spans="1:6">
      <c r="A131" s="348" t="s">
        <v>296</v>
      </c>
      <c r="B131" s="334">
        <v>5</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95779.594661450916</v>
      </c>
      <c r="C3" s="43" t="s">
        <v>170</v>
      </c>
      <c r="D3" s="43"/>
      <c r="E3" s="154"/>
      <c r="F3" s="43"/>
      <c r="G3" s="43"/>
      <c r="H3" s="43"/>
      <c r="I3" s="43"/>
      <c r="J3" s="43"/>
      <c r="K3" s="96"/>
    </row>
    <row r="4" spans="1:11">
      <c r="A4" s="383" t="s">
        <v>171</v>
      </c>
      <c r="B4" s="49">
        <f>IF(ISERROR('SEAP template'!B69),0,'SEAP template'!B69)</f>
        <v>28711.710655393523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0.1547511494251938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0.1547511494251938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173.2018194688608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26591.344350000003</v>
      </c>
      <c r="C5" s="17">
        <f>IF(ISERROR('Eigen informatie GS &amp; warmtenet'!B57),0,'Eigen informatie GS &amp; warmtenet'!B57)</f>
        <v>0</v>
      </c>
      <c r="D5" s="30">
        <f>(SUM(HH_hh_gas_kWh,HH_rest_gas_kWh)/1000)*0.902</f>
        <v>55966.121190099999</v>
      </c>
      <c r="E5" s="17">
        <f>B46*B57</f>
        <v>8154.1657589640427</v>
      </c>
      <c r="F5" s="17">
        <f>B51*B62</f>
        <v>61334.528711026971</v>
      </c>
      <c r="G5" s="18"/>
      <c r="H5" s="17"/>
      <c r="I5" s="17"/>
      <c r="J5" s="17">
        <f>B50*B61+C50*C61</f>
        <v>0</v>
      </c>
      <c r="K5" s="17"/>
      <c r="L5" s="17"/>
      <c r="M5" s="17"/>
      <c r="N5" s="17">
        <f>B48*B59+C48*C59</f>
        <v>21275.918093421089</v>
      </c>
      <c r="O5" s="17">
        <f>B69*B70*B71</f>
        <v>409.59333333333336</v>
      </c>
      <c r="P5" s="17">
        <f>B77*B78*B79/1000-B77*B78*B79/1000/B80</f>
        <v>896.13333333333333</v>
      </c>
    </row>
    <row r="6" spans="1:16">
      <c r="A6" s="16" t="s">
        <v>621</v>
      </c>
      <c r="B6" s="843">
        <f>kWh_PV_kleiner_dan_10kW</f>
        <v>6765.1857370271655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33356.530087027168</v>
      </c>
      <c r="C8" s="21">
        <f>C5</f>
        <v>0</v>
      </c>
      <c r="D8" s="21">
        <f>D5</f>
        <v>55966.121190099999</v>
      </c>
      <c r="E8" s="21">
        <f>E5</f>
        <v>8154.1657589640427</v>
      </c>
      <c r="F8" s="21">
        <f>F5</f>
        <v>61334.528711026971</v>
      </c>
      <c r="G8" s="21"/>
      <c r="H8" s="21"/>
      <c r="I8" s="21"/>
      <c r="J8" s="21">
        <f>J5</f>
        <v>0</v>
      </c>
      <c r="K8" s="21"/>
      <c r="L8" s="21">
        <f>L5</f>
        <v>0</v>
      </c>
      <c r="M8" s="21">
        <f>M5</f>
        <v>0</v>
      </c>
      <c r="N8" s="21">
        <f>N5</f>
        <v>21275.918093421089</v>
      </c>
      <c r="O8" s="21">
        <f>O5</f>
        <v>409.59333333333336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0.1547511494251938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5161.9613718035143</v>
      </c>
      <c r="C12" s="23">
        <f ca="1">C10*C8</f>
        <v>0</v>
      </c>
      <c r="D12" s="23">
        <f>D8*D10</f>
        <v>11305.156480400201</v>
      </c>
      <c r="E12" s="23">
        <f>E10*E8</f>
        <v>1850.9956272848378</v>
      </c>
      <c r="F12" s="23">
        <f>F10*F8</f>
        <v>16376.319165844203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8153</v>
      </c>
      <c r="C28" s="36"/>
      <c r="D28" s="228"/>
    </row>
    <row r="29" spans="1:7" s="15" customFormat="1">
      <c r="A29" s="230" t="s">
        <v>795</v>
      </c>
      <c r="B29" s="37">
        <f>SUM(HH_hh_gas_aantal,HH_rest_gas_aantal)</f>
        <v>4076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4076</v>
      </c>
      <c r="C32" s="167">
        <f>IF(ISERROR(B32/SUM($B$32,$B$34,$B$35,$B$36,$B$38,$B$39)*100),0,B32/SUM($B$32,$B$34,$B$35,$B$36,$B$38,$B$39)*100)</f>
        <v>50.28374043918086</v>
      </c>
      <c r="D32" s="233"/>
      <c r="G32" s="15"/>
    </row>
    <row r="33" spans="1:7">
      <c r="A33" s="171" t="s">
        <v>72</v>
      </c>
      <c r="B33" s="34" t="s">
        <v>111</v>
      </c>
      <c r="C33" s="167"/>
      <c r="D33" s="233"/>
      <c r="G33" s="15"/>
    </row>
    <row r="34" spans="1:7">
      <c r="A34" s="171" t="s">
        <v>73</v>
      </c>
      <c r="B34" s="33">
        <f>IF((($B$28-$B$32-$B$39-$B$77-$B$38)*C20/100)&lt;0,0,($B$28-$B$32-$B$39-$B$77-$B$38)*C20/100)</f>
        <v>385.11304347826086</v>
      </c>
      <c r="C34" s="167">
        <f>IF(ISERROR(B34/SUM($B$32,$B$34,$B$35,$B$36,$B$38,$B$39)*100),0,B34/SUM($B$32,$B$34,$B$35,$B$36,$B$38,$B$39)*100)</f>
        <v>4.7509627865563884</v>
      </c>
      <c r="D34" s="233"/>
      <c r="G34" s="15"/>
    </row>
    <row r="35" spans="1:7">
      <c r="A35" s="171" t="s">
        <v>74</v>
      </c>
      <c r="B35" s="33">
        <f>IF((($B$28-$B$32-$B$39-$B$77-$B$38)*C21/100)&lt;0,0,($B$28-$B$32-$B$39-$B$77-$B$38)*C21/100)</f>
        <v>980.83478260869572</v>
      </c>
      <c r="C35" s="167">
        <f>IF(ISERROR(B35/SUM($B$32,$B$34,$B$35,$B$36,$B$38,$B$39)*100),0,B35/SUM($B$32,$B$34,$B$35,$B$36,$B$38,$B$39)*100)</f>
        <v>12.100108347010803</v>
      </c>
      <c r="D35" s="233"/>
      <c r="G35" s="15"/>
    </row>
    <row r="36" spans="1:7">
      <c r="A36" s="171" t="s">
        <v>75</v>
      </c>
      <c r="B36" s="33">
        <f>IF((($B$28-$B$32-$B$39-$B$77-$B$38)*C22/100)&lt;0,0,($B$28-$B$32-$B$39-$B$77-$B$38)*C22/100)</f>
        <v>294.85217391304354</v>
      </c>
      <c r="C36" s="167">
        <f>IF(ISERROR(B36/SUM($B$32,$B$34,$B$35,$B$36,$B$38,$B$39)*100),0,B36/SUM($B$32,$B$34,$B$35,$B$36,$B$38,$B$39)*100)</f>
        <v>3.6374558834572355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2369.1999999999998</v>
      </c>
      <c r="C39" s="167">
        <f>IF(ISERROR(B39/SUM($B$32,$B$34,$B$35,$B$36,$B$38,$B$39)*100),0,B39/SUM($B$32,$B$34,$B$35,$B$36,$B$38,$B$39)*100)</f>
        <v>29.227732543794716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4076</v>
      </c>
      <c r="C44" s="34" t="s">
        <v>111</v>
      </c>
      <c r="D44" s="174"/>
    </row>
    <row r="45" spans="1:7">
      <c r="A45" s="171" t="s">
        <v>72</v>
      </c>
      <c r="B45" s="33" t="str">
        <f t="shared" si="0"/>
        <v>-</v>
      </c>
      <c r="C45" s="34" t="s">
        <v>111</v>
      </c>
      <c r="D45" s="174"/>
    </row>
    <row r="46" spans="1:7">
      <c r="A46" s="171" t="s">
        <v>73</v>
      </c>
      <c r="B46" s="33">
        <f t="shared" si="0"/>
        <v>385.11304347826086</v>
      </c>
      <c r="C46" s="34" t="s">
        <v>111</v>
      </c>
      <c r="D46" s="174"/>
    </row>
    <row r="47" spans="1:7">
      <c r="A47" s="171" t="s">
        <v>74</v>
      </c>
      <c r="B47" s="33">
        <f t="shared" si="0"/>
        <v>980.83478260869572</v>
      </c>
      <c r="C47" s="34" t="s">
        <v>111</v>
      </c>
      <c r="D47" s="174"/>
    </row>
    <row r="48" spans="1:7">
      <c r="A48" s="171" t="s">
        <v>75</v>
      </c>
      <c r="B48" s="33">
        <f t="shared" si="0"/>
        <v>294.85217391304354</v>
      </c>
      <c r="C48" s="33">
        <f>B48*10</f>
        <v>2948.5217391304354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2369.1999999999998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16283.674953000002</v>
      </c>
      <c r="C5" s="17">
        <f>IF(ISERROR('Eigen informatie GS &amp; warmtenet'!B58),0,'Eigen informatie GS &amp; warmtenet'!B58)</f>
        <v>0</v>
      </c>
      <c r="D5" s="30">
        <f>SUM(D6:D12)</f>
        <v>19789.089396999996</v>
      </c>
      <c r="E5" s="17">
        <f>SUM(E6:E12)</f>
        <v>267.50987556838987</v>
      </c>
      <c r="F5" s="17">
        <f>SUM(F6:F12)</f>
        <v>3092.4808624114012</v>
      </c>
      <c r="G5" s="18"/>
      <c r="H5" s="17"/>
      <c r="I5" s="17"/>
      <c r="J5" s="17">
        <f>SUM(J6:J12)</f>
        <v>8.057103077005108E-2</v>
      </c>
      <c r="K5" s="17"/>
      <c r="L5" s="17"/>
      <c r="M5" s="17"/>
      <c r="N5" s="17">
        <f>SUM(N6:N12)</f>
        <v>3177.9910114232011</v>
      </c>
      <c r="O5" s="17">
        <f>B38*B39*B40</f>
        <v>4.6900000000000004</v>
      </c>
      <c r="P5" s="17">
        <f>B46*B47*B48/1000-B46*B47*B48/1000/B49</f>
        <v>114.4</v>
      </c>
      <c r="R5" s="32"/>
    </row>
    <row r="6" spans="1:18">
      <c r="A6" s="32" t="s">
        <v>54</v>
      </c>
      <c r="B6" s="37">
        <f>B26</f>
        <v>3208.3318339999996</v>
      </c>
      <c r="C6" s="33"/>
      <c r="D6" s="37">
        <f>IF(ISERROR(TER_kantoor_gas_kWh/1000),0,TER_kantoor_gas_kWh/1000)*0.902</f>
        <v>9398.026847000001</v>
      </c>
      <c r="E6" s="33">
        <f>$C$26*'E Balans VL '!I12/100/3.6*1000000</f>
        <v>2.0108756861061238E-2</v>
      </c>
      <c r="F6" s="33">
        <f>$C$26*('E Balans VL '!L12+'E Balans VL '!N12)/100/3.6*1000000</f>
        <v>482.12262530856293</v>
      </c>
      <c r="G6" s="34"/>
      <c r="H6" s="33"/>
      <c r="I6" s="33"/>
      <c r="J6" s="33">
        <f>$C$26*('E Balans VL '!D12+'E Balans VL '!E12)/100/3.6*1000000</f>
        <v>0</v>
      </c>
      <c r="K6" s="33"/>
      <c r="L6" s="33"/>
      <c r="M6" s="33"/>
      <c r="N6" s="33">
        <f>$C$26*'E Balans VL '!Y12/100/3.6*1000000</f>
        <v>3.0682937118226921</v>
      </c>
      <c r="O6" s="33"/>
      <c r="P6" s="33"/>
      <c r="R6" s="32"/>
    </row>
    <row r="7" spans="1:18">
      <c r="A7" s="32" t="s">
        <v>53</v>
      </c>
      <c r="B7" s="37">
        <f t="shared" ref="B7:B12" si="0">B27</f>
        <v>1871.145</v>
      </c>
      <c r="C7" s="33"/>
      <c r="D7" s="37">
        <f>IF(ISERROR(TER_horeca_gas_kWh/1000),0,TER_horeca_gas_kWh/1000)*0.902</f>
        <v>1598.5063600000001</v>
      </c>
      <c r="E7" s="33">
        <f>$C$27*'E Balans VL '!I9/100/3.6*1000000</f>
        <v>26.794484726740837</v>
      </c>
      <c r="F7" s="33">
        <f>$C$27*('E Balans VL '!L9+'E Balans VL '!N9)/100/3.6*1000000</f>
        <v>236.94866973963664</v>
      </c>
      <c r="G7" s="34"/>
      <c r="H7" s="33"/>
      <c r="I7" s="33"/>
      <c r="J7" s="33">
        <f>$C$27*('E Balans VL '!D9+'E Balans VL '!E9)/100/3.6*1000000</f>
        <v>0</v>
      </c>
      <c r="K7" s="33"/>
      <c r="L7" s="33"/>
      <c r="M7" s="33"/>
      <c r="N7" s="33">
        <f>$C$27*'E Balans VL '!Y9/100/3.6*1000000</f>
        <v>0.5379129322940831</v>
      </c>
      <c r="O7" s="33"/>
      <c r="P7" s="33"/>
      <c r="R7" s="32"/>
    </row>
    <row r="8" spans="1:18">
      <c r="A8" s="6" t="s">
        <v>52</v>
      </c>
      <c r="B8" s="37">
        <f t="shared" si="0"/>
        <v>6399.5099380000001</v>
      </c>
      <c r="C8" s="33"/>
      <c r="D8" s="37">
        <f>IF(ISERROR(TER_handel_gas_kWh/1000),0,TER_handel_gas_kWh/1000)*0.902</f>
        <v>3309.518278</v>
      </c>
      <c r="E8" s="33">
        <f>$C$28*'E Balans VL '!I13/100/3.6*1000000</f>
        <v>232.10943629904969</v>
      </c>
      <c r="F8" s="33">
        <f>$C$28*('E Balans VL '!L13+'E Balans VL '!N13)/100/3.6*1000000</f>
        <v>1232.6104132167241</v>
      </c>
      <c r="G8" s="34"/>
      <c r="H8" s="33"/>
      <c r="I8" s="33"/>
      <c r="J8" s="33">
        <f>$C$28*('E Balans VL '!D13+'E Balans VL '!E13)/100/3.6*1000000</f>
        <v>0</v>
      </c>
      <c r="K8" s="33"/>
      <c r="L8" s="33"/>
      <c r="M8" s="33"/>
      <c r="N8" s="33">
        <f>$C$28*'E Balans VL '!Y13/100/3.6*1000000</f>
        <v>8.8647937256969147</v>
      </c>
      <c r="O8" s="33"/>
      <c r="P8" s="33"/>
      <c r="R8" s="32"/>
    </row>
    <row r="9" spans="1:18">
      <c r="A9" s="32" t="s">
        <v>51</v>
      </c>
      <c r="B9" s="37">
        <f t="shared" si="0"/>
        <v>820.38149199999998</v>
      </c>
      <c r="C9" s="33"/>
      <c r="D9" s="37">
        <f>IF(ISERROR(TER_gezond_gas_kWh/1000),0,TER_gezond_gas_kWh/1000)*0.902</f>
        <v>2110.3327300000001</v>
      </c>
      <c r="E9" s="33">
        <f>$C$29*'E Balans VL '!I10/100/3.6*1000000</f>
        <v>5.1363981203119316E-2</v>
      </c>
      <c r="F9" s="33">
        <f>$C$29*('E Balans VL '!L10+'E Balans VL '!N10)/100/3.6*1000000</f>
        <v>121.87016846036298</v>
      </c>
      <c r="G9" s="34"/>
      <c r="H9" s="33"/>
      <c r="I9" s="33"/>
      <c r="J9" s="33">
        <f>$C$29*('E Balans VL '!D10+'E Balans VL '!E10)/100/3.6*1000000</f>
        <v>0</v>
      </c>
      <c r="K9" s="33"/>
      <c r="L9" s="33"/>
      <c r="M9" s="33"/>
      <c r="N9" s="33">
        <f>$C$29*'E Balans VL '!Y10/100/3.6*1000000</f>
        <v>12.689740078303364</v>
      </c>
      <c r="O9" s="33"/>
      <c r="P9" s="33"/>
      <c r="R9" s="32"/>
    </row>
    <row r="10" spans="1:18">
      <c r="A10" s="32" t="s">
        <v>50</v>
      </c>
      <c r="B10" s="37">
        <f t="shared" si="0"/>
        <v>3711.9106889999998</v>
      </c>
      <c r="C10" s="33"/>
      <c r="D10" s="37">
        <f>IF(ISERROR(TER_ander_gas_kWh/1000),0,TER_ander_gas_kWh/1000)*0.902</f>
        <v>2133.290434</v>
      </c>
      <c r="E10" s="33">
        <f>$C$30*'E Balans VL '!I14/100/3.6*1000000</f>
        <v>4.4244649000124125</v>
      </c>
      <c r="F10" s="33">
        <f>$C$30*('E Balans VL '!L14+'E Balans VL '!N14)/100/3.6*1000000</f>
        <v>971.20085483055448</v>
      </c>
      <c r="G10" s="34"/>
      <c r="H10" s="33"/>
      <c r="I10" s="33"/>
      <c r="J10" s="33">
        <f>$C$30*('E Balans VL '!D14+'E Balans VL '!E14)/100/3.6*1000000</f>
        <v>8.057103077005108E-2</v>
      </c>
      <c r="K10" s="33"/>
      <c r="L10" s="33"/>
      <c r="M10" s="33"/>
      <c r="N10" s="33">
        <f>$C$30*'E Balans VL '!Y14/100/3.6*1000000</f>
        <v>3152.0637279227517</v>
      </c>
      <c r="O10" s="33"/>
      <c r="P10" s="33"/>
      <c r="R10" s="32"/>
    </row>
    <row r="11" spans="1:18">
      <c r="A11" s="32" t="s">
        <v>55</v>
      </c>
      <c r="B11" s="37">
        <f t="shared" si="0"/>
        <v>272.39600000000002</v>
      </c>
      <c r="C11" s="33"/>
      <c r="D11" s="37">
        <f>IF(ISERROR(TER_onderwijs_gas_kWh/1000),0,TER_onderwijs_gas_kWh/1000)*0.902</f>
        <v>1239.4147480000001</v>
      </c>
      <c r="E11" s="33">
        <f>$C$31*'E Balans VL '!I11/100/3.6*1000000</f>
        <v>4.1100169045227775</v>
      </c>
      <c r="F11" s="33">
        <f>$C$31*('E Balans VL '!L11+'E Balans VL '!N11)/100/3.6*1000000</f>
        <v>47.728130855560309</v>
      </c>
      <c r="G11" s="34"/>
      <c r="H11" s="33"/>
      <c r="I11" s="33"/>
      <c r="J11" s="33">
        <f>$C$31*('E Balans VL '!D11+'E Balans VL '!E11)/100/3.6*1000000</f>
        <v>0</v>
      </c>
      <c r="K11" s="33"/>
      <c r="L11" s="33"/>
      <c r="M11" s="33"/>
      <c r="N11" s="33">
        <f>$C$31*'E Balans VL '!Y11/100/3.6*1000000</f>
        <v>0.76654305233253217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16283.674953000002</v>
      </c>
      <c r="C16" s="21">
        <f t="shared" ca="1" si="1"/>
        <v>0</v>
      </c>
      <c r="D16" s="21">
        <f t="shared" ca="1" si="1"/>
        <v>19789.089396999996</v>
      </c>
      <c r="E16" s="21">
        <f t="shared" si="1"/>
        <v>267.50987556838987</v>
      </c>
      <c r="F16" s="21">
        <f t="shared" ca="1" si="1"/>
        <v>3092.4808624114012</v>
      </c>
      <c r="G16" s="21">
        <f t="shared" si="1"/>
        <v>0</v>
      </c>
      <c r="H16" s="21">
        <f t="shared" si="1"/>
        <v>0</v>
      </c>
      <c r="I16" s="21">
        <f t="shared" si="1"/>
        <v>0</v>
      </c>
      <c r="J16" s="21">
        <f t="shared" si="1"/>
        <v>8.057103077005108E-2</v>
      </c>
      <c r="K16" s="21">
        <f t="shared" si="1"/>
        <v>0</v>
      </c>
      <c r="L16" s="21">
        <f t="shared" ca="1" si="1"/>
        <v>0</v>
      </c>
      <c r="M16" s="21">
        <f t="shared" si="1"/>
        <v>0</v>
      </c>
      <c r="N16" s="21">
        <f t="shared" ca="1" si="1"/>
        <v>3177.9910114232011</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0.1547511494251938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2519.9174158429887</v>
      </c>
      <c r="C20" s="23">
        <f t="shared" ref="C20:P20" ca="1" si="2">C16*C18</f>
        <v>0</v>
      </c>
      <c r="D20" s="23">
        <f t="shared" ca="1" si="2"/>
        <v>3997.3960581939996</v>
      </c>
      <c r="E20" s="23">
        <f t="shared" si="2"/>
        <v>60.724741754024507</v>
      </c>
      <c r="F20" s="23">
        <f t="shared" ca="1" si="2"/>
        <v>825.69239026384412</v>
      </c>
      <c r="G20" s="23">
        <f t="shared" si="2"/>
        <v>0</v>
      </c>
      <c r="H20" s="23">
        <f t="shared" si="2"/>
        <v>0</v>
      </c>
      <c r="I20" s="23">
        <f t="shared" si="2"/>
        <v>0</v>
      </c>
      <c r="J20" s="23">
        <f t="shared" si="2"/>
        <v>2.8522144892598082E-2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3208.3318339999996</v>
      </c>
      <c r="C26" s="39">
        <f>IF(ISERROR(B26*3.6/1000000/'E Balans VL '!Z12*100),0,B26*3.6/1000000/'E Balans VL '!Z12*100)</f>
        <v>6.7819052562603066E-2</v>
      </c>
      <c r="D26" s="237" t="s">
        <v>754</v>
      </c>
      <c r="F26" s="6"/>
    </row>
    <row r="27" spans="1:18">
      <c r="A27" s="231" t="s">
        <v>53</v>
      </c>
      <c r="B27" s="33">
        <f>IF(ISERROR(TER_horeca_ele_kWh/1000),0,TER_horeca_ele_kWh/1000)</f>
        <v>1871.145</v>
      </c>
      <c r="C27" s="39">
        <f>IF(ISERROR(B27*3.6/1000000/'E Balans VL '!Z9*100),0,B27*3.6/1000000/'E Balans VL '!Z9*100)</f>
        <v>0.14750166293865438</v>
      </c>
      <c r="D27" s="237" t="s">
        <v>754</v>
      </c>
      <c r="F27" s="6"/>
    </row>
    <row r="28" spans="1:18">
      <c r="A28" s="171" t="s">
        <v>52</v>
      </c>
      <c r="B28" s="33">
        <f>IF(ISERROR(TER_handel_ele_kWh/1000),0,TER_handel_ele_kWh/1000)</f>
        <v>6399.5099380000001</v>
      </c>
      <c r="C28" s="39">
        <f>IF(ISERROR(B28*3.6/1000000/'E Balans VL '!Z13*100),0,B28*3.6/1000000/'E Balans VL '!Z13*100)</f>
        <v>0.18573963531833496</v>
      </c>
      <c r="D28" s="237" t="s">
        <v>754</v>
      </c>
      <c r="F28" s="6"/>
    </row>
    <row r="29" spans="1:18">
      <c r="A29" s="231" t="s">
        <v>51</v>
      </c>
      <c r="B29" s="33">
        <f>IF(ISERROR(TER_gezond_ele_kWh/1000),0,TER_gezond_ele_kWh/1000)</f>
        <v>820.38149199999998</v>
      </c>
      <c r="C29" s="39">
        <f>IF(ISERROR(B29*3.6/1000000/'E Balans VL '!Z10*100),0,B29*3.6/1000000/'E Balans VL '!Z10*100)</f>
        <v>8.639964212728149E-2</v>
      </c>
      <c r="D29" s="237" t="s">
        <v>754</v>
      </c>
      <c r="F29" s="6"/>
    </row>
    <row r="30" spans="1:18">
      <c r="A30" s="231" t="s">
        <v>50</v>
      </c>
      <c r="B30" s="33">
        <f>IF(ISERROR(TER_ander_ele_kWh/1000),0,TER_ander_ele_kWh/1000)</f>
        <v>3711.9106889999998</v>
      </c>
      <c r="C30" s="39">
        <f>IF(ISERROR(B30*3.6/1000000/'E Balans VL '!Z14*100),0,B30*3.6/1000000/'E Balans VL '!Z14*100)</f>
        <v>0.2737913386436312</v>
      </c>
      <c r="D30" s="237" t="s">
        <v>754</v>
      </c>
      <c r="F30" s="6"/>
    </row>
    <row r="31" spans="1:18">
      <c r="A31" s="231" t="s">
        <v>55</v>
      </c>
      <c r="B31" s="33">
        <f>IF(ISERROR(TER_onderwijs_ele_kWh/1000),0,TER_onderwijs_ele_kWh/1000)</f>
        <v>272.39600000000002</v>
      </c>
      <c r="C31" s="39">
        <f>IF(ISERROR(B31*3.6/1000000/'E Balans VL '!Z11*100),0,B31*3.6/1000000/'E Balans VL '!Z11*100)</f>
        <v>6.764868658008974E-2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43893.408817999996</v>
      </c>
      <c r="C5" s="17">
        <f>IF(ISERROR('Eigen informatie GS &amp; warmtenet'!B59),0,'Eigen informatie GS &amp; warmtenet'!B59)</f>
        <v>0</v>
      </c>
      <c r="D5" s="30">
        <f>SUM(D6:D15)</f>
        <v>76557.228100341992</v>
      </c>
      <c r="E5" s="17">
        <f>SUM(E6:E15)</f>
        <v>4448.9482697872872</v>
      </c>
      <c r="F5" s="17">
        <f>SUM(F6:F15)</f>
        <v>15018.206559249524</v>
      </c>
      <c r="G5" s="18"/>
      <c r="H5" s="17"/>
      <c r="I5" s="17"/>
      <c r="J5" s="17">
        <f>SUM(J6:J15)</f>
        <v>8.7193182205855617</v>
      </c>
      <c r="K5" s="17"/>
      <c r="L5" s="17"/>
      <c r="M5" s="17"/>
      <c r="N5" s="17">
        <f>SUM(N6:N15)</f>
        <v>6322.5119581244035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19790.832999999999</v>
      </c>
      <c r="C8" s="33"/>
      <c r="D8" s="37">
        <f>IF( ISERROR(IND_metaal_Gas_kWH/1000),0,IND_metaal_Gas_kWH/1000)*0.902</f>
        <v>44968.716606000002</v>
      </c>
      <c r="E8" s="33">
        <f>C30*'E Balans VL '!I18/100/3.6*1000000</f>
        <v>181.95759526671227</v>
      </c>
      <c r="F8" s="33">
        <f>C30*'E Balans VL '!L18/100/3.6*1000000+C30*'E Balans VL '!N18/100/3.6*1000000</f>
        <v>1855.7212318721938</v>
      </c>
      <c r="G8" s="34"/>
      <c r="H8" s="33"/>
      <c r="I8" s="33"/>
      <c r="J8" s="40">
        <f>C30*'E Balans VL '!D18/100/3.6*1000000+C30*'E Balans VL '!E18/100/3.6*1000000</f>
        <v>0</v>
      </c>
      <c r="K8" s="33"/>
      <c r="L8" s="33"/>
      <c r="M8" s="33"/>
      <c r="N8" s="33">
        <f>C30*'E Balans VL '!Y18/100/3.6*1000000</f>
        <v>282.34893847380499</v>
      </c>
      <c r="O8" s="33"/>
      <c r="P8" s="33"/>
      <c r="R8" s="32"/>
    </row>
    <row r="9" spans="1:18">
      <c r="A9" s="6" t="s">
        <v>33</v>
      </c>
      <c r="B9" s="37">
        <f t="shared" si="0"/>
        <v>14046.314023000001</v>
      </c>
      <c r="C9" s="33"/>
      <c r="D9" s="37">
        <f>IF( ISERROR(IND_andere_gas_kWh/1000),0,IND_andere_gas_kWh/1000)*0.902</f>
        <v>22092.305104342002</v>
      </c>
      <c r="E9" s="33">
        <f>C31*'E Balans VL '!I19/100/3.6*1000000</f>
        <v>4106.0110384037489</v>
      </c>
      <c r="F9" s="33">
        <f>C31*'E Balans VL '!L19/100/3.6*1000000+C31*'E Balans VL '!N19/100/3.6*1000000</f>
        <v>11287.276525758169</v>
      </c>
      <c r="G9" s="34"/>
      <c r="H9" s="33"/>
      <c r="I9" s="33"/>
      <c r="J9" s="40">
        <f>C31*'E Balans VL '!D19/100/3.6*1000000+C31*'E Balans VL '!E19/100/3.6*1000000</f>
        <v>0</v>
      </c>
      <c r="K9" s="33"/>
      <c r="L9" s="33"/>
      <c r="M9" s="33"/>
      <c r="N9" s="33">
        <f>C31*'E Balans VL '!Y19/100/3.6*1000000</f>
        <v>4641.1199960846234</v>
      </c>
      <c r="O9" s="33"/>
      <c r="P9" s="33"/>
      <c r="R9" s="32"/>
    </row>
    <row r="10" spans="1:18">
      <c r="A10" s="6" t="s">
        <v>41</v>
      </c>
      <c r="B10" s="37">
        <f t="shared" si="0"/>
        <v>5371.9185880000005</v>
      </c>
      <c r="C10" s="33"/>
      <c r="D10" s="37">
        <f>IF( ISERROR(IND_voed_gas_kWh/1000),0,IND_voed_gas_kWh/1000)*0.902</f>
        <v>9263.2161820000001</v>
      </c>
      <c r="E10" s="33">
        <f>C32*'E Balans VL '!I20/100/3.6*1000000</f>
        <v>11.364377065498216</v>
      </c>
      <c r="F10" s="33">
        <f>C32*'E Balans VL '!L20/100/3.6*1000000+C32*'E Balans VL '!N20/100/3.6*1000000</f>
        <v>341.55207107896649</v>
      </c>
      <c r="G10" s="34"/>
      <c r="H10" s="33"/>
      <c r="I10" s="33"/>
      <c r="J10" s="40">
        <f>C32*'E Balans VL '!D20/100/3.6*1000000+C32*'E Balans VL '!E20/100/3.6*1000000</f>
        <v>0</v>
      </c>
      <c r="K10" s="33"/>
      <c r="L10" s="33"/>
      <c r="M10" s="33"/>
      <c r="N10" s="33">
        <f>C32*'E Balans VL '!Y20/100/3.6*1000000</f>
        <v>370.7153939599375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4156.8782069999997</v>
      </c>
      <c r="C12" s="33"/>
      <c r="D12" s="37">
        <f>IF( ISERROR(IND_min_gas_kWh/1000),0,IND_min_gas_kWh/1000)*0.902</f>
        <v>214.78333800000001</v>
      </c>
      <c r="E12" s="33">
        <f>C34*'E Balans VL '!I22/100/3.6*1000000</f>
        <v>120.49078259263996</v>
      </c>
      <c r="F12" s="33">
        <f>C34*'E Balans VL '!L22/100/3.6*1000000+C34*'E Balans VL '!N22/100/3.6*1000000</f>
        <v>1429.1817013372479</v>
      </c>
      <c r="G12" s="34"/>
      <c r="H12" s="33"/>
      <c r="I12" s="33"/>
      <c r="J12" s="40">
        <f>C34*'E Balans VL '!D22/100/3.6*1000000+C34*'E Balans VL '!E22/100/3.6*1000000</f>
        <v>6.8310035506636613</v>
      </c>
      <c r="K12" s="33"/>
      <c r="L12" s="33"/>
      <c r="M12" s="33"/>
      <c r="N12" s="33">
        <f>C34*'E Balans VL '!Y22/100/3.6*1000000</f>
        <v>910.00895070271019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527.46500000000003</v>
      </c>
      <c r="C15" s="33"/>
      <c r="D15" s="37">
        <f>IF( ISERROR(IND_rest_gas_kWh/1000),0,IND_rest_gas_kWh/1000)*0.902</f>
        <v>18.206869999999999</v>
      </c>
      <c r="E15" s="33">
        <f>C37*'E Balans VL '!I15/100/3.6*1000000</f>
        <v>29.124476458688463</v>
      </c>
      <c r="F15" s="33">
        <f>C37*'E Balans VL '!L15/100/3.6*1000000+C37*'E Balans VL '!N15/100/3.6*1000000</f>
        <v>104.47502920294743</v>
      </c>
      <c r="G15" s="34"/>
      <c r="H15" s="33"/>
      <c r="I15" s="33"/>
      <c r="J15" s="40">
        <f>C37*'E Balans VL '!D15/100/3.6*1000000+C37*'E Balans VL '!E15/100/3.6*1000000</f>
        <v>1.8883146699219011</v>
      </c>
      <c r="K15" s="33"/>
      <c r="L15" s="33"/>
      <c r="M15" s="33"/>
      <c r="N15" s="33">
        <f>C37*'E Balans VL '!Y15/100/3.6*1000000</f>
        <v>118.31867890332744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43893.408817999996</v>
      </c>
      <c r="C18" s="21">
        <f>C5+C16</f>
        <v>0</v>
      </c>
      <c r="D18" s="21">
        <f>MAX((D5+D16),0)</f>
        <v>76557.228100341992</v>
      </c>
      <c r="E18" s="21">
        <f>MAX((E5+E16),0)</f>
        <v>4448.9482697872872</v>
      </c>
      <c r="F18" s="21">
        <f>MAX((F5+F16),0)</f>
        <v>15018.206559249524</v>
      </c>
      <c r="G18" s="21"/>
      <c r="H18" s="21"/>
      <c r="I18" s="21"/>
      <c r="J18" s="21">
        <f>MAX((J5+J16),0)</f>
        <v>8.7193182205855617</v>
      </c>
      <c r="K18" s="21"/>
      <c r="L18" s="21">
        <f>MAX((L5+L16),0)</f>
        <v>0</v>
      </c>
      <c r="M18" s="21"/>
      <c r="N18" s="21">
        <f>MAX((N5+N16),0)</f>
        <v>6322.5119581244035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0.1547511494251938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6792.5554667754368</v>
      </c>
      <c r="C22" s="23">
        <f ca="1">C18*C20</f>
        <v>0</v>
      </c>
      <c r="D22" s="23">
        <f>D18*D20</f>
        <v>15464.560076269083</v>
      </c>
      <c r="E22" s="23">
        <f>E18*E20</f>
        <v>1009.9112572417142</v>
      </c>
      <c r="F22" s="23">
        <f>F18*F20</f>
        <v>4009.8611513196229</v>
      </c>
      <c r="G22" s="23"/>
      <c r="H22" s="23"/>
      <c r="I22" s="23"/>
      <c r="J22" s="23">
        <f>J18*J20</f>
        <v>3.0866386500872887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19790.832999999999</v>
      </c>
      <c r="C30" s="39">
        <f>IF(ISERROR(B30*3.6/1000000/'E Balans VL '!Z18*100),0,B30*3.6/1000000/'E Balans VL '!Z18*100)</f>
        <v>1.1215972531249123</v>
      </c>
      <c r="D30" s="237" t="s">
        <v>754</v>
      </c>
    </row>
    <row r="31" spans="1:18">
      <c r="A31" s="6" t="s">
        <v>33</v>
      </c>
      <c r="B31" s="37">
        <f>IF( ISERROR(IND_ander_ele_kWh/1000),0,IND_ander_ele_kWh/1000)</f>
        <v>14046.314023000001</v>
      </c>
      <c r="C31" s="39">
        <f>IF(ISERROR(B31*3.6/1000000/'E Balans VL '!Z19*100),0,B31*3.6/1000000/'E Balans VL '!Z19*100)</f>
        <v>0.63708231624965117</v>
      </c>
      <c r="D31" s="237" t="s">
        <v>754</v>
      </c>
    </row>
    <row r="32" spans="1:18">
      <c r="A32" s="171" t="s">
        <v>41</v>
      </c>
      <c r="B32" s="37">
        <f>IF( ISERROR(IND_voed_ele_kWh/1000),0,IND_voed_ele_kWh/1000)</f>
        <v>5371.9185880000005</v>
      </c>
      <c r="C32" s="39">
        <f>IF(ISERROR(B32*3.6/1000000/'E Balans VL '!Z20*100),0,B32*3.6/1000000/'E Balans VL '!Z20*100)</f>
        <v>0.16617782837814749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4156.8782069999997</v>
      </c>
      <c r="C34" s="39">
        <f>IF(ISERROR(B34*3.6/1000000/'E Balans VL '!Z22*100),0,B34*3.6/1000000/'E Balans VL '!Z22*100)</f>
        <v>0.74769269633290614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527.46500000000003</v>
      </c>
      <c r="C37" s="39">
        <f>IF(ISERROR(B37*3.6/1000000/'E Balans VL '!Z15*100),0,B37*3.6/1000000/'E Balans VL '!Z15*100)</f>
        <v>4.1808079136278166E-3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1074.7992490000001</v>
      </c>
      <c r="C5" s="17">
        <f>'Eigen informatie GS &amp; warmtenet'!B60</f>
        <v>0</v>
      </c>
      <c r="D5" s="30">
        <f>IF(ISERROR(SUM(LB_lb_gas_kWh,LB_rest_gas_kWh,onbekend_gas_kWh)/1000),0,SUM(LB_lb_gas_kWh,LB_rest_gas_kWh,onbekend_gas_kWh)/1000)*0.902</f>
        <v>2728.1639891</v>
      </c>
      <c r="E5" s="17">
        <f>B17*'E Balans VL '!I25/3.6*1000000/100</f>
        <v>31.591632743923974</v>
      </c>
      <c r="F5" s="17">
        <f>B17*('E Balans VL '!L25/3.6*1000000+'E Balans VL '!N25/3.6*1000000)/100</f>
        <v>4477.5555922310214</v>
      </c>
      <c r="G5" s="18"/>
      <c r="H5" s="17"/>
      <c r="I5" s="17"/>
      <c r="J5" s="17">
        <f>('E Balans VL '!D25+'E Balans VL '!E25)/3.6*1000000*landbouw!B17/100</f>
        <v>155.71532960201552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1074.7992490000001</v>
      </c>
      <c r="C8" s="21">
        <f>C5+C6</f>
        <v>0</v>
      </c>
      <c r="D8" s="21">
        <f>MAX((D5+D6),0)</f>
        <v>2728.1639891</v>
      </c>
      <c r="E8" s="21">
        <f>MAX((E5+E6),0)</f>
        <v>31.591632743923974</v>
      </c>
      <c r="F8" s="21">
        <f>MAX((F5+F6),0)</f>
        <v>4477.5555922310214</v>
      </c>
      <c r="G8" s="21"/>
      <c r="H8" s="21"/>
      <c r="I8" s="21"/>
      <c r="J8" s="21">
        <f>MAX((J5+J6),0)</f>
        <v>155.71532960201552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0.1547511494251938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166.3264191840851</v>
      </c>
      <c r="C12" s="23">
        <f ca="1">C8*C10</f>
        <v>0</v>
      </c>
      <c r="D12" s="23">
        <f>D8*D10</f>
        <v>551.08912579820003</v>
      </c>
      <c r="E12" s="23">
        <f>E8*E10</f>
        <v>7.171300632870742</v>
      </c>
      <c r="F12" s="23">
        <f>F8*F10</f>
        <v>1195.5073431256828</v>
      </c>
      <c r="G12" s="23"/>
      <c r="H12" s="23"/>
      <c r="I12" s="23"/>
      <c r="J12" s="23">
        <f>J8*J10</f>
        <v>55.123226679113486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0.15251738551290581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271.48818965430326</v>
      </c>
      <c r="C26" s="247">
        <f>B26*'GWP N2O_CH4'!B5</f>
        <v>5701.2519827403685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67.886101924844382</v>
      </c>
      <c r="C27" s="247">
        <f>B27*'GWP N2O_CH4'!B5</f>
        <v>1425.6081404217321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3.4119566284413243</v>
      </c>
      <c r="C28" s="247">
        <f>B28*'GWP N2O_CH4'!B4</f>
        <v>1057.7065548168105</v>
      </c>
      <c r="D28" s="50"/>
    </row>
    <row r="29" spans="1:4">
      <c r="A29" s="41" t="s">
        <v>277</v>
      </c>
      <c r="B29" s="247">
        <f>B34*'ha_N2O bodem landbouw'!B4</f>
        <v>13.687177897964997</v>
      </c>
      <c r="C29" s="247">
        <f>B29*'GWP N2O_CH4'!B4</f>
        <v>4243.0251483691491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3.1233668282022041E-3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1.8703279592549311E-4</v>
      </c>
      <c r="C5" s="463" t="s">
        <v>211</v>
      </c>
      <c r="D5" s="448">
        <f>SUM(D6:D11)</f>
        <v>6.1916285380920165E-4</v>
      </c>
      <c r="E5" s="448">
        <f>SUM(E6:E11)</f>
        <v>8.3244631312431535E-4</v>
      </c>
      <c r="F5" s="461" t="s">
        <v>211</v>
      </c>
      <c r="G5" s="448">
        <f>SUM(G6:G11)</f>
        <v>0.31992963920367656</v>
      </c>
      <c r="H5" s="448">
        <f>SUM(H6:H11)</f>
        <v>7.001641256783088E-2</v>
      </c>
      <c r="I5" s="463" t="s">
        <v>211</v>
      </c>
      <c r="J5" s="463" t="s">
        <v>211</v>
      </c>
      <c r="K5" s="463" t="s">
        <v>211</v>
      </c>
      <c r="L5" s="463" t="s">
        <v>211</v>
      </c>
      <c r="M5" s="448">
        <f>SUM(M6:M11)</f>
        <v>2.077013381084894E-2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1.6210472966247052E-4</v>
      </c>
      <c r="C6" s="449"/>
      <c r="D6" s="962">
        <f>vkm_2011_GW_PW*SUMIFS(TableVerdeelsleutelVkm[CNG],TableVerdeelsleutelVkm[Voertuigtype],"Lichte voertuigen")*SUMIFS(TableECFTransport[EnergieConsumptieFactor (PJ per km)],TableECFTransport[Index],CONCATENATE($A6,"_CNG_CNG"))</f>
        <v>4.8622114933556389E-4</v>
      </c>
      <c r="E6" s="962">
        <f>vkm_2011_GW_PW*SUMIFS(TableVerdeelsleutelVkm[LPG],TableVerdeelsleutelVkm[Voertuigtype],"Lichte voertuigen")*SUMIFS(TableECFTransport[EnergieConsumptieFactor (PJ per km)],TableECFTransport[Index],CONCATENATE($A6,"_LPG_LPG"))</f>
        <v>6.6424793221849985E-4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0.17174406567322265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5.5292388336473118E-2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1.1675136065871079E-2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0.10132406880153595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3.0876115882963172E-5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5.9210421341296463E-3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2.4928066263022588E-5</v>
      </c>
      <c r="C8" s="449"/>
      <c r="D8" s="451">
        <f>vkm_2011_NGW_PW*SUMIFS(TableVerdeelsleutelVkm[CNG],TableVerdeelsleutelVkm[Voertuigtype],"Lichte voertuigen")*SUMIFS(TableECFTransport[EnergieConsumptieFactor (PJ per km)],TableECFTransport[Index],CONCATENATE($A8,"_CNG_CNG"))</f>
        <v>1.3294170447363776E-4</v>
      </c>
      <c r="E8" s="451">
        <f>vkm_2011_NGW_PW*SUMIFS(TableVerdeelsleutelVkm[LPG],TableVerdeelsleutelVkm[Voertuigtype],"Lichte voertuigen")*SUMIFS(TableECFTransport[EnergieConsumptieFactor (PJ per km)],TableECFTransport[Index],CONCATENATE($A8,"_LPG_LPG"))</f>
        <v>1.6819838090581553E-4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4.0526578936734954E-2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1.4691330792885891E-2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2.8037669382691569E-3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6.3349257921830335E-3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1.8173225889070837E-6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3.701886725790585E-4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51.953554423748088</v>
      </c>
      <c r="C14" s="21"/>
      <c r="D14" s="21">
        <f t="shared" ref="D14:M14" si="0">((D5)*10^9/3600)+D12</f>
        <v>171.98968161366713</v>
      </c>
      <c r="E14" s="21">
        <f t="shared" si="0"/>
        <v>231.23508697897648</v>
      </c>
      <c r="F14" s="21"/>
      <c r="G14" s="21">
        <f t="shared" si="0"/>
        <v>88869.34422324349</v>
      </c>
      <c r="H14" s="21">
        <f t="shared" si="0"/>
        <v>19449.003491064133</v>
      </c>
      <c r="I14" s="21"/>
      <c r="J14" s="21"/>
      <c r="K14" s="21"/>
      <c r="L14" s="21"/>
      <c r="M14" s="21">
        <f t="shared" si="0"/>
        <v>5769.4816141247056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0.1547511494251938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8.0398722637993796</v>
      </c>
      <c r="C18" s="23"/>
      <c r="D18" s="23">
        <f t="shared" ref="D18:M18" si="1">D14*D16</f>
        <v>34.741915685960763</v>
      </c>
      <c r="E18" s="23">
        <f t="shared" si="1"/>
        <v>52.490364744227662</v>
      </c>
      <c r="F18" s="23"/>
      <c r="G18" s="23">
        <f t="shared" si="1"/>
        <v>23728.114907606014</v>
      </c>
      <c r="H18" s="23">
        <f t="shared" si="1"/>
        <v>4842.8018692749692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7.7795461903224375E-3</v>
      </c>
      <c r="H50" s="321">
        <f t="shared" si="2"/>
        <v>0</v>
      </c>
      <c r="I50" s="321">
        <f t="shared" si="2"/>
        <v>0</v>
      </c>
      <c r="J50" s="321">
        <f t="shared" si="2"/>
        <v>0</v>
      </c>
      <c r="K50" s="321">
        <f t="shared" si="2"/>
        <v>0</v>
      </c>
      <c r="L50" s="321">
        <f t="shared" si="2"/>
        <v>0</v>
      </c>
      <c r="M50" s="321">
        <f t="shared" si="2"/>
        <v>4.4184388020941998E-4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7.7795461903224375E-3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4.4184388020941998E-4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2160.9850528673437</v>
      </c>
      <c r="H54" s="21">
        <f t="shared" si="3"/>
        <v>0</v>
      </c>
      <c r="I54" s="21">
        <f t="shared" si="3"/>
        <v>0</v>
      </c>
      <c r="J54" s="21">
        <f t="shared" si="3"/>
        <v>0</v>
      </c>
      <c r="K54" s="21">
        <f t="shared" si="3"/>
        <v>0</v>
      </c>
      <c r="L54" s="21">
        <f t="shared" si="3"/>
        <v>0</v>
      </c>
      <c r="M54" s="21">
        <f t="shared" si="3"/>
        <v>122.73441116928333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0.1547511494251938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576.98300911558078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10334.121279407986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18377.589375985535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28711.710655393523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2019-01-01T21:21:50Z</dcterms:modified>
</cp:coreProperties>
</file>