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C16"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6" i="17" l="1"/>
  <c r="D8" s="1"/>
  <c r="D12" s="1"/>
  <c r="E48" i="14" s="1"/>
  <c r="J15" i="16"/>
  <c r="O4" i="48"/>
  <c r="E16"/>
  <c r="I16"/>
  <c r="F16"/>
  <c r="J16"/>
  <c r="K16"/>
  <c r="D16"/>
  <c r="D27" s="1"/>
  <c r="H16"/>
  <c r="H28" s="1"/>
  <c r="L16" i="16"/>
  <c r="L18" s="1"/>
  <c r="L22" s="1"/>
  <c r="M39" i="14" s="1"/>
  <c r="I14" i="15"/>
  <c r="I16" s="1"/>
  <c r="J10" i="14" s="1"/>
  <c r="B13" i="16"/>
  <c r="C35"/>
  <c r="E9" i="14"/>
  <c r="D14" i="15"/>
  <c r="P18" i="16"/>
  <c r="N6" i="17"/>
  <c r="N5" s="1"/>
  <c r="J8"/>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O21"/>
  <c r="L16"/>
  <c r="K24"/>
  <c r="K25"/>
  <c r="Q11" i="14"/>
  <c r="P12" i="13"/>
  <c r="Q37" i="14" s="1"/>
  <c r="P4" i="48"/>
  <c r="P21" s="1"/>
  <c r="D12" i="13"/>
  <c r="E37" i="14" s="1"/>
  <c r="D4" i="48"/>
  <c r="E11" i="14"/>
  <c r="G25" i="48"/>
  <c r="C22" i="13"/>
  <c r="C21"/>
  <c r="C20"/>
  <c r="O24" i="48"/>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D28" i="48" l="1"/>
  <c r="D30"/>
  <c r="H21"/>
  <c r="H25"/>
  <c r="H24"/>
  <c r="D21"/>
  <c r="G22" i="14"/>
  <c r="P22" i="16"/>
  <c r="Q39" i="14" s="1"/>
  <c r="G11"/>
  <c r="J12" i="17"/>
  <c r="K48" i="14" s="1"/>
  <c r="Q13"/>
  <c r="B35" i="13"/>
  <c r="B47" s="1"/>
  <c r="J15" i="14"/>
  <c r="J23" s="1"/>
  <c r="P8" i="48"/>
  <c r="P25" s="1"/>
  <c r="D18" i="16"/>
  <c r="G31" i="20"/>
  <c r="H43" i="14" s="1"/>
  <c r="G12" i="22"/>
  <c r="D16" i="15"/>
  <c r="K22" i="14"/>
  <c r="E8" i="17"/>
  <c r="E12" s="1"/>
  <c r="F48" i="14" s="1"/>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K31" i="48"/>
  <c r="M25"/>
  <c r="M24"/>
  <c r="I31"/>
  <c r="C50" i="13"/>
  <c r="J5" s="1"/>
  <c r="J8" s="1"/>
  <c r="C5" i="48"/>
  <c r="H18" i="14" l="1"/>
  <c r="O22" i="16"/>
  <c r="P39" i="14" s="1"/>
  <c r="M10" i="48"/>
  <c r="M27" s="1"/>
  <c r="F22" i="14"/>
  <c r="C13"/>
  <c r="E12" i="13"/>
  <c r="F37" i="14" s="1"/>
  <c r="D22" i="16"/>
  <c r="E39" i="14" s="1"/>
  <c r="N4" i="48"/>
  <c r="N21" s="1"/>
  <c r="D20" i="15"/>
  <c r="E36" i="14" s="1"/>
  <c r="G14" i="22"/>
  <c r="O8" i="48"/>
  <c r="O25" s="1"/>
  <c r="E7"/>
  <c r="E24" s="1"/>
  <c r="P31"/>
  <c r="N7"/>
  <c r="N24" s="1"/>
  <c r="J16" i="15"/>
  <c r="J5" i="48" s="1"/>
  <c r="J22"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J20" l="1"/>
  <c r="K36" i="14" s="1"/>
  <c r="E41"/>
  <c r="E53" s="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Q5" l="1"/>
  <c r="C16"/>
  <c r="E22" i="16"/>
  <c r="F39" i="14" s="1"/>
  <c r="K13"/>
  <c r="K15" s="1"/>
  <c r="K23" s="1"/>
  <c r="G13"/>
  <c r="G15" s="1"/>
  <c r="G23" s="1"/>
  <c r="N8" i="48"/>
  <c r="N14" s="1"/>
  <c r="F8"/>
  <c r="F22" i="16"/>
  <c r="G39" i="14" s="1"/>
  <c r="G41" s="1"/>
  <c r="G53" s="1"/>
  <c r="O13"/>
  <c r="O15" s="1"/>
  <c r="F41"/>
  <c r="F53" s="1"/>
  <c r="N22" i="16"/>
  <c r="O39" i="14" s="1"/>
  <c r="O41" s="1"/>
  <c r="O53" s="1"/>
  <c r="E8" i="48"/>
  <c r="E25" s="1"/>
  <c r="E31" s="1"/>
  <c r="F13" i="14"/>
  <c r="F15" s="1"/>
  <c r="F23" s="1"/>
  <c r="J22" i="16"/>
  <c r="K39" i="14" s="1"/>
  <c r="K41" s="1"/>
  <c r="K53" s="1"/>
  <c r="K55" s="1"/>
  <c r="J8" i="48"/>
  <c r="J25" s="1"/>
  <c r="J31" s="1"/>
  <c r="E14"/>
  <c r="N55" i="14"/>
  <c r="H55"/>
  <c r="E55"/>
  <c r="C78"/>
  <c r="C81" s="1"/>
  <c r="J14" i="48"/>
  <c r="R19" i="14"/>
  <c r="R20" s="1"/>
  <c r="H14" i="48"/>
  <c r="G31"/>
  <c r="H26"/>
  <c r="H31" s="1"/>
  <c r="M53" i="14"/>
  <c r="M55" s="1"/>
  <c r="C12" i="13"/>
  <c r="D37" i="14" s="1"/>
  <c r="D41" s="1"/>
  <c r="F25" i="48"/>
  <c r="F31" s="1"/>
  <c r="F14"/>
  <c r="N25" l="1"/>
  <c r="N31" s="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<sst xmlns="http://schemas.openxmlformats.org/spreadsheetml/2006/main" count="2099" uniqueCount="844">
  <si>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</si>
  <si>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</si>
  <si>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</si>
  <si>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</si>
  <si>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</si>
  <si>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</si>
  <si>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</si>
  <si>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</si>
  <si>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</si>
  <si>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</si>
  <si>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</si>
  <si>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</si>
  <si>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</si>
  <si>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</si>
  <si>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</si>
  <si>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</si>
  <si>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</si>
  <si>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</si>
  <si>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</si>
  <si>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</si>
  <si>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</si>
  <si>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</si>
  <si>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</si>
  <si>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</si>
  <si>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</si>
  <si>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</si>
  <si>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</si>
  <si>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</si>
  <si>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</si>
  <si>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</si>
  <si>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</si>
  <si>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</si>
  <si>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</si>
  <si>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</si>
  <si>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</si>
  <si>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</si>
  <si>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</si>
  <si>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</si>
  <si>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</si>
  <si>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</si>
  <si>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</si>
  <si>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</si>
  <si>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</si>
  <si>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</si>
  <si>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</si>
  <si>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</si>
  <si>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</si>
  <si>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</si>
  <si>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</si>
  <si>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</si>
  <si>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</si>
  <si>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</si>
  <si>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</si>
  <si>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</si>
  <si>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</si>
  <si>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</si>
  <si>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</si>
  <si>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</si>
  <si>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</si>
  <si>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</si>
  <si>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</si>
  <si>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</si>
  <si>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</si>
  <si>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</si>
  <si>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</si>
  <si>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</si>
  <si>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</si>
  <si>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</si>
  <si>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</si>
  <si>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</si>
  <si>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</si>
  <si>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</si>
  <si>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</si>
  <si>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</si>
  <si>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</si>
  <si>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</si>
  <si>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</si>
  <si>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</si>
  <si>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</si>
  <si>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</si>
  <si>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</si>
  <si>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</si>
  <si>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</si>
  <si>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</si>
  <si>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</si>
  <si>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</si>
  <si>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</si>
  <si>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</si>
  <si>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</si>
  <si>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</si>
  <si>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</si>
  <si>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</si>
  <si>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</si>
  <si>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</si>
  <si>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</si>
  <si>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</si>
  <si>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</si>
  <si>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</si>
  <si>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</si>
  <si>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</si>
  <si>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</si>
  <si>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</si>
  <si>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</si>
  <si>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</si>
  <si>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</si>
  <si>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</si>
  <si>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</si>
  <si>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</si>
  <si>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</si>
  <si>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</si>
  <si>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</si>
  <si>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</si>
  <si>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</si>
  <si>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</si>
  <si>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</si>
  <si>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</si>
  <si>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</si>
  <si>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</si>
  <si>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</si>
  <si>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</si>
  <si>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</si>
  <si>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</si>
  <si>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</si>
  <si>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</si>
  <si>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</si>
  <si>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</si>
  <si>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</si>
  <si>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</si>
  <si>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</si>
  <si>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</si>
  <si>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</si>
  <si>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</si>
  <si>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</si>
  <si>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</si>
  <si>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</si>
  <si>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</si>
  <si>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</si>
  <si>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</si>
  <si>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</si>
  <si>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</si>
  <si>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</si>
  <si>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</si>
  <si>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</si>
  <si>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</si>
  <si>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</si>
  <si>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</si>
  <si>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</si>
  <si>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</si>
  <si>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</si>
  <si>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</si>
  <si>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</si>
  <si>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</si>
  <si>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</si>
  <si>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</si>
  <si>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</si>
  <si>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</si>
  <si>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</si>
  <si>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</si>
  <si>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</si>
  <si>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</si>
  <si>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</si>
  <si>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</si>
  <si>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</si>
  <si>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</si>
  <si>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</si>
  <si>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</si>
  <si>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</si>
  <si>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</si>
  <si>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</si>
  <si>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</si>
  <si>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</si>
  <si>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</si>
  <si>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</si>
  <si>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</si>
  <si>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</si>
  <si>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</si>
  <si>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</si>
  <si>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</si>
  <si>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</si>
  <si>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</si>
  <si>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</si>
  <si>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</si>
  <si>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</si>
  <si>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</si>
  <si>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</si>
  <si>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</si>
  <si>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</si>
  <si>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</si>
  <si>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</si>
  <si>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</si>
  <si>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</si>
  <si>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</si>
  <si>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</si>
  <si>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</si>
  <si>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</si>
  <si>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</si>
  <si>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</si>
  <si>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</si>
  <si>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</si>
  <si>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</si>
  <si>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</si>
  <si>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</si>
  <si>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</si>
  <si>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</si>
  <si>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</si>
  <si>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</si>
  <si>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</si>
  <si>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</si>
  <si>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</si>
  <si>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</si>
  <si>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</si>
  <si>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</si>
  <si>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</si>
  <si>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</si>
  <si>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</si>
  <si>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</si>
  <si>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</si>
  <si>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</si>
  <si>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</si>
  <si>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</si>
  <si>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</si>
  <si>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</si>
  <si>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</si>
  <si>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</si>
  <si>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</si>
  <si>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</si>
  <si>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</si>
  <si>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</si>
  <si>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</si>
  <si>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</si>
  <si>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</si>
  <si>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</si>
  <si>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</si>
  <si>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</si>
  <si>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</si>
  <si>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</si>
  <si>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</si>
  <si>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</si>
  <si>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</si>
  <si>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</si>
  <si>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</si>
  <si>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</si>
  <si>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</si>
  <si>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</si>
  <si>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</si>
  <si>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</si>
  <si>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</si>
  <si>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</si>
  <si>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</si>
  <si>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</si>
  <si>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</si>
  <si>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</si>
  <si>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</si>
  <si>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</si>
  <si>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</si>
  <si>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</si>
  <si>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</si>
  <si>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</si>
  <si>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</si>
  <si>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</si>
  <si>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</si>
  <si>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</si>
  <si>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</si>
  <si>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</si>
  <si>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</si>
  <si>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</si>
  <si>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</si>
  <si>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</si>
  <si>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</si>
  <si>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</si>
  <si>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</si>
  <si>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</si>
  <si>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</si>
  <si>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</si>
  <si>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</si>
  <si>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</si>
  <si>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</si>
  <si>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</si>
  <si>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</si>
  <si>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</si>
  <si>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</si>
  <si>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</si>
  <si>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</si>
  <si>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</si>
  <si>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</si>
  <si>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</si>
  <si>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</si>
  <si>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</si>
  <si>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</si>
  <si>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</si>
  <si>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</si>
  <si>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</si>
  <si>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</si>
  <si>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</si>
  <si>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</si>
  <si>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</si>
  <si>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</si>
  <si>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</si>
  <si>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</si>
  <si>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</si>
  <si>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</si>
  <si>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</si>
  <si>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</si>
  <si>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</si>
  <si>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</si>
  <si>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</si>
  <si>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</si>
  <si>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</si>
  <si>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</si>
  <si>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</si>
  <si>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</si>
  <si>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</si>
  <si>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</si>
  <si>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</si>
  <si>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</si>
  <si>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</si>
  <si>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</si>
  <si>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</si>
  <si>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</si>
  <si>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</si>
  <si>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</si>
  <si>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</si>
  <si>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</si>
  <si>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</si>
  <si>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</si>
  <si>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</si>
  <si>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</si>
  <si>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</si>
  <si>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</si>
  <si>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</si>
  <si>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</si>
  <si>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</si>
  <si>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</si>
  <si>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</si>
  <si>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</si>
  <si>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</si>
  <si>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</si>
  <si>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</si>
  <si>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</si>
  <si>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</si>
  <si>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</si>
  <si>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</si>
  <si>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</si>
  <si>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</si>
  <si>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</si>
  <si>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</si>
  <si>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</si>
  <si>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</si>
  <si>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</si>
  <si>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</si>
  <si>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</si>
  <si>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</si>
  <si>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</si>
  <si>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</si>
  <si>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</si>
  <si>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</si>
  <si>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</si>
  <si>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</si>
  <si>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</si>
  <si>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</si>
  <si>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</si>
  <si>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</si>
  <si>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</si>
  <si>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</si>
  <si>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</si>
  <si>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</si>
  <si>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</si>
  <si>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</si>
  <si>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</si>
  <si>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</si>
  <si>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</si>
  <si>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</si>
  <si>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</si>
  <si>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</si>
  <si>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</si>
  <si>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</si>
  <si>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</si>
  <si>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</si>
  <si>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</si>
  <si>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</si>
  <si>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</si>
  <si>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</si>
  <si>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</si>
  <si>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</si>
  <si>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</si>
  <si>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</si>
  <si>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</si>
  <si>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</si>
  <si>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</si>
  <si>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</si>
  <si>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</si>
  <si>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</si>
  <si>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</si>
  <si>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</si>
  <si>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</si>
  <si>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</si>
  <si>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</si>
  <si>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</si>
  <si>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</si>
  <si>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</si>
  <si>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</si>
  <si>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</si>
  <si>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</si>
  <si>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</si>
  <si>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</si>
  <si>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</si>
  <si>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</si>
  <si>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</si>
  <si>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</si>
  <si>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</si>
  <si>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</si>
  <si>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</si>
  <si>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</si>
  <si>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</si>
  <si>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</si>
  <si>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</si>
  <si>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</si>
  <si>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</si>
  <si>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</si>
  <si>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</si>
  <si>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</si>
  <si>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</si>
  <si>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</si>
  <si>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</si>
  <si>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</si>
  <si>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</si>
  <si>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</si>
  <si>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</si>
  <si>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</si>
  <si>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</si>
  <si>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</si>
  <si>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</si>
  <si>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</si>
  <si>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</si>
  <si>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</si>
  <si>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</si>
  <si>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</si>
  <si>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</si>
  <si>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</si>
  <si>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</si>
  <si>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</si>
  <si>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</si>
  <si>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</si>
  <si>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</si>
  <si>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</si>
  <si>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</si>
  <si>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</si>
  <si>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</si>
  <si>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</si>
  <si>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</si>
  <si>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</si>
  <si>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</si>
  <si>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</si>
  <si>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</si>
  <si>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</si>
  <si>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</si>
  <si>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</si>
  <si>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</si>
  <si>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</si>
  <si>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</si>
  <si>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</si>
  <si>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</si>
  <si>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</si>
  <si>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</si>
  <si>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</si>
  <si>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</si>
  <si>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</si>
  <si>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</si>
  <si>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</si>
  <si>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</si>
  <si>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</si>
  <si>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</si>
  <si>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</si>
  <si>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</si>
  <si>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</si>
  <si>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</si>
  <si>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</si>
  <si>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</si>
  <si>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</si>
  <si>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</si>
  <si>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</si>
  <si>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</si>
  <si>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</si>
  <si>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</si>
  <si>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</si>
  <si>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</si>
  <si>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</si>
  <si>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</si>
  <si>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</si>
  <si>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</si>
  <si>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</si>
  <si>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</si>
  <si>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</si>
  <si>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</si>
  <si>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</si>
  <si>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</si>
  <si>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</si>
  <si>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</si>
  <si>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</si>
  <si>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</si>
  <si>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</si>
  <si>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</si>
  <si>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</si>
  <si>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</si>
  <si>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</si>
  <si>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</si>
  <si>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</si>
  <si>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</si>
  <si>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</si>
  <si>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</si>
  <si>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</si>
  <si>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</si>
  <si>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</si>
  <si>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</si>
  <si>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</si>
  <si>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</si>
  <si>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</si>
  <si>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</si>
  <si>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</si>
  <si>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</si>
  <si>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</si>
  <si>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</si>
  <si>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</si>
  <si>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</si>
  <si>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</si>
  <si>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</si>
  <si>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</si>
  <si>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</si>
  <si>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</si>
  <si>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</si>
  <si>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</si>
  <si>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</si>
  <si>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</si>
  <si>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</si>
  <si>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</si>
  <si>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</si>
  <si>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</si>
  <si>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</si>
  <si>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</si>
  <si>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</si>
  <si>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</si>
  <si>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</si>
  <si>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</si>
  <si>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</si>
  <si>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</si>
  <si>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</si>
  <si>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</si>
  <si>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</si>
  <si>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</si>
  <si>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</si>
  <si>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</si>
  <si>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</si>
  <si>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</si>
  <si>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</si>
  <si>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</si>
  <si>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</si>
  <si>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</si>
  <si>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</si>
  <si>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</si>
  <si>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</si>
  <si>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</si>
  <si>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</si>
  <si>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</si>
  <si>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</si>
  <si>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</si>
  <si>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</si>
  <si>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</si>
  <si>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</si>
  <si>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</si>
  <si>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</si>
  <si>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</si>
  <si>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</si>
  <si>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</si>
  <si>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</si>
  <si>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</si>
  <si>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</si>
  <si>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</si>
  <si>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</si>
  <si>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</si>
  <si>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</si>
  <si>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</si>
  <si>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</si>
  <si>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</si>
  <si>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</si>
  <si>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</si>
  <si>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</si>
  <si>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</si>
  <si>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</si>
  <si>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</si>
  <si>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</si>
  <si>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</si>
  <si>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</si>
  <si>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</si>
  <si>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</si>
  <si>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</si>
  <si>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</si>
  <si>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</si>
  <si>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</si>
  <si>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</si>
  <si>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</si>
  <si>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</si>
  <si>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</si>
  <si>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</si>
  <si>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</si>
  <si>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</si>
  <si>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</si>
  <si>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</si>
  <si>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</si>
  <si>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</si>
  <si>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</si>
  <si>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</si>
  <si>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</si>
  <si>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</si>
  <si>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</si>
  <si>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</si>
  <si>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</si>
  <si>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</si>
  <si>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</si>
  <si>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</si>
  <si>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</si>
  <si>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</si>
  <si>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</si>
  <si>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</si>
  <si>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</si>
  <si>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</si>
  <si>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</si>
  <si>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</si>
  <si>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</si>
  <si>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</si>
  <si>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</si>
  <si>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</si>
  <si>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</si>
  <si>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</si>
  <si>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</si>
  <si>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</si>
  <si>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</si>
  <si>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</si>
  <si>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</si>
  <si>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</si>
  <si>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</si>
  <si>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</si>
  <si>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</si>
  <si>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</si>
  <si>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</si>
  <si>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</si>
  <si>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</si>
  <si>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</si>
  <si>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</si>
  <si>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</si>
  <si>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</si>
  <si>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</si>
  <si>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</si>
  <si>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</si>
  <si>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</si>
  <si>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</si>
  <si>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</si>
  <si>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</si>
  <si>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</si>
  <si>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</si>
  <si>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</si>
  <si>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</si>
  <si>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</si>
  <si>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</si>
  <si>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</si>
  <si>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</si>
  <si>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</si>
  <si>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</si>
  <si>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</si>
  <si>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</si>
  <si>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</si>
  <si>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</si>
  <si>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</si>
  <si>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</si>
  <si>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</si>
  <si>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</si>
  <si>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</si>
  <si>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</si>
  <si>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</si>
  <si>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</si>
  <si>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</si>
  <si>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</si>
  <si>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</si>
  <si>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</si>
  <si>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</si>
  <si>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</si>
  <si>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</si>
  <si>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</si>
  <si>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</si>
  <si>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</si>
  <si>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</si>
  <si>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</si>
  <si>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</si>
  <si>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</si>
  <si>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</si>
  <si>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</si>
  <si>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</si>
  <si>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</si>
  <si>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</si>
  <si>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</si>
  <si>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</si>
  <si>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</si>
  <si>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</si>
  <si>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</si>
  <si>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</si>
  <si>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</si>
  <si>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</si>
  <si>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</si>
  <si>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</si>
  <si>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</si>
  <si>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</si>
  <si>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</si>
  <si>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</si>
  <si>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</si>
  <si>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</si>
  <si>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</si>
  <si>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</si>
  <si>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</si>
  <si>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</si>
  <si>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</si>
  <si>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</si>
  <si>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</si>
  <si>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</si>
  <si>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</si>
  <si>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</si>
  <si>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</si>
  <si>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</si>
  <si>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</si>
  <si>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</si>
  <si>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</si>
  <si>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</si>
  <si>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</si>
  <si>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</si>
  <si>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</si>
  <si>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</si>
  <si>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</si>
  <si>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</si>
  <si>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</si>
  <si>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</si>
  <si>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</si>
  <si>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</si>
  <si>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</si>
  <si>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</si>
  <si>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</si>
  <si>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</si>
  <si>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</si>
  <si>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</si>
  <si>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</si>
  <si>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</si>
  <si>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</si>
  <si>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</si>
  <si>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</si>
  <si>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</si>
  <si>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</si>
  <si>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</si>
  <si>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</si>
  <si>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</si>
  <si>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</si>
  <si>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</si>
  <si>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</si>
  <si>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</si>
  <si>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</si>
  <si>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</si>
  <si>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</si>
  <si>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</si>
  <si>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</si>
  <si>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</si>
  <si>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</si>
  <si>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</si>
  <si>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</si>
  <si>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</si>
  <si>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</si>
  <si>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</si>
  <si>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</si>
  <si>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</si>
  <si>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</si>
  <si>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</si>
  <si>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</si>
  <si>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</si>
  <si>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</si>
  <si>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</si>
  <si>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</si>
  <si>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</si>
  <si>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</si>
  <si>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</si>
  <si>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</si>
  <si>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</si>
  <si>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</si>
  <si>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</si>
  <si>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</si>
  <si>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</si>
  <si>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</si>
  <si>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</si>
  <si>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</si>
  <si>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</si>
  <si>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</si>
  <si>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</si>
  <si>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</si>
  <si>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</si>
  <si>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</si>
  <si>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</si>
  <si>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</si>
  <si>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</si>
  <si>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</si>
  <si>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</si>
  <si>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</si>
  <si>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</si>
  <si>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</si>
  <si>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</si>
  <si>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</si>
  <si>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</si>
  <si>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</si>
  <si>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</si>
  <si>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</si>
  <si>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</si>
  <si>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</si>
  <si>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</si>
  <si>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</si>
  <si>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</si>
  <si>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</si>
  <si>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</si>
  <si>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</si>
  <si>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</si>
  <si>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</si>
  <si>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</si>
  <si>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</si>
  <si>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</si>
  <si>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</si>
  <si>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</si>
  <si>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</si>
  <si>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</si>
  <si>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</si>
  <si>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</si>
  <si>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</si>
  <si>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</si>
  <si>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</si>
  <si>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</si>
  <si>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72037</t>
  </si>
  <si>
    <t>HAMONT-ACHEL</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</si>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</sst>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125205.51825224883</c:v>
                </c:pt>
                <c:pt idx="1">
                  <c:v>37329.258062496679</c:v>
                </c:pt>
                <c:pt idx="2">
                  <c:v>765.09500000000003</c:v>
                </c:pt>
                <c:pt idx="3">
                  <c:v>14243.144797007051</c:v>
                </c:pt>
                <c:pt idx="4">
                  <c:v>54932.596976967019</c:v>
                </c:pt>
                <c:pt idx="5">
                  <c:v>48230.193085502178</c:v>
                </c:pt>
                <c:pt idx="6">
                  <c:v>879.24810519322875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10048"/>
        <c:axId val="183436416"/>
      </c:barChart>
      <c:catAx>
        <c:axId val="183410048"/>
        <c:scaling>
          <c:orientation val="minMax"/>
        </c:scaling>
        <c:axPos val="b"/>
        <c:numFmt formatCode="General" sourceLinked="0"/>
        <c:tickLblPos val="nextTo"/>
        <c:crossAx val="183436416"/>
        <c:crosses val="autoZero"/>
        <c:auto val="1"/>
        <c:lblAlgn val="ctr"/>
        <c:lblOffset val="100"/>
      </c:catAx>
      <c:valAx>
        <c:axId val="183436416"/>
        <c:scaling>
          <c:orientation val="minMax"/>
        </c:scaling>
        <c:axPos val="l"/>
        <c:majorGridlines>
          <c:spPr>
            <a:ln>
              <a:noFill/>
            </a:ln>
          </c:spPr>
        </c:majorGridlines>
        <c:numFmt formatCode="#,##0" sourceLinked="1"/>
        <c:tickLblPos val="nextTo"/>
        <c:crossAx val="18341004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125205.51825224883</c:v>
                </c:pt>
                <c:pt idx="1">
                  <c:v>37329.258062496679</c:v>
                </c:pt>
                <c:pt idx="2">
                  <c:v>765.09500000000003</c:v>
                </c:pt>
                <c:pt idx="3">
                  <c:v>14243.144797007051</c:v>
                </c:pt>
                <c:pt idx="4">
                  <c:v>54932.596976967019</c:v>
                </c:pt>
                <c:pt idx="5">
                  <c:v>48230.193085502178</c:v>
                </c:pt>
                <c:pt idx="6">
                  <c:v>879.24810519322875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23730.134678788694</c:v>
                </c:pt>
                <c:pt idx="1">
                  <c:v>7305.7495160491826</c:v>
                </c:pt>
                <c:pt idx="2">
                  <c:v>155.6785223782434</c:v>
                </c:pt>
                <c:pt idx="3">
                  <c:v>3500.6775084463261</c:v>
                </c:pt>
                <c:pt idx="4">
                  <c:v>10504.443420581934</c:v>
                </c:pt>
                <c:pt idx="5">
                  <c:v>12064.306154359967</c:v>
                </c:pt>
                <c:pt idx="6">
                  <c:v>222.14252909893551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86048"/>
        <c:axId val="183987584"/>
      </c:barChart>
      <c:catAx>
        <c:axId val="183986048"/>
        <c:scaling>
          <c:orientation val="minMax"/>
        </c:scaling>
        <c:axPos val="b"/>
        <c:numFmt formatCode="General" sourceLinked="0"/>
        <c:tickLblPos val="nextTo"/>
        <c:crossAx val="183987584"/>
        <c:crosses val="autoZero"/>
        <c:auto val="1"/>
        <c:lblAlgn val="ctr"/>
        <c:lblOffset val="100"/>
      </c:catAx>
      <c:valAx>
        <c:axId val="183987584"/>
        <c:scaling>
          <c:orientation val="minMax"/>
        </c:scaling>
        <c:axPos val="l"/>
        <c:majorGridlines>
          <c:spPr>
            <a:ln>
              <a:noFill/>
            </a:ln>
          </c:spPr>
        </c:majorGridlines>
        <c:numFmt formatCode="#,##0" sourceLinked="1"/>
        <c:tickLblPos val="nextTo"/>
        <c:crossAx val="18398604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23730.134678788694</c:v>
                </c:pt>
                <c:pt idx="1">
                  <c:v>7305.7495160491826</c:v>
                </c:pt>
                <c:pt idx="2">
                  <c:v>155.6785223782434</c:v>
                </c:pt>
                <c:pt idx="3">
                  <c:v>3500.6775084463261</c:v>
                </c:pt>
                <c:pt idx="4">
                  <c:v>10504.443420581934</c:v>
                </c:pt>
                <c:pt idx="5">
                  <c:v>12064.306154359967</c:v>
                </c:pt>
                <c:pt idx="6">
                  <c:v>222.14252909893551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72037</v>
      </c>
      <c r="B6" s="415"/>
      <c r="C6" s="416"/>
    </row>
    <row r="7" spans="1:7" s="413" customFormat="1" ht="15.75" customHeight="1">
      <c r="A7" s="417" t="str">
        <f>txtMunicipality</f>
        <v>HAMONT-ACHEL</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72037</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5854</v>
      </c>
      <c r="C9" s="342">
        <v>5821</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1874.97</v>
      </c>
    </row>
    <row r="15" spans="1:6">
      <c r="A15" s="348" t="s">
        <v>184</v>
      </c>
      <c r="B15" s="334">
        <v>26</v>
      </c>
    </row>
    <row r="16" spans="1:6">
      <c r="A16" s="348" t="s">
        <v>6</v>
      </c>
      <c r="B16" s="334">
        <v>1314</v>
      </c>
    </row>
    <row r="17" spans="1:6">
      <c r="A17" s="348" t="s">
        <v>7</v>
      </c>
      <c r="B17" s="334">
        <v>140</v>
      </c>
    </row>
    <row r="18" spans="1:6">
      <c r="A18" s="348" t="s">
        <v>8</v>
      </c>
      <c r="B18" s="334">
        <v>722</v>
      </c>
    </row>
    <row r="19" spans="1:6">
      <c r="A19" s="348" t="s">
        <v>9</v>
      </c>
      <c r="B19" s="334">
        <v>771</v>
      </c>
    </row>
    <row r="20" spans="1:6">
      <c r="A20" s="348" t="s">
        <v>10</v>
      </c>
      <c r="B20" s="334">
        <v>399</v>
      </c>
    </row>
    <row r="21" spans="1:6">
      <c r="A21" s="348" t="s">
        <v>11</v>
      </c>
      <c r="B21" s="334">
        <v>4854</v>
      </c>
    </row>
    <row r="22" spans="1:6">
      <c r="A22" s="348" t="s">
        <v>12</v>
      </c>
      <c r="B22" s="334">
        <v>15544</v>
      </c>
    </row>
    <row r="23" spans="1:6">
      <c r="A23" s="348" t="s">
        <v>13</v>
      </c>
      <c r="B23" s="334">
        <v>223</v>
      </c>
    </row>
    <row r="24" spans="1:6">
      <c r="A24" s="348" t="s">
        <v>14</v>
      </c>
      <c r="B24" s="334">
        <v>12</v>
      </c>
    </row>
    <row r="25" spans="1:6">
      <c r="A25" s="348" t="s">
        <v>15</v>
      </c>
      <c r="B25" s="334">
        <v>1205</v>
      </c>
    </row>
    <row r="26" spans="1:6">
      <c r="A26" s="348" t="s">
        <v>16</v>
      </c>
      <c r="B26" s="334">
        <v>19</v>
      </c>
    </row>
    <row r="27" spans="1:6">
      <c r="A27" s="348" t="s">
        <v>17</v>
      </c>
      <c r="B27" s="334">
        <v>6</v>
      </c>
    </row>
    <row r="28" spans="1:6" s="356" customFormat="1">
      <c r="A28" s="355" t="s">
        <v>18</v>
      </c>
      <c r="B28" s="355">
        <v>356513</v>
      </c>
    </row>
    <row r="29" spans="1:6">
      <c r="A29" s="355" t="s">
        <v>744</v>
      </c>
      <c r="B29" s="355">
        <v>151</v>
      </c>
      <c r="C29" s="356"/>
      <c r="D29" s="356"/>
      <c r="E29" s="356"/>
      <c r="F29" s="356"/>
    </row>
    <row r="30" spans="1:6">
      <c r="A30" s="341" t="s">
        <v>745</v>
      </c>
      <c r="B30" s="341">
        <v>36</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978</v>
      </c>
    </row>
    <row r="39" spans="1:6">
      <c r="A39" s="348" t="s">
        <v>30</v>
      </c>
      <c r="B39" s="348" t="s">
        <v>31</v>
      </c>
      <c r="C39" s="334">
        <v>3998</v>
      </c>
      <c r="D39" s="334">
        <v>70759639.150000006</v>
      </c>
      <c r="E39" s="334">
        <v>5736</v>
      </c>
      <c r="F39" s="334">
        <v>22195773.050000001</v>
      </c>
    </row>
    <row r="40" spans="1:6">
      <c r="A40" s="348" t="s">
        <v>30</v>
      </c>
      <c r="B40" s="348" t="s">
        <v>29</v>
      </c>
      <c r="C40" s="334">
        <v>1</v>
      </c>
      <c r="D40" s="334">
        <v>22117</v>
      </c>
      <c r="E40" s="334">
        <v>1</v>
      </c>
      <c r="F40" s="334">
        <v>5360</v>
      </c>
    </row>
    <row r="41" spans="1:6">
      <c r="A41" s="348" t="s">
        <v>32</v>
      </c>
      <c r="B41" s="348" t="s">
        <v>33</v>
      </c>
      <c r="C41" s="334">
        <v>53</v>
      </c>
      <c r="D41" s="334">
        <v>2141197</v>
      </c>
      <c r="E41" s="334">
        <v>112</v>
      </c>
      <c r="F41" s="334">
        <v>4845552.4970000004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23</v>
      </c>
      <c r="D44" s="334">
        <v>4751433.2319999998</v>
      </c>
      <c r="E44" s="334">
        <v>48</v>
      </c>
      <c r="F44" s="334">
        <v>7780829</v>
      </c>
    </row>
    <row r="45" spans="1:6">
      <c r="A45" s="348" t="s">
        <v>32</v>
      </c>
      <c r="B45" s="348" t="s">
        <v>37</v>
      </c>
      <c r="C45" s="334">
        <v>3</v>
      </c>
      <c r="D45" s="334">
        <v>64250</v>
      </c>
      <c r="E45" s="334">
        <v>9</v>
      </c>
      <c r="F45" s="334">
        <v>2340407.9139999999</v>
      </c>
    </row>
    <row r="46" spans="1:6">
      <c r="A46" s="348" t="s">
        <v>32</v>
      </c>
      <c r="B46" s="348" t="s">
        <v>38</v>
      </c>
      <c r="C46" s="334">
        <v>0</v>
      </c>
      <c r="D46" s="334">
        <v>0</v>
      </c>
      <c r="E46" s="334">
        <v>0</v>
      </c>
      <c r="F46" s="334">
        <v>0</v>
      </c>
    </row>
    <row r="47" spans="1:6">
      <c r="A47" s="348" t="s">
        <v>32</v>
      </c>
      <c r="B47" s="348" t="s">
        <v>39</v>
      </c>
      <c r="C47" s="334">
        <v>0</v>
      </c>
      <c r="D47" s="334">
        <v>0</v>
      </c>
      <c r="E47" s="334">
        <v>4</v>
      </c>
      <c r="F47" s="334">
        <v>805153</v>
      </c>
    </row>
    <row r="48" spans="1:6">
      <c r="A48" s="348" t="s">
        <v>32</v>
      </c>
      <c r="B48" s="348" t="s">
        <v>29</v>
      </c>
      <c r="C48" s="334">
        <v>4</v>
      </c>
      <c r="D48" s="334">
        <v>788216</v>
      </c>
      <c r="E48" s="334">
        <v>2</v>
      </c>
      <c r="F48" s="334">
        <v>240195</v>
      </c>
    </row>
    <row r="49" spans="1:6">
      <c r="A49" s="348" t="s">
        <v>32</v>
      </c>
      <c r="B49" s="348" t="s">
        <v>40</v>
      </c>
      <c r="C49" s="334">
        <v>4</v>
      </c>
      <c r="D49" s="334">
        <v>308916</v>
      </c>
      <c r="E49" s="334">
        <v>7</v>
      </c>
      <c r="F49" s="334">
        <v>158907</v>
      </c>
    </row>
    <row r="50" spans="1:6">
      <c r="A50" s="348" t="s">
        <v>32</v>
      </c>
      <c r="B50" s="348" t="s">
        <v>41</v>
      </c>
      <c r="C50" s="334">
        <v>8</v>
      </c>
      <c r="D50" s="334">
        <v>9880615.5460000001</v>
      </c>
      <c r="E50" s="334">
        <v>12</v>
      </c>
      <c r="F50" s="334">
        <v>9579791.8210000005</v>
      </c>
    </row>
    <row r="51" spans="1:6">
      <c r="A51" s="348" t="s">
        <v>42</v>
      </c>
      <c r="B51" s="348" t="s">
        <v>43</v>
      </c>
      <c r="C51" s="334">
        <v>16</v>
      </c>
      <c r="D51" s="334">
        <v>2132041</v>
      </c>
      <c r="E51" s="334">
        <v>94</v>
      </c>
      <c r="F51" s="334">
        <v>2113634.827</v>
      </c>
    </row>
    <row r="52" spans="1:6">
      <c r="A52" s="348" t="s">
        <v>42</v>
      </c>
      <c r="B52" s="348" t="s">
        <v>29</v>
      </c>
      <c r="C52" s="334">
        <v>0</v>
      </c>
      <c r="D52" s="334">
        <v>0</v>
      </c>
      <c r="E52" s="334">
        <v>0</v>
      </c>
      <c r="F52" s="334">
        <v>0</v>
      </c>
    </row>
    <row r="53" spans="1:6">
      <c r="A53" s="348" t="s">
        <v>44</v>
      </c>
      <c r="B53" s="348" t="s">
        <v>45</v>
      </c>
      <c r="C53" s="334">
        <v>41</v>
      </c>
      <c r="D53" s="334">
        <v>1144982.3</v>
      </c>
      <c r="E53" s="334">
        <v>118</v>
      </c>
      <c r="F53" s="334">
        <v>569452.79599999997</v>
      </c>
    </row>
    <row r="54" spans="1:6">
      <c r="A54" s="348" t="s">
        <v>46</v>
      </c>
      <c r="B54" s="348" t="s">
        <v>47</v>
      </c>
      <c r="C54" s="334">
        <v>0</v>
      </c>
      <c r="D54" s="334">
        <v>0</v>
      </c>
      <c r="E54" s="334">
        <v>3</v>
      </c>
      <c r="F54" s="334">
        <v>765095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52</v>
      </c>
      <c r="D57" s="334">
        <v>4319373.0980000002</v>
      </c>
      <c r="E57" s="334">
        <v>127</v>
      </c>
      <c r="F57" s="334">
        <v>2514710.861</v>
      </c>
    </row>
    <row r="58" spans="1:6">
      <c r="A58" s="348" t="s">
        <v>49</v>
      </c>
      <c r="B58" s="348" t="s">
        <v>51</v>
      </c>
      <c r="C58" s="334">
        <v>26</v>
      </c>
      <c r="D58" s="334">
        <v>2587673.074</v>
      </c>
      <c r="E58" s="334">
        <v>33</v>
      </c>
      <c r="F58" s="334">
        <v>756241.45499999996</v>
      </c>
    </row>
    <row r="59" spans="1:6">
      <c r="A59" s="348" t="s">
        <v>49</v>
      </c>
      <c r="B59" s="348" t="s">
        <v>52</v>
      </c>
      <c r="C59" s="334">
        <v>93</v>
      </c>
      <c r="D59" s="334">
        <v>2989855.6</v>
      </c>
      <c r="E59" s="334">
        <v>165</v>
      </c>
      <c r="F59" s="334">
        <v>5015128.9440000001</v>
      </c>
    </row>
    <row r="60" spans="1:6">
      <c r="A60" s="348" t="s">
        <v>49</v>
      </c>
      <c r="B60" s="348" t="s">
        <v>53</v>
      </c>
      <c r="C60" s="334">
        <v>41</v>
      </c>
      <c r="D60" s="334">
        <v>1915520</v>
      </c>
      <c r="E60" s="334">
        <v>61</v>
      </c>
      <c r="F60" s="334">
        <v>1326337.2760000001</v>
      </c>
    </row>
    <row r="61" spans="1:6">
      <c r="A61" s="348" t="s">
        <v>49</v>
      </c>
      <c r="B61" s="348" t="s">
        <v>54</v>
      </c>
      <c r="C61" s="334">
        <v>112</v>
      </c>
      <c r="D61" s="334">
        <v>5807269.7779999999</v>
      </c>
      <c r="E61" s="334">
        <v>179</v>
      </c>
      <c r="F61" s="334">
        <v>5310830.8480000002</v>
      </c>
    </row>
    <row r="62" spans="1:6">
      <c r="A62" s="348" t="s">
        <v>49</v>
      </c>
      <c r="B62" s="348" t="s">
        <v>55</v>
      </c>
      <c r="C62" s="334">
        <v>9</v>
      </c>
      <c r="D62" s="334">
        <v>1318952</v>
      </c>
      <c r="E62" s="334">
        <v>12</v>
      </c>
      <c r="F62" s="334">
        <v>199839</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11049</v>
      </c>
      <c r="E65" s="334">
        <v>1</v>
      </c>
      <c r="F65" s="334">
        <v>321</v>
      </c>
    </row>
    <row r="66" spans="1:6">
      <c r="A66" s="348" t="s">
        <v>56</v>
      </c>
      <c r="B66" s="348" t="s">
        <v>58</v>
      </c>
      <c r="C66" s="334">
        <v>0</v>
      </c>
      <c r="D66" s="334">
        <v>0</v>
      </c>
      <c r="E66" s="334">
        <v>4</v>
      </c>
      <c r="F66" s="334">
        <v>24540</v>
      </c>
    </row>
    <row r="67" spans="1:6">
      <c r="A67" s="355" t="s">
        <v>56</v>
      </c>
      <c r="B67" s="355" t="s">
        <v>59</v>
      </c>
      <c r="C67" s="334">
        <v>0</v>
      </c>
      <c r="D67" s="334">
        <v>0</v>
      </c>
      <c r="E67" s="334">
        <v>0</v>
      </c>
      <c r="F67" s="334">
        <v>0</v>
      </c>
    </row>
    <row r="68" spans="1:6">
      <c r="A68" s="341" t="s">
        <v>56</v>
      </c>
      <c r="B68" s="341" t="s">
        <v>60</v>
      </c>
      <c r="C68" s="334">
        <v>3</v>
      </c>
      <c r="D68" s="334">
        <v>134100</v>
      </c>
      <c r="E68" s="334">
        <v>6</v>
      </c>
      <c r="F68" s="334">
        <v>131760.34299999999</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39128889</v>
      </c>
      <c r="E73" s="476">
        <v>39746880.133609973</v>
      </c>
    </row>
    <row r="74" spans="1:6">
      <c r="A74" s="348" t="s">
        <v>64</v>
      </c>
      <c r="B74" s="348" t="s">
        <v>657</v>
      </c>
      <c r="C74" s="1272" t="s">
        <v>659</v>
      </c>
      <c r="D74" s="476">
        <v>3268340.6096064271</v>
      </c>
      <c r="E74" s="476">
        <v>3361933.9407122517</v>
      </c>
    </row>
    <row r="75" spans="1:6">
      <c r="A75" s="348" t="s">
        <v>65</v>
      </c>
      <c r="B75" s="348" t="s">
        <v>656</v>
      </c>
      <c r="C75" s="1272" t="s">
        <v>660</v>
      </c>
      <c r="D75" s="476">
        <v>15344245</v>
      </c>
      <c r="E75" s="476">
        <v>15586624.707832834</v>
      </c>
    </row>
    <row r="76" spans="1:6">
      <c r="A76" s="348" t="s">
        <v>65</v>
      </c>
      <c r="B76" s="348" t="s">
        <v>657</v>
      </c>
      <c r="C76" s="1272" t="s">
        <v>661</v>
      </c>
      <c r="D76" s="476">
        <v>646662.60960642691</v>
      </c>
      <c r="E76" s="476">
        <v>666621.53055484977</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238466.78078714616</v>
      </c>
      <c r="C83" s="476">
        <v>243843.95049734428</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4635.2181347772266</v>
      </c>
    </row>
    <row r="92" spans="1:6">
      <c r="A92" s="341" t="s">
        <v>69</v>
      </c>
      <c r="B92" s="342">
        <v>963.75226665650325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1851</v>
      </c>
    </row>
    <row r="98" spans="1:6">
      <c r="A98" s="348" t="s">
        <v>72</v>
      </c>
      <c r="B98" s="334">
        <v>3</v>
      </c>
    </row>
    <row r="99" spans="1:6">
      <c r="A99" s="348" t="s">
        <v>73</v>
      </c>
      <c r="B99" s="334">
        <v>56</v>
      </c>
    </row>
    <row r="100" spans="1:6">
      <c r="A100" s="348" t="s">
        <v>74</v>
      </c>
      <c r="B100" s="334">
        <v>342</v>
      </c>
    </row>
    <row r="101" spans="1:6">
      <c r="A101" s="348" t="s">
        <v>75</v>
      </c>
      <c r="B101" s="334">
        <v>76</v>
      </c>
    </row>
    <row r="102" spans="1:6">
      <c r="A102" s="348" t="s">
        <v>76</v>
      </c>
      <c r="B102" s="334">
        <v>61</v>
      </c>
    </row>
    <row r="103" spans="1:6">
      <c r="A103" s="348" t="s">
        <v>77</v>
      </c>
      <c r="B103" s="334">
        <v>64</v>
      </c>
    </row>
    <row r="104" spans="1:6">
      <c r="A104" s="348" t="s">
        <v>78</v>
      </c>
      <c r="B104" s="334">
        <v>2617</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14</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99</v>
      </c>
    </row>
    <row r="130" spans="1:6">
      <c r="A130" s="348" t="s">
        <v>295</v>
      </c>
      <c r="B130" s="334">
        <v>0</v>
      </c>
    </row>
    <row r="131" spans="1:6">
      <c r="A131" s="348" t="s">
        <v>296</v>
      </c>
      <c r="B131" s="334">
        <v>1</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70610.435539187965</v>
      </c>
      <c r="C3" s="43" t="s">
        <v>170</v>
      </c>
      <c r="D3" s="43"/>
      <c r="E3" s="154"/>
      <c r="F3" s="43"/>
      <c r="G3" s="43"/>
      <c r="H3" s="43"/>
      <c r="I3" s="43"/>
      <c r="J3" s="43"/>
      <c r="K3" s="96"/>
    </row>
    <row r="4" spans="1:11">
      <c r="A4" s="383" t="s">
        <v>171</v>
      </c>
      <c r="B4" s="49">
        <f>IF(ISERROR('SEAP template'!B69),0,'SEAP template'!B69)</f>
        <v>5598.9704014337294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0.20347606817224448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765.09500000000003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765.09500000000003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0.20347606817224448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155.6785223782434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22201.13305</v>
      </c>
      <c r="C5" s="17">
        <f>IF(ISERROR('Eigen informatie GS &amp; warmtenet'!B57),0,'Eigen informatie GS &amp; warmtenet'!B57)</f>
        <v>0</v>
      </c>
      <c r="D5" s="30">
        <f>(SUM(HH_hh_gas_kWh,HH_rest_gas_kWh)/1000)*0.902</f>
        <v>63845.144047300004</v>
      </c>
      <c r="E5" s="17">
        <f>B46*B57</f>
        <v>2847.2104837445131</v>
      </c>
      <c r="F5" s="17">
        <f>B51*B62</f>
        <v>17702.410405453418</v>
      </c>
      <c r="G5" s="18"/>
      <c r="H5" s="17"/>
      <c r="I5" s="17"/>
      <c r="J5" s="17">
        <f>B50*B61+C50*C61</f>
        <v>0</v>
      </c>
      <c r="K5" s="17"/>
      <c r="L5" s="17"/>
      <c r="M5" s="17"/>
      <c r="N5" s="17">
        <f>B48*B59+C48*C59</f>
        <v>13168.545464307032</v>
      </c>
      <c r="O5" s="17">
        <f>B69*B70*B71</f>
        <v>176.65666666666667</v>
      </c>
      <c r="P5" s="17">
        <f>B77*B78*B79/1000-B77*B78*B79/1000/B80</f>
        <v>629.20000000000005</v>
      </c>
    </row>
    <row r="6" spans="1:16">
      <c r="A6" s="16" t="s">
        <v>621</v>
      </c>
      <c r="B6" s="843">
        <f>kWh_PV_kleiner_dan_10kW</f>
        <v>4635.2181347772266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26836.351184777228</v>
      </c>
      <c r="C8" s="21">
        <f>C5</f>
        <v>0</v>
      </c>
      <c r="D8" s="21">
        <f>D5</f>
        <v>63845.144047300004</v>
      </c>
      <c r="E8" s="21">
        <f>E5</f>
        <v>2847.2104837445131</v>
      </c>
      <c r="F8" s="21">
        <f>F5</f>
        <v>17702.410405453418</v>
      </c>
      <c r="G8" s="21"/>
      <c r="H8" s="21"/>
      <c r="I8" s="21"/>
      <c r="J8" s="21">
        <f>J5</f>
        <v>0</v>
      </c>
      <c r="K8" s="21"/>
      <c r="L8" s="21">
        <f>L5</f>
        <v>0</v>
      </c>
      <c r="M8" s="21">
        <f>M5</f>
        <v>0</v>
      </c>
      <c r="N8" s="21">
        <f>N5</f>
        <v>13168.545464307032</v>
      </c>
      <c r="O8" s="21">
        <f>O5</f>
        <v>176.65666666666667</v>
      </c>
      <c r="P8" s="21">
        <f>P5</f>
        <v>629.20000000000005</v>
      </c>
    </row>
    <row r="9" spans="1:16">
      <c r="B9" s="19"/>
      <c r="C9" s="19"/>
      <c r="D9" s="258"/>
      <c r="E9" s="19"/>
      <c r="F9" s="19"/>
      <c r="G9" s="19"/>
      <c r="H9" s="19"/>
      <c r="I9" s="19"/>
      <c r="J9" s="19"/>
      <c r="K9" s="19"/>
      <c r="L9" s="19"/>
      <c r="M9" s="19"/>
      <c r="N9" s="19"/>
      <c r="O9" s="19"/>
      <c r="P9" s="19"/>
    </row>
    <row r="10" spans="1:16">
      <c r="A10" s="24" t="s">
        <v>214</v>
      </c>
      <c r="B10" s="25">
        <f ca="1">'EF ele_warmte'!B12</f>
        <v>0.20347606817224448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5460.5552231680249</v>
      </c>
      <c r="C12" s="23">
        <f ca="1">C10*C8</f>
        <v>0</v>
      </c>
      <c r="D12" s="23">
        <f>D8*D10</f>
        <v>12896.719097554602</v>
      </c>
      <c r="E12" s="23">
        <f>E10*E8</f>
        <v>646.3167798100045</v>
      </c>
      <c r="F12" s="23">
        <f>F10*F8</f>
        <v>4726.5435782560626</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1851</v>
      </c>
      <c r="C18" s="166" t="s">
        <v>111</v>
      </c>
      <c r="D18" s="228"/>
      <c r="E18" s="15"/>
    </row>
    <row r="19" spans="1:7">
      <c r="A19" s="171" t="s">
        <v>72</v>
      </c>
      <c r="B19" s="37">
        <f>aantalw2001_ander</f>
        <v>3</v>
      </c>
      <c r="C19" s="166" t="s">
        <v>111</v>
      </c>
      <c r="D19" s="229"/>
      <c r="E19" s="15"/>
    </row>
    <row r="20" spans="1:7">
      <c r="A20" s="171" t="s">
        <v>73</v>
      </c>
      <c r="B20" s="37">
        <f>aantalw2001_propaan</f>
        <v>56</v>
      </c>
      <c r="C20" s="167">
        <f>IF(ISERROR(B20/SUM($B$20,$B$21,$B$22)*100),0,B20/SUM($B$20,$B$21,$B$22)*100)</f>
        <v>11.814345991561181</v>
      </c>
      <c r="D20" s="229"/>
      <c r="E20" s="15"/>
    </row>
    <row r="21" spans="1:7">
      <c r="A21" s="171" t="s">
        <v>74</v>
      </c>
      <c r="B21" s="37">
        <f>aantalw2001_elektriciteit</f>
        <v>342</v>
      </c>
      <c r="C21" s="167">
        <f>IF(ISERROR(B21/SUM($B$20,$B$21,$B$22)*100),0,B21/SUM($B$20,$B$21,$B$22)*100)</f>
        <v>72.151898734177209</v>
      </c>
      <c r="D21" s="229"/>
      <c r="E21" s="15"/>
    </row>
    <row r="22" spans="1:7">
      <c r="A22" s="171" t="s">
        <v>75</v>
      </c>
      <c r="B22" s="37">
        <f>aantalw2001_hout</f>
        <v>76</v>
      </c>
      <c r="C22" s="167">
        <f>IF(ISERROR(B22/SUM($B$20,$B$21,$B$22)*100),0,B22/SUM($B$20,$B$21,$B$22)*100)</f>
        <v>16.033755274261605</v>
      </c>
      <c r="D22" s="229"/>
      <c r="E22" s="15"/>
    </row>
    <row r="23" spans="1:7">
      <c r="A23" s="171" t="s">
        <v>76</v>
      </c>
      <c r="B23" s="37">
        <f>aantalw2001_niet_gespec</f>
        <v>61</v>
      </c>
      <c r="C23" s="166" t="s">
        <v>111</v>
      </c>
      <c r="D23" s="228"/>
      <c r="E23" s="15"/>
    </row>
    <row r="24" spans="1:7">
      <c r="A24" s="171" t="s">
        <v>77</v>
      </c>
      <c r="B24" s="37">
        <f>aantalw2001_steenkool</f>
        <v>64</v>
      </c>
      <c r="C24" s="166" t="s">
        <v>111</v>
      </c>
      <c r="D24" s="229"/>
      <c r="E24" s="15"/>
    </row>
    <row r="25" spans="1:7">
      <c r="A25" s="171" t="s">
        <v>78</v>
      </c>
      <c r="B25" s="37">
        <f>aantalw2001_stookolie</f>
        <v>2617</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794</v>
      </c>
      <c r="B28" s="37">
        <f>aantalHuishoudens2011</f>
        <v>5854</v>
      </c>
      <c r="C28" s="36"/>
      <c r="D28" s="228"/>
    </row>
    <row r="29" spans="1:7" s="15" customFormat="1">
      <c r="A29" s="230" t="s">
        <v>795</v>
      </c>
      <c r="B29" s="37">
        <f>SUM(HH_hh_gas_aantal,HH_rest_gas_aantal)</f>
        <v>3999</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3999</v>
      </c>
      <c r="C32" s="167">
        <f>IF(ISERROR(B32/SUM($B$32,$B$34,$B$35,$B$36,$B$38,$B$39)*100),0,B32/SUM($B$32,$B$34,$B$35,$B$36,$B$38,$B$39)*100)</f>
        <v>68.699536162171455</v>
      </c>
      <c r="D32" s="233"/>
      <c r="G32" s="15"/>
    </row>
    <row r="33" spans="1:7">
      <c r="A33" s="171" t="s">
        <v>72</v>
      </c>
      <c r="B33" s="34" t="s">
        <v>111</v>
      </c>
      <c r="C33" s="167"/>
      <c r="D33" s="233"/>
      <c r="G33" s="15"/>
    </row>
    <row r="34" spans="1:7">
      <c r="A34" s="171" t="s">
        <v>73</v>
      </c>
      <c r="B34" s="33">
        <f>IF((($B$28-$B$32-$B$39-$B$77-$B$38)*C20/100)&lt;0,0,($B$28-$B$32-$B$39-$B$77-$B$38)*C20/100)</f>
        <v>134.47088607594935</v>
      </c>
      <c r="C34" s="167">
        <f>IF(ISERROR(B34/SUM($B$32,$B$34,$B$35,$B$36,$B$38,$B$39)*100),0,B34/SUM($B$32,$B$34,$B$35,$B$36,$B$38,$B$39)*100)</f>
        <v>2.3100994000334882</v>
      </c>
      <c r="D34" s="233"/>
      <c r="G34" s="15"/>
    </row>
    <row r="35" spans="1:7">
      <c r="A35" s="171" t="s">
        <v>74</v>
      </c>
      <c r="B35" s="33">
        <f>IF((($B$28-$B$32-$B$39-$B$77-$B$38)*C21/100)&lt;0,0,($B$28-$B$32-$B$39-$B$77-$B$38)*C21/100)</f>
        <v>821.23291139240507</v>
      </c>
      <c r="C35" s="167">
        <f>IF(ISERROR(B35/SUM($B$32,$B$34,$B$35,$B$36,$B$38,$B$39)*100),0,B35/SUM($B$32,$B$34,$B$35,$B$36,$B$38,$B$39)*100)</f>
        <v>14.108107050204518</v>
      </c>
      <c r="D35" s="233"/>
      <c r="G35" s="15"/>
    </row>
    <row r="36" spans="1:7">
      <c r="A36" s="171" t="s">
        <v>75</v>
      </c>
      <c r="B36" s="33">
        <f>IF((($B$28-$B$32-$B$39-$B$77-$B$38)*C22/100)&lt;0,0,($B$28-$B$32-$B$39-$B$77-$B$38)*C22/100)</f>
        <v>182.49620253164557</v>
      </c>
      <c r="C36" s="167">
        <f>IF(ISERROR(B36/SUM($B$32,$B$34,$B$35,$B$36,$B$38,$B$39)*100),0,B36/SUM($B$32,$B$34,$B$35,$B$36,$B$38,$B$39)*100)</f>
        <v>3.1351349000454483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683.8</v>
      </c>
      <c r="C39" s="167">
        <f>IF(ISERROR(B39/SUM($B$32,$B$34,$B$35,$B$36,$B$38,$B$39)*100),0,B39/SUM($B$32,$B$34,$B$35,$B$36,$B$38,$B$39)*100)</f>
        <v>11.747122487545095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3999</v>
      </c>
      <c r="C44" s="34" t="s">
        <v>111</v>
      </c>
      <c r="D44" s="174"/>
    </row>
    <row r="45" spans="1:7">
      <c r="A45" s="171" t="s">
        <v>72</v>
      </c>
      <c r="B45" s="33" t="str">
        <f t="shared" si="0"/>
        <v>-</v>
      </c>
      <c r="C45" s="34" t="s">
        <v>111</v>
      </c>
      <c r="D45" s="174"/>
    </row>
    <row r="46" spans="1:7">
      <c r="A46" s="171" t="s">
        <v>73</v>
      </c>
      <c r="B46" s="33">
        <f t="shared" si="0"/>
        <v>134.47088607594935</v>
      </c>
      <c r="C46" s="34" t="s">
        <v>111</v>
      </c>
      <c r="D46" s="174"/>
    </row>
    <row r="47" spans="1:7">
      <c r="A47" s="171" t="s">
        <v>74</v>
      </c>
      <c r="B47" s="33">
        <f t="shared" si="0"/>
        <v>821.23291139240507</v>
      </c>
      <c r="C47" s="34" t="s">
        <v>111</v>
      </c>
      <c r="D47" s="174"/>
    </row>
    <row r="48" spans="1:7">
      <c r="A48" s="171" t="s">
        <v>75</v>
      </c>
      <c r="B48" s="33">
        <f t="shared" si="0"/>
        <v>182.49620253164557</v>
      </c>
      <c r="C48" s="33">
        <f>B48*10</f>
        <v>1824.9620253164558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683.8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15123.088383999999</v>
      </c>
      <c r="C5" s="17">
        <f>IF(ISERROR('Eigen informatie GS &amp; warmtenet'!B58),0,'Eigen informatie GS &amp; warmtenet'!B58)</f>
        <v>0</v>
      </c>
      <c r="D5" s="30">
        <f>SUM(D6:D12)</f>
        <v>17082.656482099999</v>
      </c>
      <c r="E5" s="17">
        <f>SUM(E6:E12)</f>
        <v>206.98436605502224</v>
      </c>
      <c r="F5" s="17">
        <f>SUM(F6:F12)</f>
        <v>2737.3092496418749</v>
      </c>
      <c r="G5" s="18"/>
      <c r="H5" s="17"/>
      <c r="I5" s="17"/>
      <c r="J5" s="17">
        <f>SUM(J6:J12)</f>
        <v>5.4584515397916859E-2</v>
      </c>
      <c r="K5" s="17"/>
      <c r="L5" s="17"/>
      <c r="M5" s="17"/>
      <c r="N5" s="17">
        <f>SUM(N6:N12)</f>
        <v>2160.0983295177216</v>
      </c>
      <c r="O5" s="17">
        <f>B38*B39*B40</f>
        <v>0</v>
      </c>
      <c r="P5" s="17">
        <f>B46*B47*B48/1000-B46*B47*B48/1000/B49</f>
        <v>19.066666666666666</v>
      </c>
      <c r="R5" s="32"/>
    </row>
    <row r="6" spans="1:18">
      <c r="A6" s="32" t="s">
        <v>54</v>
      </c>
      <c r="B6" s="37">
        <f>B26</f>
        <v>5310.8308480000005</v>
      </c>
      <c r="C6" s="33"/>
      <c r="D6" s="37">
        <f>IF(ISERROR(TER_kantoor_gas_kWh/1000),0,TER_kantoor_gas_kWh/1000)*0.902</f>
        <v>5238.1573397559996</v>
      </c>
      <c r="E6" s="33">
        <f>$C$26*'E Balans VL '!I12/100/3.6*1000000</f>
        <v>3.3286521400596396E-2</v>
      </c>
      <c r="F6" s="33">
        <f>$C$26*('E Balans VL '!L12+'E Balans VL '!N12)/100/3.6*1000000</f>
        <v>798.06947768715816</v>
      </c>
      <c r="G6" s="34"/>
      <c r="H6" s="33"/>
      <c r="I6" s="33"/>
      <c r="J6" s="33">
        <f>$C$26*('E Balans VL '!D12+'E Balans VL '!E12)/100/3.6*1000000</f>
        <v>0</v>
      </c>
      <c r="K6" s="33"/>
      <c r="L6" s="33"/>
      <c r="M6" s="33"/>
      <c r="N6" s="33">
        <f>$C$26*'E Balans VL '!Y12/100/3.6*1000000</f>
        <v>5.0790222890243539</v>
      </c>
      <c r="O6" s="33"/>
      <c r="P6" s="33"/>
      <c r="R6" s="32"/>
    </row>
    <row r="7" spans="1:18">
      <c r="A7" s="32" t="s">
        <v>53</v>
      </c>
      <c r="B7" s="37">
        <f t="shared" ref="B7:B12" si="0">B27</f>
        <v>1326.337276</v>
      </c>
      <c r="C7" s="33"/>
      <c r="D7" s="37">
        <f>IF(ISERROR(TER_horeca_gas_kWh/1000),0,TER_horeca_gas_kWh/1000)*0.902</f>
        <v>1727.7990400000001</v>
      </c>
      <c r="E7" s="33">
        <f>$C$27*'E Balans VL '!I9/100/3.6*1000000</f>
        <v>18.992928866704098</v>
      </c>
      <c r="F7" s="33">
        <f>$C$27*('E Balans VL '!L9+'E Balans VL '!N9)/100/3.6*1000000</f>
        <v>167.95804343024901</v>
      </c>
      <c r="G7" s="34"/>
      <c r="H7" s="33"/>
      <c r="I7" s="33"/>
      <c r="J7" s="33">
        <f>$C$27*('E Balans VL '!D9+'E Balans VL '!E9)/100/3.6*1000000</f>
        <v>0</v>
      </c>
      <c r="K7" s="33"/>
      <c r="L7" s="33"/>
      <c r="M7" s="33"/>
      <c r="N7" s="33">
        <f>$C$27*'E Balans VL '!Y9/100/3.6*1000000</f>
        <v>0.38129272362329297</v>
      </c>
      <c r="O7" s="33"/>
      <c r="P7" s="33"/>
      <c r="R7" s="32"/>
    </row>
    <row r="8" spans="1:18">
      <c r="A8" s="6" t="s">
        <v>52</v>
      </c>
      <c r="B8" s="37">
        <f t="shared" si="0"/>
        <v>5015.128944</v>
      </c>
      <c r="C8" s="33"/>
      <c r="D8" s="37">
        <f>IF(ISERROR(TER_handel_gas_kWh/1000),0,TER_handel_gas_kWh/1000)*0.902</f>
        <v>2696.8497511999999</v>
      </c>
      <c r="E8" s="33">
        <f>$C$28*'E Balans VL '!I13/100/3.6*1000000</f>
        <v>181.8981083608856</v>
      </c>
      <c r="F8" s="33">
        <f>$C$28*('E Balans VL '!L13+'E Balans VL '!N13)/100/3.6*1000000</f>
        <v>965.96461602353907</v>
      </c>
      <c r="G8" s="34"/>
      <c r="H8" s="33"/>
      <c r="I8" s="33"/>
      <c r="J8" s="33">
        <f>$C$28*('E Balans VL '!D13+'E Balans VL '!E13)/100/3.6*1000000</f>
        <v>0</v>
      </c>
      <c r="K8" s="33"/>
      <c r="L8" s="33"/>
      <c r="M8" s="33"/>
      <c r="N8" s="33">
        <f>$C$28*'E Balans VL '!Y13/100/3.6*1000000</f>
        <v>6.947107517146291</v>
      </c>
      <c r="O8" s="33"/>
      <c r="P8" s="33"/>
      <c r="R8" s="32"/>
    </row>
    <row r="9" spans="1:18">
      <c r="A9" s="32" t="s">
        <v>51</v>
      </c>
      <c r="B9" s="37">
        <f t="shared" si="0"/>
        <v>756.24145499999997</v>
      </c>
      <c r="C9" s="33"/>
      <c r="D9" s="37">
        <f>IF(ISERROR(TER_gezond_gas_kWh/1000),0,TER_gezond_gas_kWh/1000)*0.902</f>
        <v>2334.0811127479997</v>
      </c>
      <c r="E9" s="33">
        <f>$C$29*'E Balans VL '!I10/100/3.6*1000000</f>
        <v>4.7348181618460508E-2</v>
      </c>
      <c r="F9" s="33">
        <f>$C$29*('E Balans VL '!L10+'E Balans VL '!N10)/100/3.6*1000000</f>
        <v>112.34197067619856</v>
      </c>
      <c r="G9" s="34"/>
      <c r="H9" s="33"/>
      <c r="I9" s="33"/>
      <c r="J9" s="33">
        <f>$C$29*('E Balans VL '!D10+'E Balans VL '!E10)/100/3.6*1000000</f>
        <v>0</v>
      </c>
      <c r="K9" s="33"/>
      <c r="L9" s="33"/>
      <c r="M9" s="33"/>
      <c r="N9" s="33">
        <f>$C$29*'E Balans VL '!Y10/100/3.6*1000000</f>
        <v>11.697615797002831</v>
      </c>
      <c r="O9" s="33"/>
      <c r="P9" s="33"/>
      <c r="R9" s="32"/>
    </row>
    <row r="10" spans="1:18">
      <c r="A10" s="32" t="s">
        <v>50</v>
      </c>
      <c r="B10" s="37">
        <f t="shared" si="0"/>
        <v>2514.710861</v>
      </c>
      <c r="C10" s="33"/>
      <c r="D10" s="37">
        <f>IF(ISERROR(TER_ander_gas_kWh/1000),0,TER_ander_gas_kWh/1000)*0.902</f>
        <v>3896.0745343960002</v>
      </c>
      <c r="E10" s="33">
        <f>$C$30*'E Balans VL '!I14/100/3.6*1000000</f>
        <v>2.9974454857295987</v>
      </c>
      <c r="F10" s="33">
        <f>$C$30*('E Balans VL '!L14+'E Balans VL '!N14)/100/3.6*1000000</f>
        <v>657.96015650172876</v>
      </c>
      <c r="G10" s="34"/>
      <c r="H10" s="33"/>
      <c r="I10" s="33"/>
      <c r="J10" s="33">
        <f>$C$30*('E Balans VL '!D14+'E Balans VL '!E14)/100/3.6*1000000</f>
        <v>5.4584515397916859E-2</v>
      </c>
      <c r="K10" s="33"/>
      <c r="L10" s="33"/>
      <c r="M10" s="33"/>
      <c r="N10" s="33">
        <f>$C$30*'E Balans VL '!Y14/100/3.6*1000000</f>
        <v>2135.4309290525857</v>
      </c>
      <c r="O10" s="33"/>
      <c r="P10" s="33"/>
      <c r="R10" s="32"/>
    </row>
    <row r="11" spans="1:18">
      <c r="A11" s="32" t="s">
        <v>55</v>
      </c>
      <c r="B11" s="37">
        <f t="shared" si="0"/>
        <v>199.839</v>
      </c>
      <c r="C11" s="33"/>
      <c r="D11" s="37">
        <f>IF(ISERROR(TER_onderwijs_gas_kWh/1000),0,TER_onderwijs_gas_kWh/1000)*0.902</f>
        <v>1189.694704</v>
      </c>
      <c r="E11" s="33">
        <f>$C$31*'E Balans VL '!I11/100/3.6*1000000</f>
        <v>3.0152486386838548</v>
      </c>
      <c r="F11" s="33">
        <f>$C$31*('E Balans VL '!L11+'E Balans VL '!N11)/100/3.6*1000000</f>
        <v>35.014985323001497</v>
      </c>
      <c r="G11" s="34"/>
      <c r="H11" s="33"/>
      <c r="I11" s="33"/>
      <c r="J11" s="33">
        <f>$C$31*('E Balans VL '!D11+'E Balans VL '!E11)/100/3.6*1000000</f>
        <v>0</v>
      </c>
      <c r="K11" s="33"/>
      <c r="L11" s="33"/>
      <c r="M11" s="33"/>
      <c r="N11" s="33">
        <f>$C$31*'E Balans VL '!Y11/100/3.6*1000000</f>
        <v>0.56236213833933268</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15123.088383999999</v>
      </c>
      <c r="C16" s="21">
        <f t="shared" ca="1" si="1"/>
        <v>0</v>
      </c>
      <c r="D16" s="21">
        <f t="shared" ca="1" si="1"/>
        <v>17082.656482099999</v>
      </c>
      <c r="E16" s="21">
        <f t="shared" si="1"/>
        <v>206.98436605502224</v>
      </c>
      <c r="F16" s="21">
        <f t="shared" ca="1" si="1"/>
        <v>2737.3092496418749</v>
      </c>
      <c r="G16" s="21">
        <f t="shared" si="1"/>
        <v>0</v>
      </c>
      <c r="H16" s="21">
        <f t="shared" si="1"/>
        <v>0</v>
      </c>
      <c r="I16" s="21">
        <f t="shared" si="1"/>
        <v>0</v>
      </c>
      <c r="J16" s="21">
        <f t="shared" si="1"/>
        <v>5.4584515397916859E-2</v>
      </c>
      <c r="K16" s="21">
        <f t="shared" si="1"/>
        <v>0</v>
      </c>
      <c r="L16" s="21">
        <f t="shared" ca="1" si="1"/>
        <v>0</v>
      </c>
      <c r="M16" s="21">
        <f t="shared" si="1"/>
        <v>0</v>
      </c>
      <c r="N16" s="21">
        <f t="shared" ca="1" si="1"/>
        <v>2160.0983295177216</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0.20347606817224448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3077.1865629976623</v>
      </c>
      <c r="C20" s="23">
        <f t="shared" ref="C20:P20" ca="1" si="2">C16*C18</f>
        <v>0</v>
      </c>
      <c r="D20" s="23">
        <f t="shared" ca="1" si="2"/>
        <v>3450.6966093842002</v>
      </c>
      <c r="E20" s="23">
        <f t="shared" si="2"/>
        <v>46.985451094490045</v>
      </c>
      <c r="F20" s="23">
        <f t="shared" ca="1" si="2"/>
        <v>730.86156965438067</v>
      </c>
      <c r="G20" s="23">
        <f t="shared" si="2"/>
        <v>0</v>
      </c>
      <c r="H20" s="23">
        <f t="shared" si="2"/>
        <v>0</v>
      </c>
      <c r="I20" s="23">
        <f t="shared" si="2"/>
        <v>0</v>
      </c>
      <c r="J20" s="23">
        <f t="shared" si="2"/>
        <v>1.9322918450862567E-2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5310.8308480000005</v>
      </c>
      <c r="C26" s="39">
        <f>IF(ISERROR(B26*3.6/1000000/'E Balans VL '!Z12*100),0,B26*3.6/1000000/'E Balans VL '!Z12*100)</f>
        <v>0.11226255109109325</v>
      </c>
      <c r="D26" s="237" t="s">
        <v>754</v>
      </c>
      <c r="F26" s="6"/>
    </row>
    <row r="27" spans="1:18">
      <c r="A27" s="231" t="s">
        <v>53</v>
      </c>
      <c r="B27" s="33">
        <f>IF(ISERROR(TER_horeca_ele_kWh/1000),0,TER_horeca_ele_kWh/1000)</f>
        <v>1326.337276</v>
      </c>
      <c r="C27" s="39">
        <f>IF(ISERROR(B27*3.6/1000000/'E Balans VL '!Z9*100),0,B27*3.6/1000000/'E Balans VL '!Z9*100)</f>
        <v>0.1045546731159397</v>
      </c>
      <c r="D27" s="237" t="s">
        <v>754</v>
      </c>
      <c r="F27" s="6"/>
    </row>
    <row r="28" spans="1:18">
      <c r="A28" s="171" t="s">
        <v>52</v>
      </c>
      <c r="B28" s="33">
        <f>IF(ISERROR(TER_handel_ele_kWh/1000),0,TER_handel_ele_kWh/1000)</f>
        <v>5015.128944</v>
      </c>
      <c r="C28" s="39">
        <f>IF(ISERROR(B28*3.6/1000000/'E Balans VL '!Z13*100),0,B28*3.6/1000000/'E Balans VL '!Z13*100)</f>
        <v>0.14555930534645048</v>
      </c>
      <c r="D28" s="237" t="s">
        <v>754</v>
      </c>
      <c r="F28" s="6"/>
    </row>
    <row r="29" spans="1:18">
      <c r="A29" s="231" t="s">
        <v>51</v>
      </c>
      <c r="B29" s="33">
        <f>IF(ISERROR(TER_gezond_ele_kWh/1000),0,TER_gezond_ele_kWh/1000)</f>
        <v>756.24145499999997</v>
      </c>
      <c r="C29" s="39">
        <f>IF(ISERROR(B29*3.6/1000000/'E Balans VL '!Z10*100),0,B29*3.6/1000000/'E Balans VL '!Z10*100)</f>
        <v>7.9644643023973366E-2</v>
      </c>
      <c r="D29" s="237" t="s">
        <v>754</v>
      </c>
      <c r="F29" s="6"/>
    </row>
    <row r="30" spans="1:18">
      <c r="A30" s="231" t="s">
        <v>50</v>
      </c>
      <c r="B30" s="33">
        <f>IF(ISERROR(TER_ander_ele_kWh/1000),0,TER_ander_ele_kWh/1000)</f>
        <v>2514.710861</v>
      </c>
      <c r="C30" s="39">
        <f>IF(ISERROR(B30*3.6/1000000/'E Balans VL '!Z14*100),0,B30*3.6/1000000/'E Balans VL '!Z14*100)</f>
        <v>0.18548561929984206</v>
      </c>
      <c r="D30" s="237" t="s">
        <v>754</v>
      </c>
      <c r="F30" s="6"/>
    </row>
    <row r="31" spans="1:18">
      <c r="A31" s="231" t="s">
        <v>55</v>
      </c>
      <c r="B31" s="33">
        <f>IF(ISERROR(TER_onderwijs_ele_kWh/1000),0,TER_onderwijs_ele_kWh/1000)</f>
        <v>199.839</v>
      </c>
      <c r="C31" s="39">
        <f>IF(ISERROR(B31*3.6/1000000/'E Balans VL '!Z11*100),0,B31*3.6/1000000/'E Balans VL '!Z11*100)</f>
        <v>4.9629384710049164E-2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25750.836231999998</v>
      </c>
      <c r="C5" s="17">
        <f>IF(ISERROR('Eigen informatie GS &amp; warmtenet'!B59),0,'Eigen informatie GS &amp; warmtenet'!B59)</f>
        <v>0</v>
      </c>
      <c r="D5" s="30">
        <f>SUM(D6:D15)</f>
        <v>16177.034255756</v>
      </c>
      <c r="E5" s="17">
        <f>SUM(E6:E15)</f>
        <v>1590.9683821310005</v>
      </c>
      <c r="F5" s="17">
        <f>SUM(F6:F15)</f>
        <v>6120.3887759167583</v>
      </c>
      <c r="G5" s="18"/>
      <c r="H5" s="17"/>
      <c r="I5" s="17"/>
      <c r="J5" s="17">
        <f>SUM(J6:J15)</f>
        <v>4.8304134773351279</v>
      </c>
      <c r="K5" s="17"/>
      <c r="L5" s="17"/>
      <c r="M5" s="17"/>
      <c r="N5" s="17">
        <f>SUM(N6:N15)</f>
        <v>5288.5389176859308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7780.8289999999997</v>
      </c>
      <c r="C8" s="33"/>
      <c r="D8" s="37">
        <f>IF( ISERROR(IND_metaal_Gas_kWH/1000),0,IND_metaal_Gas_kWH/1000)*0.902</f>
        <v>4285.7927752639998</v>
      </c>
      <c r="E8" s="33">
        <f>C30*'E Balans VL '!I18/100/3.6*1000000</f>
        <v>71.537207858885864</v>
      </c>
      <c r="F8" s="33">
        <f>C30*'E Balans VL '!L18/100/3.6*1000000+C30*'E Balans VL '!N18/100/3.6*1000000</f>
        <v>729.58271018035953</v>
      </c>
      <c r="G8" s="34"/>
      <c r="H8" s="33"/>
      <c r="I8" s="33"/>
      <c r="J8" s="40">
        <f>C30*'E Balans VL '!D18/100/3.6*1000000+C30*'E Balans VL '!E18/100/3.6*1000000</f>
        <v>0</v>
      </c>
      <c r="K8" s="33"/>
      <c r="L8" s="33"/>
      <c r="M8" s="33"/>
      <c r="N8" s="33">
        <f>C30*'E Balans VL '!Y18/100/3.6*1000000</f>
        <v>111.00638404640161</v>
      </c>
      <c r="O8" s="33"/>
      <c r="P8" s="33"/>
      <c r="R8" s="32"/>
    </row>
    <row r="9" spans="1:18">
      <c r="A9" s="6" t="s">
        <v>33</v>
      </c>
      <c r="B9" s="37">
        <f t="shared" si="0"/>
        <v>4845.5524970000006</v>
      </c>
      <c r="C9" s="33"/>
      <c r="D9" s="37">
        <f>IF( ISERROR(IND_andere_gas_kWh/1000),0,IND_andere_gas_kWh/1000)*0.902</f>
        <v>1931.3596940000002</v>
      </c>
      <c r="E9" s="33">
        <f>C31*'E Balans VL '!I19/100/3.6*1000000</f>
        <v>1416.4493266538473</v>
      </c>
      <c r="F9" s="33">
        <f>C31*'E Balans VL '!L19/100/3.6*1000000+C31*'E Balans VL '!N19/100/3.6*1000000</f>
        <v>3893.7682059620993</v>
      </c>
      <c r="G9" s="34"/>
      <c r="H9" s="33"/>
      <c r="I9" s="33"/>
      <c r="J9" s="40">
        <f>C31*'E Balans VL '!D19/100/3.6*1000000+C31*'E Balans VL '!E19/100/3.6*1000000</f>
        <v>0</v>
      </c>
      <c r="K9" s="33"/>
      <c r="L9" s="33"/>
      <c r="M9" s="33"/>
      <c r="N9" s="33">
        <f>C31*'E Balans VL '!Y19/100/3.6*1000000</f>
        <v>1601.0456941999466</v>
      </c>
      <c r="O9" s="33"/>
      <c r="P9" s="33"/>
      <c r="R9" s="32"/>
    </row>
    <row r="10" spans="1:18">
      <c r="A10" s="6" t="s">
        <v>41</v>
      </c>
      <c r="B10" s="37">
        <f t="shared" si="0"/>
        <v>9579.7918210000007</v>
      </c>
      <c r="C10" s="33"/>
      <c r="D10" s="37">
        <f>IF( ISERROR(IND_voed_gas_kWh/1000),0,IND_voed_gas_kWh/1000)*0.902</f>
        <v>8912.3152224920013</v>
      </c>
      <c r="E10" s="33">
        <f>C32*'E Balans VL '!I20/100/3.6*1000000</f>
        <v>20.26619813375693</v>
      </c>
      <c r="F10" s="33">
        <f>C32*'E Balans VL '!L20/100/3.6*1000000+C32*'E Balans VL '!N20/100/3.6*1000000</f>
        <v>609.09294944957071</v>
      </c>
      <c r="G10" s="34"/>
      <c r="H10" s="33"/>
      <c r="I10" s="33"/>
      <c r="J10" s="40">
        <f>C32*'E Balans VL '!D20/100/3.6*1000000+C32*'E Balans VL '!E20/100/3.6*1000000</f>
        <v>0</v>
      </c>
      <c r="K10" s="33"/>
      <c r="L10" s="33"/>
      <c r="M10" s="33"/>
      <c r="N10" s="33">
        <f>C32*'E Balans VL '!Y20/100/3.6*1000000</f>
        <v>661.10017134462987</v>
      </c>
      <c r="O10" s="33"/>
      <c r="P10" s="33"/>
      <c r="R10" s="32"/>
    </row>
    <row r="11" spans="1:18">
      <c r="A11" s="6" t="s">
        <v>40</v>
      </c>
      <c r="B11" s="37">
        <f t="shared" si="0"/>
        <v>158.90700000000001</v>
      </c>
      <c r="C11" s="33"/>
      <c r="D11" s="37">
        <f>IF( ISERROR(IND_textiel_gas_kWh/1000),0,IND_textiel_gas_kWh/1000)*0.902</f>
        <v>278.64223199999998</v>
      </c>
      <c r="E11" s="33">
        <f>C33*'E Balans VL '!I21/100/3.6*1000000</f>
        <v>0.47194008958279648</v>
      </c>
      <c r="F11" s="33">
        <f>C33*'E Balans VL '!L21/100/3.6*1000000+C33*'E Balans VL '!N21/100/3.6*1000000</f>
        <v>16.053969651308613</v>
      </c>
      <c r="G11" s="34"/>
      <c r="H11" s="33"/>
      <c r="I11" s="33"/>
      <c r="J11" s="40">
        <f>C33*'E Balans VL '!D21/100/3.6*1000000+C33*'E Balans VL '!E21/100/3.6*1000000</f>
        <v>0</v>
      </c>
      <c r="K11" s="33"/>
      <c r="L11" s="33"/>
      <c r="M11" s="33"/>
      <c r="N11" s="33">
        <f>C33*'E Balans VL '!Y21/100/3.6*1000000</f>
        <v>8.764228178530006</v>
      </c>
      <c r="O11" s="33"/>
      <c r="P11" s="33"/>
      <c r="R11" s="32"/>
    </row>
    <row r="12" spans="1:18">
      <c r="A12" s="6" t="s">
        <v>37</v>
      </c>
      <c r="B12" s="37">
        <f t="shared" si="0"/>
        <v>2340.4079139999999</v>
      </c>
      <c r="C12" s="33"/>
      <c r="D12" s="37">
        <f>IF( ISERROR(IND_min_gas_kWh/1000),0,IND_min_gas_kWh/1000)*0.902</f>
        <v>57.953499999999998</v>
      </c>
      <c r="E12" s="33">
        <f>C34*'E Balans VL '!I22/100/3.6*1000000</f>
        <v>67.838788413140563</v>
      </c>
      <c r="F12" s="33">
        <f>C34*'E Balans VL '!L22/100/3.6*1000000+C34*'E Balans VL '!N22/100/3.6*1000000</f>
        <v>804.65868803205967</v>
      </c>
      <c r="G12" s="34"/>
      <c r="H12" s="33"/>
      <c r="I12" s="33"/>
      <c r="J12" s="40">
        <f>C34*'E Balans VL '!D22/100/3.6*1000000+C34*'E Balans VL '!E22/100/3.6*1000000</f>
        <v>3.845995474106835</v>
      </c>
      <c r="K12" s="33"/>
      <c r="L12" s="33"/>
      <c r="M12" s="33"/>
      <c r="N12" s="33">
        <f>C34*'E Balans VL '!Y22/100/3.6*1000000</f>
        <v>512.35375297957557</v>
      </c>
      <c r="O12" s="33"/>
      <c r="P12" s="33"/>
      <c r="R12" s="32"/>
    </row>
    <row r="13" spans="1:18">
      <c r="A13" s="6" t="s">
        <v>39</v>
      </c>
      <c r="B13" s="37">
        <f t="shared" si="0"/>
        <v>805.15300000000002</v>
      </c>
      <c r="C13" s="33"/>
      <c r="D13" s="37">
        <f>IF( ISERROR(IND_papier_gas_kWh/1000),0,IND_papier_gas_kWh/1000)*0.902</f>
        <v>0</v>
      </c>
      <c r="E13" s="33">
        <f>C35*'E Balans VL '!I23/100/3.6*1000000</f>
        <v>1.1423279699383524</v>
      </c>
      <c r="F13" s="33">
        <f>C35*'E Balans VL '!L23/100/3.6*1000000+C35*'E Balans VL '!N23/100/3.6*1000000</f>
        <v>19.656812300480823</v>
      </c>
      <c r="G13" s="34"/>
      <c r="H13" s="33"/>
      <c r="I13" s="33"/>
      <c r="J13" s="40">
        <f>C35*'E Balans VL '!D23/100/3.6*1000000+C35*'E Balans VL '!E23/100/3.6*1000000</f>
        <v>0.12452447068700465</v>
      </c>
      <c r="K13" s="33"/>
      <c r="L13" s="33"/>
      <c r="M13" s="33"/>
      <c r="N13" s="33">
        <f>C35*'E Balans VL '!Y23/100/3.6*1000000</f>
        <v>2340.3891781937364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240.19499999999999</v>
      </c>
      <c r="C15" s="33"/>
      <c r="D15" s="37">
        <f>IF( ISERROR(IND_rest_gas_kWh/1000),0,IND_rest_gas_kWh/1000)*0.902</f>
        <v>710.97083199999997</v>
      </c>
      <c r="E15" s="33">
        <f>C37*'E Balans VL '!I15/100/3.6*1000000</f>
        <v>13.262593011848512</v>
      </c>
      <c r="F15" s="33">
        <f>C37*'E Balans VL '!L15/100/3.6*1000000+C37*'E Balans VL '!N15/100/3.6*1000000</f>
        <v>47.57544034087941</v>
      </c>
      <c r="G15" s="34"/>
      <c r="H15" s="33"/>
      <c r="I15" s="33"/>
      <c r="J15" s="40">
        <f>C37*'E Balans VL '!D15/100/3.6*1000000+C37*'E Balans VL '!E15/100/3.6*1000000</f>
        <v>0.85989353254128886</v>
      </c>
      <c r="K15" s="33"/>
      <c r="L15" s="33"/>
      <c r="M15" s="33"/>
      <c r="N15" s="33">
        <f>C37*'E Balans VL '!Y15/100/3.6*1000000</f>
        <v>53.879508743110421</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25750.836231999998</v>
      </c>
      <c r="C18" s="21">
        <f>C5+C16</f>
        <v>0</v>
      </c>
      <c r="D18" s="21">
        <f>MAX((D5+D16),0)</f>
        <v>16177.034255756</v>
      </c>
      <c r="E18" s="21">
        <f>MAX((E5+E16),0)</f>
        <v>1590.9683821310005</v>
      </c>
      <c r="F18" s="21">
        <f>MAX((F5+F16),0)</f>
        <v>6120.3887759167583</v>
      </c>
      <c r="G18" s="21"/>
      <c r="H18" s="21"/>
      <c r="I18" s="21"/>
      <c r="J18" s="21">
        <f>MAX((J5+J16),0)</f>
        <v>4.8304134773351279</v>
      </c>
      <c r="K18" s="21"/>
      <c r="L18" s="21">
        <f>MAX((L5+L16),0)</f>
        <v>0</v>
      </c>
      <c r="M18" s="21"/>
      <c r="N18" s="21">
        <f>MAX((N5+N16),0)</f>
        <v>5288.5389176859308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0.20347606817224448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5239.6789086347344</v>
      </c>
      <c r="C22" s="23">
        <f ca="1">C18*C20</f>
        <v>0</v>
      </c>
      <c r="D22" s="23">
        <f>D18*D20</f>
        <v>3267.7609196627122</v>
      </c>
      <c r="E22" s="23">
        <f>E18*E20</f>
        <v>361.1498227437371</v>
      </c>
      <c r="F22" s="23">
        <f>F18*F20</f>
        <v>1634.1438031697746</v>
      </c>
      <c r="G22" s="23"/>
      <c r="H22" s="23"/>
      <c r="I22" s="23"/>
      <c r="J22" s="23">
        <f>J18*J20</f>
        <v>1.7099663709766353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7780.8289999999997</v>
      </c>
      <c r="C30" s="39">
        <f>IF(ISERROR(B30*3.6/1000000/'E Balans VL '!Z18*100),0,B30*3.6/1000000/'E Balans VL '!Z18*100)</f>
        <v>0.44095953078047095</v>
      </c>
      <c r="D30" s="237" t="s">
        <v>754</v>
      </c>
    </row>
    <row r="31" spans="1:18">
      <c r="A31" s="6" t="s">
        <v>33</v>
      </c>
      <c r="B31" s="37">
        <f>IF( ISERROR(IND_ander_ele_kWh/1000),0,IND_ander_ele_kWh/1000)</f>
        <v>4845.5524970000006</v>
      </c>
      <c r="C31" s="39">
        <f>IF(ISERROR(B31*3.6/1000000/'E Balans VL '!Z19*100),0,B31*3.6/1000000/'E Balans VL '!Z19*100)</f>
        <v>0.21977408473448884</v>
      </c>
      <c r="D31" s="237" t="s">
        <v>754</v>
      </c>
    </row>
    <row r="32" spans="1:18">
      <c r="A32" s="171" t="s">
        <v>41</v>
      </c>
      <c r="B32" s="37">
        <f>IF( ISERROR(IND_voed_ele_kWh/1000),0,IND_voed_ele_kWh/1000)</f>
        <v>9579.7918210000007</v>
      </c>
      <c r="C32" s="39">
        <f>IF(ISERROR(B32*3.6/1000000/'E Balans VL '!Z20*100),0,B32*3.6/1000000/'E Balans VL '!Z20*100)</f>
        <v>0.29634644960641737</v>
      </c>
      <c r="D32" s="237" t="s">
        <v>754</v>
      </c>
    </row>
    <row r="33" spans="1:5">
      <c r="A33" s="171" t="s">
        <v>40</v>
      </c>
      <c r="B33" s="37">
        <f>IF( ISERROR(IND_textiel_ele_kWh/1000),0,IND_textiel_ele_kWh/1000)</f>
        <v>158.90700000000001</v>
      </c>
      <c r="C33" s="39">
        <f>IF(ISERROR(B33*3.6/1000000/'E Balans VL '!Z21*100),0,B33*3.6/1000000/'E Balans VL '!Z21*100)</f>
        <v>2.0719706458752662E-2</v>
      </c>
      <c r="D33" s="237" t="s">
        <v>754</v>
      </c>
    </row>
    <row r="34" spans="1:5">
      <c r="A34" s="171" t="s">
        <v>37</v>
      </c>
      <c r="B34" s="37">
        <f>IF( ISERROR(IND_min_ele_kWh/1000),0,IND_min_ele_kWh/1000)</f>
        <v>2340.4079139999999</v>
      </c>
      <c r="C34" s="39">
        <f>IF(ISERROR(B34*3.6/1000000/'E Balans VL '!Z22*100),0,B34*3.6/1000000/'E Balans VL '!Z22*100)</f>
        <v>0.42096636384264713</v>
      </c>
      <c r="D34" s="237" t="s">
        <v>754</v>
      </c>
    </row>
    <row r="35" spans="1:5">
      <c r="A35" s="171" t="s">
        <v>39</v>
      </c>
      <c r="B35" s="37">
        <f>IF( ISERROR(IND_papier_ele_kWh/1000),0,IND_papier_ele_kWh/1000)</f>
        <v>805.15300000000002</v>
      </c>
      <c r="C35" s="39">
        <f>IF(ISERROR(B35*3.6/1000000/'E Balans VL '!Z22*100),0,B35*3.6/1000000/'E Balans VL '!Z22*100)</f>
        <v>0.14482190421571051</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240.19499999999999</v>
      </c>
      <c r="C37" s="39">
        <f>IF(ISERROR(B37*3.6/1000000/'E Balans VL '!Z15*100),0,B37*3.6/1000000/'E Balans VL '!Z15*100)</f>
        <v>1.9038403625147326E-3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2113.6348269999999</v>
      </c>
      <c r="C5" s="17">
        <f>'Eigen informatie GS &amp; warmtenet'!B60</f>
        <v>0</v>
      </c>
      <c r="D5" s="30">
        <f>IF(ISERROR(SUM(LB_lb_gas_kWh,LB_rest_gas_kWh,onbekend_gas_kWh)/1000),0,SUM(LB_lb_gas_kWh,LB_rest_gas_kWh,onbekend_gas_kWh)/1000)*0.902</f>
        <v>2955.8750166</v>
      </c>
      <c r="E5" s="17">
        <f>B17*'E Balans VL '!I25/3.6*1000000/100</f>
        <v>62.126183351428146</v>
      </c>
      <c r="F5" s="17">
        <f>B17*('E Balans VL '!L25/3.6*1000000+'E Balans VL '!N25/3.6*1000000)/100</f>
        <v>8805.2884744508174</v>
      </c>
      <c r="G5" s="18"/>
      <c r="H5" s="17"/>
      <c r="I5" s="17"/>
      <c r="J5" s="17">
        <f>('E Balans VL '!D25+'E Balans VL '!E25)/3.6*1000000*landbouw!B17/100</f>
        <v>306.22029560480644</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2113.6348269999999</v>
      </c>
      <c r="C8" s="21">
        <f>C5+C6</f>
        <v>0</v>
      </c>
      <c r="D8" s="21">
        <f>MAX((D5+D6),0)</f>
        <v>2955.8750166</v>
      </c>
      <c r="E8" s="21">
        <f>MAX((E5+E6),0)</f>
        <v>62.126183351428146</v>
      </c>
      <c r="F8" s="21">
        <f>MAX((F5+F6),0)</f>
        <v>8805.2884744508174</v>
      </c>
      <c r="G8" s="21"/>
      <c r="H8" s="21"/>
      <c r="I8" s="21"/>
      <c r="J8" s="21">
        <f>MAX((J5+J6),0)</f>
        <v>306.22029560480644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0.20347606817224448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430.07410414988215</v>
      </c>
      <c r="C12" s="23">
        <f ca="1">C8*C10</f>
        <v>0</v>
      </c>
      <c r="D12" s="23">
        <f>D8*D10</f>
        <v>597.08675335320004</v>
      </c>
      <c r="E12" s="23">
        <f>E8*E10</f>
        <v>14.10264362077419</v>
      </c>
      <c r="F12" s="23">
        <f>F8*F10</f>
        <v>2351.0120226783683</v>
      </c>
      <c r="G12" s="23"/>
      <c r="H12" s="23"/>
      <c r="I12" s="23"/>
      <c r="J12" s="23">
        <f>J8*J10</f>
        <v>108.40198464410147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0.29993141327833484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324.18486292393732</v>
      </c>
      <c r="C26" s="247">
        <f>B26*'GWP N2O_CH4'!B5</f>
        <v>6807.8821214026839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163.23579157168106</v>
      </c>
      <c r="C27" s="247">
        <f>B27*'GWP N2O_CH4'!B5</f>
        <v>3427.9516230053023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4.0771332275990906</v>
      </c>
      <c r="C28" s="247">
        <f>B28*'GWP N2O_CH4'!B4</f>
        <v>1263.9113005557181</v>
      </c>
      <c r="D28" s="50"/>
    </row>
    <row r="29" spans="1:4">
      <c r="A29" s="41" t="s">
        <v>277</v>
      </c>
      <c r="B29" s="247">
        <f>B34*'ha_N2O bodem landbouw'!B4</f>
        <v>12.199005534699545</v>
      </c>
      <c r="C29" s="247">
        <f>B29*'GWP N2O_CH4'!B4</f>
        <v>3781.6917157568587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2.7837710233751425E-3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7.7147681078645506E-5</v>
      </c>
      <c r="C5" s="463" t="s">
        <v>211</v>
      </c>
      <c r="D5" s="448">
        <f>SUM(D6:D11)</f>
        <v>2.821106838464439E-4</v>
      </c>
      <c r="E5" s="448">
        <f>SUM(E6:E11)</f>
        <v>3.7370548332859476E-4</v>
      </c>
      <c r="F5" s="461" t="s">
        <v>211</v>
      </c>
      <c r="G5" s="448">
        <f>SUM(G6:G11)</f>
        <v>0.13249244045592806</v>
      </c>
      <c r="H5" s="448">
        <f>SUM(H6:H11)</f>
        <v>3.1720904997172797E-2</v>
      </c>
      <c r="I5" s="463" t="s">
        <v>211</v>
      </c>
      <c r="J5" s="463" t="s">
        <v>211</v>
      </c>
      <c r="K5" s="463" t="s">
        <v>211</v>
      </c>
      <c r="L5" s="463" t="s">
        <v>211</v>
      </c>
      <c r="M5" s="448">
        <f>SUM(M6:M11)</f>
        <v>8.6823858064533389E-3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5.541636450610168E-5</v>
      </c>
      <c r="C6" s="449"/>
      <c r="D6" s="962">
        <f>vkm_2011_GW_PW*SUMIFS(TableVerdeelsleutelVkm[CNG],TableVerdeelsleutelVkm[Voertuigtype],"Lichte voertuigen")*SUMIFS(TableECFTransport[EnergieConsumptieFactor (PJ per km)],TableECFTransport[Index],CONCATENATE($A6,"_CNG_CNG"))</f>
        <v>1.6621728741819279E-4</v>
      </c>
      <c r="E6" s="962">
        <f>vkm_2011_GW_PW*SUMIFS(TableVerdeelsleutelVkm[LPG],TableVerdeelsleutelVkm[Voertuigtype],"Lichte voertuigen")*SUMIFS(TableECFTransport[EnergieConsumptieFactor (PJ per km)],TableECFTransport[Index],CONCATENATE($A6,"_LPG_LPG"))</f>
        <v>2.2707669054992897E-4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5.8711622818927452E-2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1.8901997201728173E-2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3.9912073955633235E-3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3.067026871549278E-2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9.3460397141771729E-6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1.7922686630874641E-3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2.1731316572543833E-5</v>
      </c>
      <c r="C8" s="449"/>
      <c r="D8" s="451">
        <f>vkm_2011_NGW_PW*SUMIFS(TableVerdeelsleutelVkm[CNG],TableVerdeelsleutelVkm[Voertuigtype],"Lichte voertuigen")*SUMIFS(TableECFTransport[EnergieConsumptieFactor (PJ per km)],TableECFTransport[Index],CONCATENATE($A8,"_CNG_CNG"))</f>
        <v>1.1589339642825109E-4</v>
      </c>
      <c r="E8" s="451">
        <f>vkm_2011_NGW_PW*SUMIFS(TableVerdeelsleutelVkm[LPG],TableVerdeelsleutelVkm[Voertuigtype],"Lichte voertuigen")*SUMIFS(TableECFTransport[EnergieConsumptieFactor (PJ per km)],TableECFTransport[Index],CONCATENATE($A8,"_LPG_LPG"))</f>
        <v>1.4662879277866579E-4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3.532949195432649E-2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1.2807329576371778E-2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2.4442147372473796E-3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7.7810569671813556E-3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2.2321793586722658E-6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4.5469501055517281E-4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21.42991141073486</v>
      </c>
      <c r="C14" s="21"/>
      <c r="D14" s="21">
        <f t="shared" ref="D14:M14" si="0">((D5)*10^9/3600)+D12</f>
        <v>78.36407884623442</v>
      </c>
      <c r="E14" s="21">
        <f t="shared" si="0"/>
        <v>103.80707870238743</v>
      </c>
      <c r="F14" s="21"/>
      <c r="G14" s="21">
        <f t="shared" si="0"/>
        <v>36803.455682202235</v>
      </c>
      <c r="H14" s="21">
        <f t="shared" si="0"/>
        <v>8811.3624992146651</v>
      </c>
      <c r="I14" s="21"/>
      <c r="J14" s="21"/>
      <c r="K14" s="21"/>
      <c r="L14" s="21"/>
      <c r="M14" s="21">
        <f t="shared" si="0"/>
        <v>2411.7738351259277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0.20347606817224448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4.3604741151358466</v>
      </c>
      <c r="C18" s="23"/>
      <c r="D18" s="23">
        <f t="shared" ref="D18:M18" si="1">D14*D16</f>
        <v>15.829543926939355</v>
      </c>
      <c r="E18" s="23">
        <f t="shared" si="1"/>
        <v>23.564206865441946</v>
      </c>
      <c r="F18" s="23"/>
      <c r="G18" s="23">
        <f t="shared" si="1"/>
        <v>9826.5226671479977</v>
      </c>
      <c r="H18" s="23">
        <f t="shared" si="1"/>
        <v>2194.0292623044515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2.9951801676260962E-3</v>
      </c>
      <c r="H50" s="321">
        <f t="shared" si="2"/>
        <v>0</v>
      </c>
      <c r="I50" s="321">
        <f t="shared" si="2"/>
        <v>0</v>
      </c>
      <c r="J50" s="321">
        <f t="shared" si="2"/>
        <v>0</v>
      </c>
      <c r="K50" s="321">
        <f t="shared" si="2"/>
        <v>0</v>
      </c>
      <c r="L50" s="321">
        <f t="shared" si="2"/>
        <v>0</v>
      </c>
      <c r="M50" s="321">
        <f t="shared" si="2"/>
        <v>1.7011301106952675E-4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2.9951801676260962E-3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1.7011301106952675E-4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831.99449100724905</v>
      </c>
      <c r="H54" s="21">
        <f t="shared" si="3"/>
        <v>0</v>
      </c>
      <c r="I54" s="21">
        <f t="shared" si="3"/>
        <v>0</v>
      </c>
      <c r="J54" s="21">
        <f t="shared" si="3"/>
        <v>0</v>
      </c>
      <c r="K54" s="21">
        <f t="shared" si="3"/>
        <v>0</v>
      </c>
      <c r="L54" s="21">
        <f t="shared" si="3"/>
        <v>0</v>
      </c>
      <c r="M54" s="21">
        <f t="shared" si="3"/>
        <v>47.25361418597965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0.20347606817224448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222.14252909893551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5598.9704014337294</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5598.9704014337294</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15888.183383999998</v>
      </c>
      <c r="D10" s="718">
        <f ca="1">tertiair!C16</f>
        <v>0</v>
      </c>
      <c r="E10" s="718">
        <f ca="1">tertiair!D16</f>
        <v>17082.656482099999</v>
      </c>
      <c r="F10" s="718">
        <f>tertiair!E16</f>
        <v>206.98436605502224</v>
      </c>
      <c r="G10" s="718">
        <f ca="1">tertiair!F16</f>
        <v>2737.3092496418749</v>
      </c>
      <c r="H10" s="718">
        <f>tertiair!G16</f>
        <v>0</v>
      </c>
      <c r="I10" s="718">
        <f>tertiair!H16</f>
        <v>0</v>
      </c>
      <c r="J10" s="718">
        <f>tertiair!I16</f>
        <v>0</v>
      </c>
      <c r="K10" s="718">
        <f>tertiair!J16</f>
        <v>5.4584515397916859E-2</v>
      </c>
      <c r="L10" s="718">
        <f>tertiair!K16</f>
        <v>0</v>
      </c>
      <c r="M10" s="718">
        <f ca="1">tertiair!L16</f>
        <v>0</v>
      </c>
      <c r="N10" s="718">
        <f>tertiair!M16</f>
        <v>0</v>
      </c>
      <c r="O10" s="718">
        <f ca="1">tertiair!N16</f>
        <v>2160.0983295177216</v>
      </c>
      <c r="P10" s="718">
        <f>tertiair!O16</f>
        <v>0</v>
      </c>
      <c r="Q10" s="719">
        <f>tertiair!P16</f>
        <v>19.066666666666666</v>
      </c>
      <c r="R10" s="721">
        <f ca="1">SUM(C10:Q10)</f>
        <v>38094.353062496681</v>
      </c>
      <c r="S10" s="67"/>
    </row>
    <row r="11" spans="1:19" s="474" customFormat="1">
      <c r="A11" s="870" t="s">
        <v>225</v>
      </c>
      <c r="B11" s="875"/>
      <c r="C11" s="718">
        <f>huishoudens!B8</f>
        <v>26836.351184777228</v>
      </c>
      <c r="D11" s="718">
        <f>huishoudens!C8</f>
        <v>0</v>
      </c>
      <c r="E11" s="718">
        <f>huishoudens!D8</f>
        <v>63845.144047300004</v>
      </c>
      <c r="F11" s="718">
        <f>huishoudens!E8</f>
        <v>2847.2104837445131</v>
      </c>
      <c r="G11" s="718">
        <f>huishoudens!F8</f>
        <v>17702.410405453418</v>
      </c>
      <c r="H11" s="718">
        <f>huishoudens!G8</f>
        <v>0</v>
      </c>
      <c r="I11" s="718">
        <f>huishoudens!H8</f>
        <v>0</v>
      </c>
      <c r="J11" s="718">
        <f>huishoudens!I8</f>
        <v>0</v>
      </c>
      <c r="K11" s="718">
        <f>huishoudens!J8</f>
        <v>0</v>
      </c>
      <c r="L11" s="718">
        <f>huishoudens!K8</f>
        <v>0</v>
      </c>
      <c r="M11" s="718">
        <f>huishoudens!L8</f>
        <v>0</v>
      </c>
      <c r="N11" s="718">
        <f>huishoudens!M8</f>
        <v>0</v>
      </c>
      <c r="O11" s="718">
        <f>huishoudens!N8</f>
        <v>13168.545464307032</v>
      </c>
      <c r="P11" s="718">
        <f>huishoudens!O8</f>
        <v>176.65666666666667</v>
      </c>
      <c r="Q11" s="719">
        <f>huishoudens!P8</f>
        <v>629.20000000000005</v>
      </c>
      <c r="R11" s="721">
        <f>SUM(C11:Q11)</f>
        <v>125205.51825224883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25750.836231999998</v>
      </c>
      <c r="D13" s="718">
        <f>industrie!C18</f>
        <v>0</v>
      </c>
      <c r="E13" s="718">
        <f>industrie!D18</f>
        <v>16177.034255756</v>
      </c>
      <c r="F13" s="718">
        <f>industrie!E18</f>
        <v>1590.9683821310005</v>
      </c>
      <c r="G13" s="718">
        <f>industrie!F18</f>
        <v>6120.3887759167583</v>
      </c>
      <c r="H13" s="718">
        <f>industrie!G18</f>
        <v>0</v>
      </c>
      <c r="I13" s="718">
        <f>industrie!H18</f>
        <v>0</v>
      </c>
      <c r="J13" s="718">
        <f>industrie!I18</f>
        <v>0</v>
      </c>
      <c r="K13" s="718">
        <f>industrie!J18</f>
        <v>4.8304134773351279</v>
      </c>
      <c r="L13" s="718">
        <f>industrie!K18</f>
        <v>0</v>
      </c>
      <c r="M13" s="718">
        <f>industrie!L18</f>
        <v>0</v>
      </c>
      <c r="N13" s="718">
        <f>industrie!M18</f>
        <v>0</v>
      </c>
      <c r="O13" s="718">
        <f>industrie!N18</f>
        <v>5288.5389176859308</v>
      </c>
      <c r="P13" s="718">
        <f>industrie!O18</f>
        <v>0</v>
      </c>
      <c r="Q13" s="719">
        <f>industrie!P18</f>
        <v>0</v>
      </c>
      <c r="R13" s="721">
        <f>SUM(C13:Q13)</f>
        <v>54932.596976967019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68475.370800777222</v>
      </c>
      <c r="D15" s="723">
        <f t="shared" ref="D15:Q15" ca="1" si="0">SUM(D9:D14)</f>
        <v>0</v>
      </c>
      <c r="E15" s="723">
        <f t="shared" ca="1" si="0"/>
        <v>97104.83478515601</v>
      </c>
      <c r="F15" s="723">
        <f t="shared" si="0"/>
        <v>4645.1632319305354</v>
      </c>
      <c r="G15" s="723">
        <f t="shared" ca="1" si="0"/>
        <v>26560.108431012053</v>
      </c>
      <c r="H15" s="723">
        <f t="shared" si="0"/>
        <v>0</v>
      </c>
      <c r="I15" s="723">
        <f t="shared" si="0"/>
        <v>0</v>
      </c>
      <c r="J15" s="723">
        <f t="shared" si="0"/>
        <v>0</v>
      </c>
      <c r="K15" s="723">
        <f t="shared" si="0"/>
        <v>4.8849979927330445</v>
      </c>
      <c r="L15" s="723">
        <f t="shared" si="0"/>
        <v>0</v>
      </c>
      <c r="M15" s="723">
        <f t="shared" ca="1" si="0"/>
        <v>0</v>
      </c>
      <c r="N15" s="723">
        <f t="shared" si="0"/>
        <v>0</v>
      </c>
      <c r="O15" s="723">
        <f t="shared" ca="1" si="0"/>
        <v>20617.182711510683</v>
      </c>
      <c r="P15" s="723">
        <f t="shared" si="0"/>
        <v>176.65666666666667</v>
      </c>
      <c r="Q15" s="724">
        <f t="shared" si="0"/>
        <v>648.26666666666677</v>
      </c>
      <c r="R15" s="725">
        <f ca="1">SUM(R9:R14)</f>
        <v>218232.46829171252</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831.99449100724905</v>
      </c>
      <c r="I18" s="718">
        <f>transport!H54</f>
        <v>0</v>
      </c>
      <c r="J18" s="718">
        <f>transport!I54</f>
        <v>0</v>
      </c>
      <c r="K18" s="718">
        <f>transport!J54</f>
        <v>0</v>
      </c>
      <c r="L18" s="718">
        <f>transport!K54</f>
        <v>0</v>
      </c>
      <c r="M18" s="718">
        <f>transport!L54</f>
        <v>0</v>
      </c>
      <c r="N18" s="718">
        <f>transport!M54</f>
        <v>47.25361418597965</v>
      </c>
      <c r="O18" s="718">
        <f>transport!N54</f>
        <v>0</v>
      </c>
      <c r="P18" s="718">
        <f>transport!O54</f>
        <v>0</v>
      </c>
      <c r="Q18" s="719">
        <f>transport!P54</f>
        <v>0</v>
      </c>
      <c r="R18" s="721">
        <f>SUM(C18:Q18)</f>
        <v>879.24810519322875</v>
      </c>
      <c r="S18" s="67"/>
    </row>
    <row r="19" spans="1:19" s="474" customFormat="1" ht="15" thickBot="1">
      <c r="A19" s="870" t="s">
        <v>307</v>
      </c>
      <c r="B19" s="875"/>
      <c r="C19" s="727">
        <f>transport!B14</f>
        <v>21.42991141073486</v>
      </c>
      <c r="D19" s="727">
        <f>transport!C14</f>
        <v>0</v>
      </c>
      <c r="E19" s="727">
        <f>transport!D14</f>
        <v>78.36407884623442</v>
      </c>
      <c r="F19" s="727">
        <f>transport!E14</f>
        <v>103.80707870238743</v>
      </c>
      <c r="G19" s="727">
        <f>transport!F14</f>
        <v>0</v>
      </c>
      <c r="H19" s="727">
        <f>transport!G14</f>
        <v>36803.455682202235</v>
      </c>
      <c r="I19" s="727">
        <f>transport!H14</f>
        <v>8811.3624992146651</v>
      </c>
      <c r="J19" s="727">
        <f>transport!I14</f>
        <v>0</v>
      </c>
      <c r="K19" s="727">
        <f>transport!J14</f>
        <v>0</v>
      </c>
      <c r="L19" s="727">
        <f>transport!K14</f>
        <v>0</v>
      </c>
      <c r="M19" s="727">
        <f>transport!L14</f>
        <v>0</v>
      </c>
      <c r="N19" s="727">
        <f>transport!M14</f>
        <v>2411.7738351259277</v>
      </c>
      <c r="O19" s="727">
        <f>transport!N14</f>
        <v>0</v>
      </c>
      <c r="P19" s="727">
        <f>transport!O14</f>
        <v>0</v>
      </c>
      <c r="Q19" s="728">
        <f>transport!P14</f>
        <v>0</v>
      </c>
      <c r="R19" s="729">
        <f>SUM(C19:Q19)</f>
        <v>48230.193085502178</v>
      </c>
      <c r="S19" s="67"/>
    </row>
    <row r="20" spans="1:19" s="474" customFormat="1" ht="15.75" thickBot="1">
      <c r="A20" s="730" t="s">
        <v>230</v>
      </c>
      <c r="B20" s="878"/>
      <c r="C20" s="873">
        <f>SUM(C17:C19)</f>
        <v>21.42991141073486</v>
      </c>
      <c r="D20" s="731">
        <f t="shared" ref="D20:R20" si="1">SUM(D17:D19)</f>
        <v>0</v>
      </c>
      <c r="E20" s="731">
        <f t="shared" si="1"/>
        <v>78.36407884623442</v>
      </c>
      <c r="F20" s="731">
        <f t="shared" si="1"/>
        <v>103.80707870238743</v>
      </c>
      <c r="G20" s="731">
        <f t="shared" si="1"/>
        <v>0</v>
      </c>
      <c r="H20" s="731">
        <f t="shared" si="1"/>
        <v>37635.450173209487</v>
      </c>
      <c r="I20" s="731">
        <f t="shared" si="1"/>
        <v>8811.3624992146651</v>
      </c>
      <c r="J20" s="731">
        <f t="shared" si="1"/>
        <v>0</v>
      </c>
      <c r="K20" s="731">
        <f t="shared" si="1"/>
        <v>0</v>
      </c>
      <c r="L20" s="731">
        <f t="shared" si="1"/>
        <v>0</v>
      </c>
      <c r="M20" s="731">
        <f t="shared" si="1"/>
        <v>0</v>
      </c>
      <c r="N20" s="731">
        <f t="shared" si="1"/>
        <v>2459.0274493119073</v>
      </c>
      <c r="O20" s="731">
        <f t="shared" si="1"/>
        <v>0</v>
      </c>
      <c r="P20" s="731">
        <f t="shared" si="1"/>
        <v>0</v>
      </c>
      <c r="Q20" s="732">
        <f t="shared" si="1"/>
        <v>0</v>
      </c>
      <c r="R20" s="733">
        <f t="shared" si="1"/>
        <v>49109.441190695405</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2113.6348269999999</v>
      </c>
      <c r="D22" s="727">
        <f>+landbouw!C8</f>
        <v>0</v>
      </c>
      <c r="E22" s="727">
        <f>+landbouw!D8</f>
        <v>2955.8750166</v>
      </c>
      <c r="F22" s="727">
        <f>+landbouw!E8</f>
        <v>62.126183351428146</v>
      </c>
      <c r="G22" s="727">
        <f>+landbouw!F8</f>
        <v>8805.2884744508174</v>
      </c>
      <c r="H22" s="727">
        <f>+landbouw!G8</f>
        <v>0</v>
      </c>
      <c r="I22" s="727">
        <f>+landbouw!H8</f>
        <v>0</v>
      </c>
      <c r="J22" s="727">
        <f>+landbouw!I8</f>
        <v>0</v>
      </c>
      <c r="K22" s="727">
        <f>+landbouw!J8</f>
        <v>306.22029560480644</v>
      </c>
      <c r="L22" s="727">
        <f>+landbouw!K8</f>
        <v>0</v>
      </c>
      <c r="M22" s="727">
        <f>+landbouw!L8</f>
        <v>0</v>
      </c>
      <c r="N22" s="727">
        <f>+landbouw!M8</f>
        <v>0</v>
      </c>
      <c r="O22" s="727">
        <f>+landbouw!N8</f>
        <v>0</v>
      </c>
      <c r="P22" s="727">
        <f>+landbouw!O8</f>
        <v>0</v>
      </c>
      <c r="Q22" s="728">
        <f>+landbouw!P8</f>
        <v>0</v>
      </c>
      <c r="R22" s="729">
        <f>SUM(C22:Q22)</f>
        <v>14243.144797007051</v>
      </c>
      <c r="S22" s="67"/>
    </row>
    <row r="23" spans="1:19" s="474" customFormat="1" ht="17.25" thickTop="1" thickBot="1">
      <c r="A23" s="734" t="s">
        <v>116</v>
      </c>
      <c r="B23" s="864"/>
      <c r="C23" s="735">
        <f ca="1">C20+C15+C22</f>
        <v>70610.435539187965</v>
      </c>
      <c r="D23" s="735">
        <f t="shared" ref="D23:Q23" ca="1" si="2">D20+D15+D22</f>
        <v>0</v>
      </c>
      <c r="E23" s="735">
        <f t="shared" ca="1" si="2"/>
        <v>100139.07388060224</v>
      </c>
      <c r="F23" s="735">
        <f t="shared" si="2"/>
        <v>4811.0964939843507</v>
      </c>
      <c r="G23" s="735">
        <f t="shared" ca="1" si="2"/>
        <v>35365.396905462869</v>
      </c>
      <c r="H23" s="735">
        <f t="shared" si="2"/>
        <v>37635.450173209487</v>
      </c>
      <c r="I23" s="735">
        <f t="shared" si="2"/>
        <v>8811.3624992146651</v>
      </c>
      <c r="J23" s="735">
        <f t="shared" si="2"/>
        <v>0</v>
      </c>
      <c r="K23" s="735">
        <f t="shared" si="2"/>
        <v>311.10529359753946</v>
      </c>
      <c r="L23" s="735">
        <f t="shared" si="2"/>
        <v>0</v>
      </c>
      <c r="M23" s="735">
        <f t="shared" ca="1" si="2"/>
        <v>0</v>
      </c>
      <c r="N23" s="735">
        <f t="shared" si="2"/>
        <v>2459.0274493119073</v>
      </c>
      <c r="O23" s="735">
        <f t="shared" ca="1" si="2"/>
        <v>20617.182711510683</v>
      </c>
      <c r="P23" s="735">
        <f t="shared" si="2"/>
        <v>176.65666666666667</v>
      </c>
      <c r="Q23" s="736">
        <f t="shared" si="2"/>
        <v>648.26666666666677</v>
      </c>
      <c r="R23" s="737">
        <f ca="1">R20+R15+R22</f>
        <v>281585.05427941494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3232.8650853759059</v>
      </c>
      <c r="D36" s="718">
        <f ca="1">tertiair!C20</f>
        <v>0</v>
      </c>
      <c r="E36" s="718">
        <f ca="1">tertiair!D20</f>
        <v>3450.6966093842002</v>
      </c>
      <c r="F36" s="718">
        <f>tertiair!E20</f>
        <v>46.985451094490045</v>
      </c>
      <c r="G36" s="718">
        <f ca="1">tertiair!F20</f>
        <v>730.86156965438067</v>
      </c>
      <c r="H36" s="718">
        <f>tertiair!G20</f>
        <v>0</v>
      </c>
      <c r="I36" s="718">
        <f>tertiair!H20</f>
        <v>0</v>
      </c>
      <c r="J36" s="718">
        <f>tertiair!I20</f>
        <v>0</v>
      </c>
      <c r="K36" s="718">
        <f>tertiair!J20</f>
        <v>1.9322918450862567E-2</v>
      </c>
      <c r="L36" s="718">
        <f>tertiair!K20</f>
        <v>0</v>
      </c>
      <c r="M36" s="718">
        <f ca="1">tertiair!L20</f>
        <v>0</v>
      </c>
      <c r="N36" s="718">
        <f>tertiair!M20</f>
        <v>0</v>
      </c>
      <c r="O36" s="718">
        <f ca="1">tertiair!N20</f>
        <v>0</v>
      </c>
      <c r="P36" s="718">
        <f>tertiair!O20</f>
        <v>0</v>
      </c>
      <c r="Q36" s="828">
        <f>tertiair!P20</f>
        <v>0</v>
      </c>
      <c r="R36" s="917">
        <f ca="1">SUM(C36:Q36)</f>
        <v>7461.4280384274271</v>
      </c>
    </row>
    <row r="37" spans="1:18">
      <c r="A37" s="885" t="s">
        <v>225</v>
      </c>
      <c r="B37" s="892"/>
      <c r="C37" s="718">
        <f ca="1">huishoudens!B12</f>
        <v>5460.5552231680249</v>
      </c>
      <c r="D37" s="718">
        <f ca="1">huishoudens!C12</f>
        <v>0</v>
      </c>
      <c r="E37" s="718">
        <f>huishoudens!D12</f>
        <v>12896.719097554602</v>
      </c>
      <c r="F37" s="718">
        <f>huishoudens!E12</f>
        <v>646.3167798100045</v>
      </c>
      <c r="G37" s="718">
        <f>huishoudens!F12</f>
        <v>4726.5435782560626</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23730.134678788694</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5239.6789086347344</v>
      </c>
      <c r="D39" s="718">
        <f ca="1">industrie!C22</f>
        <v>0</v>
      </c>
      <c r="E39" s="718">
        <f>industrie!D22</f>
        <v>3267.7609196627122</v>
      </c>
      <c r="F39" s="718">
        <f>industrie!E22</f>
        <v>361.1498227437371</v>
      </c>
      <c r="G39" s="718">
        <f>industrie!F22</f>
        <v>1634.1438031697746</v>
      </c>
      <c r="H39" s="718">
        <f>industrie!G22</f>
        <v>0</v>
      </c>
      <c r="I39" s="718">
        <f>industrie!H22</f>
        <v>0</v>
      </c>
      <c r="J39" s="718">
        <f>industrie!I22</f>
        <v>0</v>
      </c>
      <c r="K39" s="718">
        <f>industrie!J22</f>
        <v>1.7099663709766353</v>
      </c>
      <c r="L39" s="718">
        <f>industrie!K22</f>
        <v>0</v>
      </c>
      <c r="M39" s="718">
        <f>industrie!L22</f>
        <v>0</v>
      </c>
      <c r="N39" s="718">
        <f>industrie!M22</f>
        <v>0</v>
      </c>
      <c r="O39" s="718">
        <f>industrie!N22</f>
        <v>0</v>
      </c>
      <c r="P39" s="718">
        <f>industrie!O22</f>
        <v>0</v>
      </c>
      <c r="Q39" s="828">
        <f>industrie!P22</f>
        <v>0</v>
      </c>
      <c r="R39" s="918">
        <f ca="1">SUM(C39:Q39)</f>
        <v>10504.443420581934</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13933.099217178666</v>
      </c>
      <c r="D41" s="763">
        <f t="shared" ref="D41:R41" ca="1" si="4">SUM(D35:D40)</f>
        <v>0</v>
      </c>
      <c r="E41" s="763">
        <f t="shared" ca="1" si="4"/>
        <v>19615.176626601515</v>
      </c>
      <c r="F41" s="763">
        <f t="shared" si="4"/>
        <v>1054.4520536482316</v>
      </c>
      <c r="G41" s="763">
        <f t="shared" ca="1" si="4"/>
        <v>7091.5489510802181</v>
      </c>
      <c r="H41" s="763">
        <f t="shared" si="4"/>
        <v>0</v>
      </c>
      <c r="I41" s="763">
        <f t="shared" si="4"/>
        <v>0</v>
      </c>
      <c r="J41" s="763">
        <f t="shared" si="4"/>
        <v>0</v>
      </c>
      <c r="K41" s="763">
        <f t="shared" si="4"/>
        <v>1.7292892894274978</v>
      </c>
      <c r="L41" s="763">
        <f t="shared" si="4"/>
        <v>0</v>
      </c>
      <c r="M41" s="763">
        <f t="shared" ca="1" si="4"/>
        <v>0</v>
      </c>
      <c r="N41" s="763">
        <f t="shared" si="4"/>
        <v>0</v>
      </c>
      <c r="O41" s="763">
        <f t="shared" ca="1" si="4"/>
        <v>0</v>
      </c>
      <c r="P41" s="763">
        <f t="shared" si="4"/>
        <v>0</v>
      </c>
      <c r="Q41" s="764">
        <f t="shared" si="4"/>
        <v>0</v>
      </c>
      <c r="R41" s="765">
        <f t="shared" ca="1" si="4"/>
        <v>41696.00613779806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222.14252909893551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222.14252909893551</v>
      </c>
    </row>
    <row r="45" spans="1:18" ht="15" thickBot="1">
      <c r="A45" s="888" t="s">
        <v>307</v>
      </c>
      <c r="B45" s="898"/>
      <c r="C45" s="727">
        <f ca="1">transport!B18</f>
        <v>4.3604741151358466</v>
      </c>
      <c r="D45" s="727">
        <f>transport!C18</f>
        <v>0</v>
      </c>
      <c r="E45" s="727">
        <f>transport!D18</f>
        <v>15.829543926939355</v>
      </c>
      <c r="F45" s="727">
        <f>transport!E18</f>
        <v>23.564206865441946</v>
      </c>
      <c r="G45" s="727">
        <f>transport!F18</f>
        <v>0</v>
      </c>
      <c r="H45" s="727">
        <f>transport!G18</f>
        <v>9826.5226671479977</v>
      </c>
      <c r="I45" s="727">
        <f>transport!H18</f>
        <v>2194.0292623044515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12064.306154359967</v>
      </c>
    </row>
    <row r="46" spans="1:18" ht="15.75" thickBot="1">
      <c r="A46" s="886" t="s">
        <v>230</v>
      </c>
      <c r="B46" s="899"/>
      <c r="C46" s="763">
        <f t="shared" ref="C46:R46" ca="1" si="5">SUM(C43:C45)</f>
        <v>4.3604741151358466</v>
      </c>
      <c r="D46" s="763">
        <f t="shared" ca="1" si="5"/>
        <v>0</v>
      </c>
      <c r="E46" s="763">
        <f t="shared" si="5"/>
        <v>15.829543926939355</v>
      </c>
      <c r="F46" s="763">
        <f t="shared" si="5"/>
        <v>23.564206865441946</v>
      </c>
      <c r="G46" s="763">
        <f t="shared" si="5"/>
        <v>0</v>
      </c>
      <c r="H46" s="763">
        <f t="shared" si="5"/>
        <v>10048.665196246933</v>
      </c>
      <c r="I46" s="763">
        <f t="shared" si="5"/>
        <v>2194.0292623044515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12286.448683458902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430.07410414988215</v>
      </c>
      <c r="D48" s="718">
        <f ca="1">+landbouw!C12</f>
        <v>0</v>
      </c>
      <c r="E48" s="718">
        <f>+landbouw!D12</f>
        <v>597.08675335320004</v>
      </c>
      <c r="F48" s="718">
        <f>+landbouw!E12</f>
        <v>14.10264362077419</v>
      </c>
      <c r="G48" s="718">
        <f>+landbouw!F12</f>
        <v>2351.0120226783683</v>
      </c>
      <c r="H48" s="718">
        <f>+landbouw!G12</f>
        <v>0</v>
      </c>
      <c r="I48" s="718">
        <f>+landbouw!H12</f>
        <v>0</v>
      </c>
      <c r="J48" s="718">
        <f>+landbouw!I12</f>
        <v>0</v>
      </c>
      <c r="K48" s="718">
        <f>+landbouw!J12</f>
        <v>108.40198464410147</v>
      </c>
      <c r="L48" s="718">
        <f>+landbouw!K12</f>
        <v>0</v>
      </c>
      <c r="M48" s="718">
        <f>+landbouw!L12</f>
        <v>0</v>
      </c>
      <c r="N48" s="718">
        <f>+landbouw!M12</f>
        <v>0</v>
      </c>
      <c r="O48" s="718">
        <f>+landbouw!N12</f>
        <v>0</v>
      </c>
      <c r="P48" s="718">
        <f>+landbouw!O12</f>
        <v>0</v>
      </c>
      <c r="Q48" s="719">
        <f>+landbouw!P12</f>
        <v>0</v>
      </c>
      <c r="R48" s="761">
        <f ca="1">SUM(C48:Q48)</f>
        <v>3500.6775084463261</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14367.533795443684</v>
      </c>
      <c r="D53" s="773">
        <f t="shared" ref="D53:Q53" ca="1" si="6">D41+D46+D48</f>
        <v>0</v>
      </c>
      <c r="E53" s="773">
        <f t="shared" ca="1" si="6"/>
        <v>20228.092923881653</v>
      </c>
      <c r="F53" s="773">
        <f t="shared" si="6"/>
        <v>1092.1189041344478</v>
      </c>
      <c r="G53" s="773">
        <f t="shared" ca="1" si="6"/>
        <v>9442.5609737585874</v>
      </c>
      <c r="H53" s="773">
        <f t="shared" si="6"/>
        <v>10048.665196246933</v>
      </c>
      <c r="I53" s="773">
        <f t="shared" si="6"/>
        <v>2194.0292623044515</v>
      </c>
      <c r="J53" s="773">
        <f t="shared" si="6"/>
        <v>0</v>
      </c>
      <c r="K53" s="773">
        <f t="shared" si="6"/>
        <v>110.13127393352897</v>
      </c>
      <c r="L53" s="773">
        <f t="shared" si="6"/>
        <v>0</v>
      </c>
      <c r="M53" s="773">
        <f t="shared" ca="1" si="6"/>
        <v>0</v>
      </c>
      <c r="N53" s="773">
        <f t="shared" si="6"/>
        <v>0</v>
      </c>
      <c r="O53" s="773">
        <f t="shared" ca="1" si="6"/>
        <v>0</v>
      </c>
      <c r="P53" s="773">
        <f>P41+P46+P48</f>
        <v>0</v>
      </c>
      <c r="Q53" s="774">
        <f t="shared" si="6"/>
        <v>0</v>
      </c>
      <c r="R53" s="775">
        <f ca="1">R41+R46+R48</f>
        <v>57483.132329703294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0.20347606817224445</v>
      </c>
      <c r="D55" s="836">
        <f t="shared" ca="1" si="7"/>
        <v>0</v>
      </c>
      <c r="E55" s="836">
        <f t="shared" ca="1" si="7"/>
        <v>0.20200000000000001</v>
      </c>
      <c r="F55" s="836">
        <f t="shared" si="7"/>
        <v>0.22700000000000004</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5598.9704014337294</v>
      </c>
      <c r="C66" s="795">
        <f>'lokale energieproductie'!B6</f>
        <v>5598.9704014337294</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5598.9704014337294</v>
      </c>
      <c r="C69" s="803">
        <f>SUM(C64:C68)</f>
        <v>5598.9704014337294</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26836.351184777228</v>
      </c>
      <c r="C4" s="478">
        <f>huishoudens!C8</f>
        <v>0</v>
      </c>
      <c r="D4" s="478">
        <f>huishoudens!D8</f>
        <v>63845.144047300004</v>
      </c>
      <c r="E4" s="478">
        <f>huishoudens!E8</f>
        <v>2847.2104837445131</v>
      </c>
      <c r="F4" s="478">
        <f>huishoudens!F8</f>
        <v>17702.410405453418</v>
      </c>
      <c r="G4" s="478">
        <f>huishoudens!G8</f>
        <v>0</v>
      </c>
      <c r="H4" s="478">
        <f>huishoudens!H8</f>
        <v>0</v>
      </c>
      <c r="I4" s="478">
        <f>huishoudens!I8</f>
        <v>0</v>
      </c>
      <c r="J4" s="478">
        <f>huishoudens!J8</f>
        <v>0</v>
      </c>
      <c r="K4" s="478">
        <f>huishoudens!K8</f>
        <v>0</v>
      </c>
      <c r="L4" s="478">
        <f>huishoudens!L8</f>
        <v>0</v>
      </c>
      <c r="M4" s="478">
        <f>huishoudens!M8</f>
        <v>0</v>
      </c>
      <c r="N4" s="478">
        <f>huishoudens!N8</f>
        <v>13168.545464307032</v>
      </c>
      <c r="O4" s="478">
        <f>huishoudens!O8</f>
        <v>176.65666666666667</v>
      </c>
      <c r="P4" s="479">
        <f>huishoudens!P8</f>
        <v>629.20000000000005</v>
      </c>
      <c r="Q4" s="480">
        <f>SUM(B4:P4)</f>
        <v>125205.51825224883</v>
      </c>
    </row>
    <row r="5" spans="1:17">
      <c r="A5" s="477" t="s">
        <v>156</v>
      </c>
      <c r="B5" s="478">
        <f ca="1">tertiair!B16</f>
        <v>15123.088383999999</v>
      </c>
      <c r="C5" s="478">
        <f ca="1">tertiair!C16</f>
        <v>0</v>
      </c>
      <c r="D5" s="478">
        <f ca="1">tertiair!D16</f>
        <v>17082.656482099999</v>
      </c>
      <c r="E5" s="478">
        <f>tertiair!E16</f>
        <v>206.98436605502224</v>
      </c>
      <c r="F5" s="478">
        <f ca="1">tertiair!F16</f>
        <v>2737.3092496418749</v>
      </c>
      <c r="G5" s="478">
        <f>tertiair!G16</f>
        <v>0</v>
      </c>
      <c r="H5" s="478">
        <f>tertiair!H16</f>
        <v>0</v>
      </c>
      <c r="I5" s="478">
        <f>tertiair!I16</f>
        <v>0</v>
      </c>
      <c r="J5" s="478">
        <f>tertiair!J16</f>
        <v>5.4584515397916859E-2</v>
      </c>
      <c r="K5" s="478">
        <f>tertiair!K16</f>
        <v>0</v>
      </c>
      <c r="L5" s="478">
        <f ca="1">tertiair!L16</f>
        <v>0</v>
      </c>
      <c r="M5" s="478">
        <f>tertiair!M16</f>
        <v>0</v>
      </c>
      <c r="N5" s="478">
        <f ca="1">tertiair!N16</f>
        <v>2160.0983295177216</v>
      </c>
      <c r="O5" s="478">
        <f>tertiair!O16</f>
        <v>0</v>
      </c>
      <c r="P5" s="479">
        <f>tertiair!P16</f>
        <v>19.066666666666666</v>
      </c>
      <c r="Q5" s="477">
        <f t="shared" ref="Q5:Q13" ca="1" si="0">SUM(B5:P5)</f>
        <v>37329.258062496679</v>
      </c>
    </row>
    <row r="6" spans="1:17">
      <c r="A6" s="477" t="s">
        <v>194</v>
      </c>
      <c r="B6" s="478">
        <f>'openbare verlichting'!B8</f>
        <v>765.09500000000003</v>
      </c>
      <c r="C6" s="478"/>
      <c r="D6" s="478"/>
      <c r="E6" s="478"/>
      <c r="F6" s="478"/>
      <c r="G6" s="478"/>
      <c r="H6" s="478"/>
      <c r="I6" s="478"/>
      <c r="J6" s="478"/>
      <c r="K6" s="478"/>
      <c r="L6" s="478"/>
      <c r="M6" s="478"/>
      <c r="N6" s="478"/>
      <c r="O6" s="478"/>
      <c r="P6" s="479"/>
      <c r="Q6" s="477">
        <f t="shared" si="0"/>
        <v>765.09500000000003</v>
      </c>
    </row>
    <row r="7" spans="1:17">
      <c r="A7" s="477" t="s">
        <v>112</v>
      </c>
      <c r="B7" s="478">
        <f>landbouw!B8</f>
        <v>2113.6348269999999</v>
      </c>
      <c r="C7" s="478">
        <f>landbouw!C8</f>
        <v>0</v>
      </c>
      <c r="D7" s="478">
        <f>landbouw!D8</f>
        <v>2955.8750166</v>
      </c>
      <c r="E7" s="478">
        <f>landbouw!E8</f>
        <v>62.126183351428146</v>
      </c>
      <c r="F7" s="478">
        <f>landbouw!F8</f>
        <v>8805.2884744508174</v>
      </c>
      <c r="G7" s="478">
        <f>landbouw!G8</f>
        <v>0</v>
      </c>
      <c r="H7" s="478">
        <f>landbouw!H8</f>
        <v>0</v>
      </c>
      <c r="I7" s="478">
        <f>landbouw!I8</f>
        <v>0</v>
      </c>
      <c r="J7" s="478">
        <f>landbouw!J8</f>
        <v>306.22029560480644</v>
      </c>
      <c r="K7" s="478">
        <f>landbouw!K8</f>
        <v>0</v>
      </c>
      <c r="L7" s="478">
        <f>landbouw!L8</f>
        <v>0</v>
      </c>
      <c r="M7" s="478">
        <f>landbouw!M8</f>
        <v>0</v>
      </c>
      <c r="N7" s="478">
        <f>landbouw!N8</f>
        <v>0</v>
      </c>
      <c r="O7" s="478">
        <f>landbouw!O8</f>
        <v>0</v>
      </c>
      <c r="P7" s="479">
        <f>landbouw!P8</f>
        <v>0</v>
      </c>
      <c r="Q7" s="477">
        <f t="shared" si="0"/>
        <v>14243.144797007051</v>
      </c>
    </row>
    <row r="8" spans="1:17">
      <c r="A8" s="477" t="s">
        <v>635</v>
      </c>
      <c r="B8" s="478">
        <f>industrie!B18</f>
        <v>25750.836231999998</v>
      </c>
      <c r="C8" s="478">
        <f>industrie!C18</f>
        <v>0</v>
      </c>
      <c r="D8" s="478">
        <f>industrie!D18</f>
        <v>16177.034255756</v>
      </c>
      <c r="E8" s="478">
        <f>industrie!E18</f>
        <v>1590.9683821310005</v>
      </c>
      <c r="F8" s="478">
        <f>industrie!F18</f>
        <v>6120.3887759167583</v>
      </c>
      <c r="G8" s="478">
        <f>industrie!G18</f>
        <v>0</v>
      </c>
      <c r="H8" s="478">
        <f>industrie!H18</f>
        <v>0</v>
      </c>
      <c r="I8" s="478">
        <f>industrie!I18</f>
        <v>0</v>
      </c>
      <c r="J8" s="478">
        <f>industrie!J18</f>
        <v>4.8304134773351279</v>
      </c>
      <c r="K8" s="478">
        <f>industrie!K18</f>
        <v>0</v>
      </c>
      <c r="L8" s="478">
        <f>industrie!L18</f>
        <v>0</v>
      </c>
      <c r="M8" s="478">
        <f>industrie!M18</f>
        <v>0</v>
      </c>
      <c r="N8" s="478">
        <f>industrie!N18</f>
        <v>5288.5389176859308</v>
      </c>
      <c r="O8" s="478">
        <f>industrie!O18</f>
        <v>0</v>
      </c>
      <c r="P8" s="479">
        <f>industrie!P18</f>
        <v>0</v>
      </c>
      <c r="Q8" s="477">
        <f t="shared" si="0"/>
        <v>54932.596976967019</v>
      </c>
    </row>
    <row r="9" spans="1:17" s="483" customFormat="1">
      <c r="A9" s="481" t="s">
        <v>561</v>
      </c>
      <c r="B9" s="482">
        <f>transport!B14</f>
        <v>21.42991141073486</v>
      </c>
      <c r="C9" s="482"/>
      <c r="D9" s="482">
        <f>transport!D14</f>
        <v>78.36407884623442</v>
      </c>
      <c r="E9" s="482">
        <f>transport!E14</f>
        <v>103.80707870238743</v>
      </c>
      <c r="F9" s="482"/>
      <c r="G9" s="482">
        <f>transport!G14</f>
        <v>36803.455682202235</v>
      </c>
      <c r="H9" s="482">
        <f>transport!H14</f>
        <v>8811.3624992146651</v>
      </c>
      <c r="I9" s="482"/>
      <c r="J9" s="482"/>
      <c r="K9" s="482"/>
      <c r="L9" s="482"/>
      <c r="M9" s="482">
        <f>transport!M14</f>
        <v>2411.7738351259277</v>
      </c>
      <c r="N9" s="482"/>
      <c r="O9" s="482"/>
      <c r="P9" s="482"/>
      <c r="Q9" s="481">
        <f>SUM(B9:P9)</f>
        <v>48230.193085502178</v>
      </c>
    </row>
    <row r="10" spans="1:17">
      <c r="A10" s="477" t="s">
        <v>551</v>
      </c>
      <c r="B10" s="478">
        <f>transport!B54</f>
        <v>0</v>
      </c>
      <c r="C10" s="478"/>
      <c r="D10" s="478">
        <f>transport!D54</f>
        <v>0</v>
      </c>
      <c r="E10" s="478"/>
      <c r="F10" s="478"/>
      <c r="G10" s="478">
        <f>transport!G54</f>
        <v>831.99449100724905</v>
      </c>
      <c r="H10" s="478"/>
      <c r="I10" s="478"/>
      <c r="J10" s="478"/>
      <c r="K10" s="478"/>
      <c r="L10" s="478"/>
      <c r="M10" s="478">
        <f>transport!M54</f>
        <v>47.25361418597965</v>
      </c>
      <c r="N10" s="478"/>
      <c r="O10" s="478"/>
      <c r="P10" s="479"/>
      <c r="Q10" s="477">
        <f t="shared" si="0"/>
        <v>879.24810519322875</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70610.435539187965</v>
      </c>
      <c r="C14" s="488">
        <f t="shared" ref="C14:Q14" ca="1" si="1">SUM(C4:C13)</f>
        <v>0</v>
      </c>
      <c r="D14" s="488">
        <f t="shared" ca="1" si="1"/>
        <v>100139.07388060223</v>
      </c>
      <c r="E14" s="488">
        <f t="shared" si="1"/>
        <v>4811.0964939843516</v>
      </c>
      <c r="F14" s="488">
        <f t="shared" ca="1" si="1"/>
        <v>35365.396905462869</v>
      </c>
      <c r="G14" s="488">
        <f t="shared" si="1"/>
        <v>37635.450173209487</v>
      </c>
      <c r="H14" s="488">
        <f t="shared" si="1"/>
        <v>8811.3624992146651</v>
      </c>
      <c r="I14" s="488">
        <f t="shared" si="1"/>
        <v>0</v>
      </c>
      <c r="J14" s="488">
        <f t="shared" si="1"/>
        <v>311.10529359753946</v>
      </c>
      <c r="K14" s="488">
        <f t="shared" si="1"/>
        <v>0</v>
      </c>
      <c r="L14" s="488">
        <f t="shared" ca="1" si="1"/>
        <v>0</v>
      </c>
      <c r="M14" s="488">
        <f t="shared" si="1"/>
        <v>2459.0274493119073</v>
      </c>
      <c r="N14" s="488">
        <f t="shared" ca="1" si="1"/>
        <v>20617.182711510683</v>
      </c>
      <c r="O14" s="488">
        <f t="shared" si="1"/>
        <v>176.65666666666667</v>
      </c>
      <c r="P14" s="489">
        <f t="shared" si="1"/>
        <v>648.26666666666677</v>
      </c>
      <c r="Q14" s="489">
        <f t="shared" ca="1" si="1"/>
        <v>281585.05427941505</v>
      </c>
    </row>
    <row r="16" spans="1:17">
      <c r="A16" s="491" t="s">
        <v>556</v>
      </c>
      <c r="B16" s="841">
        <f ca="1">huishoudens!B10</f>
        <v>0.20347606817224448</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5460.5552231680249</v>
      </c>
      <c r="C21" s="478">
        <f t="shared" ref="C21:C28" ca="1" si="3">C4*$C$16</f>
        <v>0</v>
      </c>
      <c r="D21" s="478">
        <f t="shared" ref="D21:D30" si="4">D4*$D$16</f>
        <v>12896.719097554602</v>
      </c>
      <c r="E21" s="478">
        <f t="shared" ref="E21:E30" si="5">E4*$E$16</f>
        <v>646.3167798100045</v>
      </c>
      <c r="F21" s="478">
        <f t="shared" ref="F21:F28" si="6">F4*$F$16</f>
        <v>4726.5435782560626</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23730.134678788694</v>
      </c>
    </row>
    <row r="22" spans="1:17">
      <c r="A22" s="477" t="s">
        <v>156</v>
      </c>
      <c r="B22" s="478">
        <f t="shared" ca="1" si="2"/>
        <v>3077.1865629976623</v>
      </c>
      <c r="C22" s="478">
        <f t="shared" ca="1" si="3"/>
        <v>0</v>
      </c>
      <c r="D22" s="478">
        <f t="shared" ca="1" si="4"/>
        <v>3450.6966093842002</v>
      </c>
      <c r="E22" s="478">
        <f t="shared" si="5"/>
        <v>46.985451094490045</v>
      </c>
      <c r="F22" s="478">
        <f t="shared" ca="1" si="6"/>
        <v>730.86156965438067</v>
      </c>
      <c r="G22" s="478">
        <f t="shared" si="7"/>
        <v>0</v>
      </c>
      <c r="H22" s="478">
        <f t="shared" si="8"/>
        <v>0</v>
      </c>
      <c r="I22" s="478">
        <f t="shared" si="9"/>
        <v>0</v>
      </c>
      <c r="J22" s="478">
        <f t="shared" si="10"/>
        <v>1.9322918450862567E-2</v>
      </c>
      <c r="K22" s="478">
        <f t="shared" si="11"/>
        <v>0</v>
      </c>
      <c r="L22" s="478">
        <f t="shared" ca="1" si="12"/>
        <v>0</v>
      </c>
      <c r="M22" s="478">
        <f t="shared" si="13"/>
        <v>0</v>
      </c>
      <c r="N22" s="478">
        <f t="shared" ca="1" si="14"/>
        <v>0</v>
      </c>
      <c r="O22" s="478">
        <f t="shared" si="15"/>
        <v>0</v>
      </c>
      <c r="P22" s="479">
        <f t="shared" si="16"/>
        <v>0</v>
      </c>
      <c r="Q22" s="477">
        <f t="shared" ref="Q22:Q30" ca="1" si="17">SUM(B22:P22)</f>
        <v>7305.7495160491826</v>
      </c>
    </row>
    <row r="23" spans="1:17">
      <c r="A23" s="477" t="s">
        <v>194</v>
      </c>
      <c r="B23" s="478">
        <f t="shared" ca="1" si="2"/>
        <v>155.6785223782434</v>
      </c>
      <c r="C23" s="478"/>
      <c r="D23" s="478"/>
      <c r="E23" s="478"/>
      <c r="F23" s="478"/>
      <c r="G23" s="478"/>
      <c r="H23" s="478"/>
      <c r="I23" s="478"/>
      <c r="J23" s="478"/>
      <c r="K23" s="478"/>
      <c r="L23" s="478"/>
      <c r="M23" s="478"/>
      <c r="N23" s="478"/>
      <c r="O23" s="478"/>
      <c r="P23" s="479"/>
      <c r="Q23" s="477">
        <f t="shared" ca="1" si="17"/>
        <v>155.6785223782434</v>
      </c>
    </row>
    <row r="24" spans="1:17">
      <c r="A24" s="477" t="s">
        <v>112</v>
      </c>
      <c r="B24" s="478">
        <f t="shared" ca="1" si="2"/>
        <v>430.07410414988215</v>
      </c>
      <c r="C24" s="478">
        <f t="shared" ca="1" si="3"/>
        <v>0</v>
      </c>
      <c r="D24" s="478">
        <f t="shared" si="4"/>
        <v>597.08675335320004</v>
      </c>
      <c r="E24" s="478">
        <f t="shared" si="5"/>
        <v>14.10264362077419</v>
      </c>
      <c r="F24" s="478">
        <f t="shared" si="6"/>
        <v>2351.0120226783683</v>
      </c>
      <c r="G24" s="478">
        <f t="shared" si="7"/>
        <v>0</v>
      </c>
      <c r="H24" s="478">
        <f t="shared" si="8"/>
        <v>0</v>
      </c>
      <c r="I24" s="478">
        <f t="shared" si="9"/>
        <v>0</v>
      </c>
      <c r="J24" s="478">
        <f t="shared" si="10"/>
        <v>108.40198464410147</v>
      </c>
      <c r="K24" s="478">
        <f t="shared" si="11"/>
        <v>0</v>
      </c>
      <c r="L24" s="478">
        <f t="shared" si="12"/>
        <v>0</v>
      </c>
      <c r="M24" s="478">
        <f t="shared" si="13"/>
        <v>0</v>
      </c>
      <c r="N24" s="478">
        <f t="shared" si="14"/>
        <v>0</v>
      </c>
      <c r="O24" s="478">
        <f t="shared" si="15"/>
        <v>0</v>
      </c>
      <c r="P24" s="479">
        <f t="shared" si="16"/>
        <v>0</v>
      </c>
      <c r="Q24" s="477">
        <f t="shared" ca="1" si="17"/>
        <v>3500.6775084463261</v>
      </c>
    </row>
    <row r="25" spans="1:17">
      <c r="A25" s="477" t="s">
        <v>635</v>
      </c>
      <c r="B25" s="478">
        <f t="shared" ca="1" si="2"/>
        <v>5239.6789086347344</v>
      </c>
      <c r="C25" s="478">
        <f t="shared" ca="1" si="3"/>
        <v>0</v>
      </c>
      <c r="D25" s="478">
        <f t="shared" si="4"/>
        <v>3267.7609196627122</v>
      </c>
      <c r="E25" s="478">
        <f t="shared" si="5"/>
        <v>361.1498227437371</v>
      </c>
      <c r="F25" s="478">
        <f t="shared" si="6"/>
        <v>1634.1438031697746</v>
      </c>
      <c r="G25" s="478">
        <f t="shared" si="7"/>
        <v>0</v>
      </c>
      <c r="H25" s="478">
        <f t="shared" si="8"/>
        <v>0</v>
      </c>
      <c r="I25" s="478">
        <f t="shared" si="9"/>
        <v>0</v>
      </c>
      <c r="J25" s="478">
        <f t="shared" si="10"/>
        <v>1.7099663709766353</v>
      </c>
      <c r="K25" s="478">
        <f t="shared" si="11"/>
        <v>0</v>
      </c>
      <c r="L25" s="478">
        <f t="shared" si="12"/>
        <v>0</v>
      </c>
      <c r="M25" s="478">
        <f t="shared" si="13"/>
        <v>0</v>
      </c>
      <c r="N25" s="478">
        <f t="shared" si="14"/>
        <v>0</v>
      </c>
      <c r="O25" s="478">
        <f t="shared" si="15"/>
        <v>0</v>
      </c>
      <c r="P25" s="479">
        <f t="shared" si="16"/>
        <v>0</v>
      </c>
      <c r="Q25" s="477">
        <f t="shared" ca="1" si="17"/>
        <v>10504.443420581934</v>
      </c>
    </row>
    <row r="26" spans="1:17" s="483" customFormat="1">
      <c r="A26" s="481" t="s">
        <v>561</v>
      </c>
      <c r="B26" s="835">
        <f t="shared" ca="1" si="2"/>
        <v>4.3604741151358466</v>
      </c>
      <c r="C26" s="482"/>
      <c r="D26" s="482">
        <f t="shared" si="4"/>
        <v>15.829543926939355</v>
      </c>
      <c r="E26" s="482">
        <f t="shared" si="5"/>
        <v>23.564206865441946</v>
      </c>
      <c r="F26" s="482"/>
      <c r="G26" s="482">
        <f t="shared" si="7"/>
        <v>9826.5226671479977</v>
      </c>
      <c r="H26" s="482">
        <f t="shared" si="8"/>
        <v>2194.0292623044515</v>
      </c>
      <c r="I26" s="482"/>
      <c r="J26" s="482"/>
      <c r="K26" s="482"/>
      <c r="L26" s="482"/>
      <c r="M26" s="482">
        <f t="shared" si="13"/>
        <v>0</v>
      </c>
      <c r="N26" s="482"/>
      <c r="O26" s="482"/>
      <c r="P26" s="493"/>
      <c r="Q26" s="481">
        <f t="shared" ca="1" si="17"/>
        <v>12064.306154359967</v>
      </c>
    </row>
    <row r="27" spans="1:17">
      <c r="A27" s="477" t="s">
        <v>551</v>
      </c>
      <c r="B27" s="478">
        <f t="shared" ca="1" si="2"/>
        <v>0</v>
      </c>
      <c r="C27" s="478"/>
      <c r="D27" s="482">
        <f t="shared" si="4"/>
        <v>0</v>
      </c>
      <c r="E27" s="478"/>
      <c r="F27" s="478"/>
      <c r="G27" s="478">
        <f t="shared" si="7"/>
        <v>222.14252909893551</v>
      </c>
      <c r="H27" s="478"/>
      <c r="I27" s="478"/>
      <c r="J27" s="478"/>
      <c r="K27" s="478"/>
      <c r="L27" s="478"/>
      <c r="M27" s="478">
        <f t="shared" si="13"/>
        <v>0</v>
      </c>
      <c r="N27" s="478"/>
      <c r="O27" s="478"/>
      <c r="P27" s="479"/>
      <c r="Q27" s="477">
        <f t="shared" ca="1" si="17"/>
        <v>222.14252909893551</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14367.533795443682</v>
      </c>
      <c r="C31" s="488">
        <f t="shared" ca="1" si="18"/>
        <v>0</v>
      </c>
      <c r="D31" s="488">
        <f t="shared" ca="1" si="18"/>
        <v>20228.092923881653</v>
      </c>
      <c r="E31" s="488">
        <f t="shared" si="18"/>
        <v>1092.1189041344478</v>
      </c>
      <c r="F31" s="488">
        <f t="shared" ca="1" si="18"/>
        <v>9442.5609737585874</v>
      </c>
      <c r="G31" s="488">
        <f t="shared" si="18"/>
        <v>10048.665196246933</v>
      </c>
      <c r="H31" s="488">
        <f t="shared" si="18"/>
        <v>2194.0292623044515</v>
      </c>
      <c r="I31" s="488">
        <f t="shared" si="18"/>
        <v>0</v>
      </c>
      <c r="J31" s="488">
        <f t="shared" si="18"/>
        <v>110.13127393352897</v>
      </c>
      <c r="K31" s="488">
        <f t="shared" si="18"/>
        <v>0</v>
      </c>
      <c r="L31" s="488">
        <f t="shared" ca="1" si="18"/>
        <v>0</v>
      </c>
      <c r="M31" s="488">
        <f t="shared" si="18"/>
        <v>0</v>
      </c>
      <c r="N31" s="488">
        <f t="shared" ca="1" si="18"/>
        <v>0</v>
      </c>
      <c r="O31" s="488">
        <f t="shared" si="18"/>
        <v>0</v>
      </c>
      <c r="P31" s="489">
        <f t="shared" si="18"/>
        <v>0</v>
      </c>
      <c r="Q31" s="489">
        <f t="shared" ca="1" si="18"/>
        <v>57483.132329703287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0.20347606817224448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0.20347606817224448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0.20347606817224448</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2019-01-01T21:21:46Z</dcterms:modified>
</cp:coreProperties>
</file>