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<sst xmlns="http://schemas.openxmlformats.org/spreadsheetml/2006/main" count="2099" uniqueCount="844">
  <si>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</si>
  <si>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</si>
  <si>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</si>
  <si>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</si>
  <si>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</si>
  <si>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</si>
  <si>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</si>
  <si>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</si>
  <si>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</si>
  <si>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</si>
  <si>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</si>
  <si>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</si>
  <si>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</si>
  <si>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</si>
  <si>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</si>
  <si>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</si>
  <si>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</si>
  <si>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</si>
  <si>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</si>
  <si>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</si>
  <si>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</si>
  <si>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</si>
  <si>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</si>
  <si>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</si>
  <si>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</si>
  <si>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</si>
  <si>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</si>
  <si>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</si>
  <si>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</si>
  <si>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</si>
  <si>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</si>
  <si>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</si>
  <si>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</si>
  <si>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</si>
  <si>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</si>
  <si>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</si>
  <si>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</si>
  <si>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</si>
  <si>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</si>
  <si>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</si>
  <si>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</si>
  <si>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</si>
  <si>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</si>
  <si>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</si>
  <si>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</si>
  <si>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</si>
  <si>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</si>
  <si>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</si>
  <si>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</si>
  <si>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</si>
  <si>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</si>
  <si>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</si>
  <si>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</si>
  <si>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</si>
  <si>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</si>
  <si>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</si>
  <si>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</si>
  <si>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</si>
  <si>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</si>
  <si>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</si>
  <si>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</si>
  <si>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</si>
  <si>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</si>
  <si>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</si>
  <si>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</si>
  <si>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</si>
  <si>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</si>
  <si>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</si>
  <si>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</si>
  <si>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</si>
  <si>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</si>
  <si>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</si>
  <si>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</si>
  <si>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</si>
  <si>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</si>
  <si>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</si>
  <si>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</si>
  <si>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</si>
  <si>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</si>
  <si>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</si>
  <si>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</si>
  <si>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</si>
  <si>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</si>
  <si>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</si>
  <si>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</si>
  <si>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</si>
  <si>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</si>
  <si>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</si>
  <si>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</si>
  <si>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</si>
  <si>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</si>
  <si>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</si>
  <si>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</si>
  <si>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</si>
  <si>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</si>
  <si>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</si>
  <si>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</si>
  <si>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</si>
  <si>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</si>
  <si>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</si>
  <si>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</si>
  <si>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</si>
  <si>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</si>
  <si>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</si>
  <si>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</si>
  <si>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</si>
  <si>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</si>
  <si>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</si>
  <si>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</si>
  <si>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</si>
  <si>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</si>
  <si>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</si>
  <si>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</si>
  <si>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</si>
  <si>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</si>
  <si>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</si>
  <si>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</si>
  <si>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</si>
  <si>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</si>
  <si>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</si>
  <si>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</si>
  <si>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</si>
  <si>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</si>
  <si>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</si>
  <si>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</si>
  <si>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</si>
  <si>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</si>
  <si>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</si>
  <si>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</si>
  <si>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</si>
  <si>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</si>
  <si>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</si>
  <si>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</si>
  <si>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</si>
  <si>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</si>
  <si>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</si>
  <si>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</si>
  <si>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</si>
  <si>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</si>
  <si>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</si>
  <si>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</si>
  <si>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</si>
  <si>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</si>
  <si>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</si>
  <si>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</si>
  <si>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</si>
  <si>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</si>
  <si>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</si>
  <si>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</si>
  <si>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</si>
  <si>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</si>
  <si>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</si>
  <si>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</si>
  <si>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</si>
  <si>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</si>
  <si>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</si>
  <si>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</si>
  <si>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</si>
  <si>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</si>
  <si>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</si>
  <si>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</si>
  <si>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</si>
  <si>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</si>
  <si>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</si>
  <si>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</si>
  <si>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</si>
  <si>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</si>
  <si>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</si>
  <si>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</si>
  <si>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</si>
  <si>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</si>
  <si>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</si>
  <si>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</si>
  <si>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</si>
  <si>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</si>
  <si>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</si>
  <si>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</si>
  <si>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</si>
  <si>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</si>
  <si>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</si>
  <si>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</si>
  <si>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</si>
  <si>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</si>
  <si>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</si>
  <si>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</si>
  <si>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</si>
  <si>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</si>
  <si>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</si>
  <si>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</si>
  <si>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</si>
  <si>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</si>
  <si>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</si>
  <si>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</si>
  <si>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</si>
  <si>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</si>
  <si>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</si>
  <si>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</si>
  <si>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</si>
  <si>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</si>
  <si>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</si>
  <si>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</si>
  <si>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</si>
  <si>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</si>
  <si>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</si>
  <si>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</si>
  <si>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</si>
  <si>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</si>
  <si>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</si>
  <si>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</si>
  <si>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</si>
  <si>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</si>
  <si>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</si>
  <si>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</si>
  <si>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</si>
  <si>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</si>
  <si>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</si>
  <si>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</si>
  <si>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</si>
  <si>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</si>
  <si>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</si>
  <si>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</si>
  <si>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</si>
  <si>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</si>
  <si>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</si>
  <si>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</si>
  <si>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</si>
  <si>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</si>
  <si>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</si>
  <si>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</si>
  <si>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</si>
  <si>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</si>
  <si>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</si>
  <si>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</si>
  <si>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</si>
  <si>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</si>
  <si>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</si>
  <si>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</si>
  <si>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</si>
  <si>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</si>
  <si>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</si>
  <si>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</si>
  <si>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</si>
  <si>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</si>
  <si>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</si>
  <si>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</si>
  <si>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</si>
  <si>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</si>
  <si>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</si>
  <si>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</si>
  <si>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</si>
  <si>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</si>
  <si>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</si>
  <si>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</si>
  <si>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</si>
  <si>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</si>
  <si>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</si>
  <si>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</si>
  <si>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</si>
  <si>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</si>
  <si>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</si>
  <si>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</si>
  <si>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</si>
  <si>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</si>
  <si>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</si>
  <si>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</si>
  <si>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</si>
  <si>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</si>
  <si>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</si>
  <si>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</si>
  <si>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</si>
  <si>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</si>
  <si>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</si>
  <si>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</si>
  <si>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</si>
  <si>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</si>
  <si>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</si>
  <si>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</si>
  <si>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</si>
  <si>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</si>
  <si>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</si>
  <si>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</si>
  <si>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</si>
  <si>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</si>
  <si>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</si>
  <si>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</si>
  <si>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</si>
  <si>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</si>
  <si>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</si>
  <si>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</si>
  <si>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</si>
  <si>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</si>
  <si>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</si>
  <si>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</si>
  <si>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</si>
  <si>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</si>
  <si>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</si>
  <si>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</si>
  <si>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</si>
  <si>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</si>
  <si>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</si>
  <si>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</si>
  <si>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</si>
  <si>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</si>
  <si>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</si>
  <si>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</si>
  <si>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</si>
  <si>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</si>
  <si>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</si>
  <si>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</si>
  <si>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</si>
  <si>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</si>
  <si>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</si>
  <si>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</si>
  <si>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</si>
  <si>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</si>
  <si>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</si>
  <si>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</si>
  <si>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</si>
  <si>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</si>
  <si>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</si>
  <si>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</si>
  <si>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</si>
  <si>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</si>
  <si>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</si>
  <si>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</si>
  <si>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</si>
  <si>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</si>
  <si>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</si>
  <si>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</si>
  <si>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</si>
  <si>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</si>
  <si>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</si>
  <si>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</si>
  <si>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</si>
  <si>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</si>
  <si>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</si>
  <si>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</si>
  <si>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</si>
  <si>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</si>
  <si>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</si>
  <si>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</si>
  <si>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</si>
  <si>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</si>
  <si>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</si>
  <si>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</si>
  <si>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</si>
  <si>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</si>
  <si>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</si>
  <si>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</si>
  <si>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</si>
  <si>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</si>
  <si>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</si>
  <si>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</si>
  <si>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</si>
  <si>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</si>
  <si>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</si>
  <si>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</si>
  <si>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</si>
  <si>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</si>
  <si>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</si>
  <si>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</si>
  <si>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</si>
  <si>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</si>
  <si>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</si>
  <si>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</si>
  <si>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</si>
  <si>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</si>
  <si>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</si>
  <si>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</si>
  <si>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</si>
  <si>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</si>
  <si>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</si>
  <si>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</si>
  <si>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</si>
  <si>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</si>
  <si>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</si>
  <si>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</si>
  <si>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</si>
  <si>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</si>
  <si>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</si>
  <si>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</si>
  <si>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</si>
  <si>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</si>
  <si>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</si>
  <si>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</si>
  <si>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</si>
  <si>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</si>
  <si>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</si>
  <si>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</si>
  <si>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</si>
  <si>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</si>
  <si>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</si>
  <si>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</si>
  <si>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</si>
  <si>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</si>
  <si>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</si>
  <si>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</si>
  <si>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</si>
  <si>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</si>
  <si>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</si>
  <si>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</si>
  <si>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</si>
  <si>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</si>
  <si>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</si>
  <si>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</si>
  <si>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</si>
  <si>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</si>
  <si>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</si>
  <si>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</si>
  <si>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</si>
  <si>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</si>
  <si>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</si>
  <si>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</si>
  <si>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</si>
  <si>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</si>
  <si>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</si>
  <si>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</si>
  <si>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</si>
  <si>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</si>
  <si>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</si>
  <si>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</si>
  <si>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</si>
  <si>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</si>
  <si>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</si>
  <si>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</si>
  <si>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</si>
  <si>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</si>
  <si>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</si>
  <si>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</si>
  <si>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</si>
  <si>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</si>
  <si>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</si>
  <si>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</si>
  <si>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</si>
  <si>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</si>
  <si>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</si>
  <si>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</si>
  <si>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</si>
  <si>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</si>
  <si>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</si>
  <si>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</si>
  <si>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</si>
  <si>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</si>
  <si>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</si>
  <si>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</si>
  <si>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</si>
  <si>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</si>
  <si>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</si>
  <si>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</si>
  <si>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</si>
  <si>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</si>
  <si>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</si>
  <si>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</si>
  <si>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</si>
  <si>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</si>
  <si>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</si>
  <si>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</si>
  <si>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</si>
  <si>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</si>
  <si>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</si>
  <si>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</si>
  <si>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</si>
  <si>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</si>
  <si>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</si>
  <si>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</si>
  <si>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</si>
  <si>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</si>
  <si>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</si>
  <si>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</si>
  <si>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</si>
  <si>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</si>
  <si>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</si>
  <si>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</si>
  <si>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</si>
  <si>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</si>
  <si>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</si>
  <si>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</si>
  <si>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</si>
  <si>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</si>
  <si>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</si>
  <si>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</si>
  <si>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</si>
  <si>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</si>
  <si>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</si>
  <si>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</si>
  <si>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</si>
  <si>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</si>
  <si>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</si>
  <si>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</si>
  <si>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</si>
  <si>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</si>
  <si>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</si>
  <si>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</si>
  <si>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</si>
  <si>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</si>
  <si>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</si>
  <si>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</si>
  <si>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</si>
  <si>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</si>
  <si>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</si>
  <si>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</si>
  <si>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</si>
  <si>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</si>
  <si>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</si>
  <si>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</si>
  <si>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</si>
  <si>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</si>
  <si>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</si>
  <si>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</si>
  <si>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</si>
  <si>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</si>
  <si>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</si>
  <si>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</si>
  <si>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</si>
  <si>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</si>
  <si>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</si>
  <si>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</si>
  <si>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</si>
  <si>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</si>
  <si>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</si>
  <si>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</si>
  <si>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</si>
  <si>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</si>
  <si>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</si>
  <si>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</si>
  <si>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</si>
  <si>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</si>
  <si>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</si>
  <si>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</si>
  <si>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</si>
  <si>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</si>
  <si>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</si>
  <si>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</si>
  <si>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</si>
  <si>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</si>
  <si>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</si>
  <si>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</si>
  <si>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</si>
  <si>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</si>
  <si>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</si>
  <si>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</si>
  <si>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</si>
  <si>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</si>
  <si>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</si>
  <si>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</si>
  <si>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</si>
  <si>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</si>
  <si>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</si>
  <si>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</si>
  <si>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</si>
  <si>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</si>
  <si>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</si>
  <si>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</si>
  <si>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</si>
  <si>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</si>
  <si>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</si>
  <si>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</si>
  <si>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</si>
  <si>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</si>
  <si>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</si>
  <si>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</si>
  <si>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</si>
  <si>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</si>
  <si>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</si>
  <si>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</si>
  <si>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</si>
  <si>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</si>
  <si>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</si>
  <si>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</si>
  <si>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</si>
  <si>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</si>
  <si>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</si>
  <si>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</si>
  <si>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</si>
  <si>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</si>
  <si>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</si>
  <si>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</si>
  <si>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</si>
  <si>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</si>
  <si>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</si>
  <si>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</si>
  <si>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</si>
  <si>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</si>
  <si>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</si>
  <si>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</si>
  <si>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</si>
  <si>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</si>
  <si>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</si>
  <si>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</si>
  <si>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</si>
  <si>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</si>
  <si>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</si>
  <si>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</si>
  <si>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</si>
  <si>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</si>
  <si>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</si>
  <si>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</si>
  <si>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</si>
  <si>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</si>
  <si>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</si>
  <si>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</si>
  <si>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</si>
  <si>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</si>
  <si>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</si>
  <si>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</si>
  <si>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</si>
  <si>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</si>
  <si>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</si>
  <si>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</si>
  <si>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</si>
  <si>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</si>
  <si>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</si>
  <si>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</si>
  <si>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</si>
  <si>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</si>
  <si>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</si>
  <si>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</si>
  <si>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</si>
  <si>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</si>
  <si>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</si>
  <si>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</si>
  <si>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</si>
  <si>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</si>
  <si>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</si>
  <si>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</si>
  <si>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</si>
  <si>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</si>
  <si>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</si>
  <si>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</si>
  <si>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</si>
  <si>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</si>
  <si>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</si>
  <si>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</si>
  <si>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</si>
  <si>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</si>
  <si>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</si>
  <si>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</si>
  <si>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</si>
  <si>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</si>
  <si>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</si>
  <si>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</si>
  <si>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</si>
  <si>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</si>
  <si>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</si>
  <si>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</si>
  <si>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</si>
  <si>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</si>
  <si>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</si>
  <si>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</si>
  <si>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</si>
  <si>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</si>
  <si>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</si>
  <si>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</si>
  <si>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</si>
  <si>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</si>
  <si>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</si>
  <si>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</si>
  <si>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</si>
  <si>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</si>
  <si>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</si>
  <si>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</si>
  <si>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</si>
  <si>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</si>
  <si>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</si>
  <si>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</si>
  <si>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</si>
  <si>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</si>
  <si>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</si>
  <si>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</si>
  <si>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</si>
  <si>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</si>
  <si>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</si>
  <si>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</si>
  <si>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</si>
  <si>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</si>
  <si>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</si>
  <si>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</si>
  <si>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</si>
  <si>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</si>
  <si>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</si>
  <si>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</si>
  <si>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</si>
  <si>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</si>
  <si>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</si>
  <si>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</si>
  <si>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</si>
  <si>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</si>
  <si>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</si>
  <si>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</si>
  <si>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</si>
  <si>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</si>
  <si>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</si>
  <si>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</si>
  <si>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</si>
  <si>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</si>
  <si>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</si>
  <si>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</si>
  <si>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</si>
  <si>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</si>
  <si>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</si>
  <si>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</si>
  <si>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</si>
  <si>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</si>
  <si>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</si>
  <si>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</si>
  <si>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</si>
  <si>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</si>
  <si>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</si>
  <si>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</si>
  <si>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</si>
  <si>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</si>
  <si>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</si>
  <si>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</si>
  <si>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</si>
  <si>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</si>
  <si>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</si>
  <si>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</si>
  <si>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</si>
  <si>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</si>
  <si>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</si>
  <si>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</si>
  <si>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</si>
  <si>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</si>
  <si>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</si>
  <si>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</si>
  <si>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</si>
  <si>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</si>
  <si>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</si>
  <si>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</si>
  <si>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</si>
  <si>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</si>
  <si>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</si>
  <si>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</si>
  <si>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</si>
  <si>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</si>
  <si>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</si>
  <si>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</si>
  <si>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</si>
  <si>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</si>
  <si>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</si>
  <si>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</si>
  <si>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</si>
  <si>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</si>
  <si>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</si>
  <si>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</si>
  <si>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</si>
  <si>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</si>
  <si>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</si>
  <si>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</si>
  <si>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</si>
  <si>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</si>
  <si>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</si>
  <si>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</si>
  <si>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</si>
  <si>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</si>
  <si>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</si>
  <si>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</si>
  <si>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</si>
  <si>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</si>
  <si>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</si>
  <si>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</si>
  <si>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</si>
  <si>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</si>
  <si>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</si>
  <si>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</si>
  <si>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</si>
  <si>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</si>
  <si>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</si>
  <si>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</si>
  <si>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</si>
  <si>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</si>
  <si>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</si>
  <si>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</si>
  <si>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</si>
  <si>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</si>
  <si>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</si>
  <si>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</si>
  <si>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</si>
  <si>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</si>
  <si>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</si>
  <si>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</si>
  <si>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</si>
  <si>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</si>
  <si>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</si>
  <si>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</si>
  <si>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</si>
  <si>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</si>
  <si>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</si>
  <si>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</si>
  <si>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</si>
  <si>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</si>
  <si>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</si>
  <si>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</si>
  <si>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</si>
  <si>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</si>
  <si>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</si>
  <si>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</si>
  <si>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</si>
  <si>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</si>
  <si>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</si>
  <si>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</si>
  <si>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</si>
  <si>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</si>
  <si>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</si>
  <si>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</si>
  <si>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</si>
  <si>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</si>
  <si>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</si>
  <si>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</si>
  <si>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</si>
  <si>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</si>
  <si>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</si>
  <si>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</si>
  <si>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</si>
  <si>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</si>
  <si>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</si>
  <si>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</si>
  <si>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</si>
  <si>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</si>
  <si>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</si>
  <si>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</si>
  <si>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</si>
  <si>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</si>
  <si>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</si>
  <si>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</si>
  <si>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</si>
  <si>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</si>
  <si>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</si>
  <si>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</si>
  <si>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</si>
  <si>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</si>
  <si>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</si>
  <si>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</si>
  <si>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</si>
  <si>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</si>
  <si>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</si>
  <si>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72025</t>
  </si>
  <si>
    <t>NEERPELT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</si>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</sst>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140816.22232114588</c:v>
                </c:pt>
                <c:pt idx="1">
                  <c:v>38403.475322221879</c:v>
                </c:pt>
                <c:pt idx="2">
                  <c:v>1145.1780000000001</c:v>
                </c:pt>
                <c:pt idx="3">
                  <c:v>10222.635452328173</c:v>
                </c:pt>
                <c:pt idx="4">
                  <c:v>5685.58630620433</c:v>
                </c:pt>
                <c:pt idx="5">
                  <c:v>55572.211315256704</c:v>
                </c:pt>
                <c:pt idx="6">
                  <c:v>1687.1538914569717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140816.22232114588</c:v>
                </c:pt>
                <c:pt idx="1">
                  <c:v>38403.475322221879</c:v>
                </c:pt>
                <c:pt idx="2">
                  <c:v>1145.1780000000001</c:v>
                </c:pt>
                <c:pt idx="3">
                  <c:v>10222.635452328173</c:v>
                </c:pt>
                <c:pt idx="4">
                  <c:v>5685.58630620433</c:v>
                </c:pt>
                <c:pt idx="5">
                  <c:v>55572.211315256704</c:v>
                </c:pt>
                <c:pt idx="6">
                  <c:v>1687.1538914569717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25208.502131892998</c:v>
                </c:pt>
                <c:pt idx="1">
                  <c:v>7228.3016439011417</c:v>
                </c:pt>
                <c:pt idx="2">
                  <c:v>216.59042933696153</c:v>
                </c:pt>
                <c:pt idx="3">
                  <c:v>2500.6818973902132</c:v>
                </c:pt>
                <c:pt idx="4">
                  <c:v>1104.6322579819209</c:v>
                </c:pt>
                <c:pt idx="5">
                  <c:v>13895.530354064806</c:v>
                </c:pt>
                <c:pt idx="6">
                  <c:v>426.26038112984827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25208.502131892998</c:v>
                </c:pt>
                <c:pt idx="1">
                  <c:v>7228.3016439011417</c:v>
                </c:pt>
                <c:pt idx="2">
                  <c:v>216.59042933696153</c:v>
                </c:pt>
                <c:pt idx="3">
                  <c:v>2500.6818973902132</c:v>
                </c:pt>
                <c:pt idx="4">
                  <c:v>1104.6322579819209</c:v>
                </c:pt>
                <c:pt idx="5">
                  <c:v>13895.530354064806</c:v>
                </c:pt>
                <c:pt idx="6">
                  <c:v>426.26038112984827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72025</v>
      </c>
      <c r="B6" s="415"/>
      <c r="C6" s="416"/>
    </row>
    <row r="7" spans="1:7" s="413" customFormat="1" ht="15.75" customHeight="1">
      <c r="A7" s="417" t="str">
        <f>txtMunicipality</f>
        <v>NEERPELT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7006</v>
      </c>
      <c r="C9" s="342">
        <v>6883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1727.19</v>
      </c>
    </row>
    <row r="15" spans="1:6">
      <c r="A15" s="348" t="s">
        <v>184</v>
      </c>
      <c r="B15" s="334">
        <v>1835</v>
      </c>
    </row>
    <row r="16" spans="1:6">
      <c r="A16" s="348" t="s">
        <v>6</v>
      </c>
      <c r="B16" s="334">
        <v>1714</v>
      </c>
    </row>
    <row r="17" spans="1:6">
      <c r="A17" s="348" t="s">
        <v>7</v>
      </c>
      <c r="B17" s="334">
        <v>188</v>
      </c>
    </row>
    <row r="18" spans="1:6">
      <c r="A18" s="348" t="s">
        <v>8</v>
      </c>
      <c r="B18" s="334">
        <v>944</v>
      </c>
    </row>
    <row r="19" spans="1:6">
      <c r="A19" s="348" t="s">
        <v>9</v>
      </c>
      <c r="B19" s="334">
        <v>942</v>
      </c>
    </row>
    <row r="20" spans="1:6">
      <c r="A20" s="348" t="s">
        <v>10</v>
      </c>
      <c r="B20" s="334">
        <v>498</v>
      </c>
    </row>
    <row r="21" spans="1:6">
      <c r="A21" s="348" t="s">
        <v>11</v>
      </c>
      <c r="B21" s="334">
        <v>3367</v>
      </c>
    </row>
    <row r="22" spans="1:6">
      <c r="A22" s="348" t="s">
        <v>12</v>
      </c>
      <c r="B22" s="334">
        <v>9685</v>
      </c>
    </row>
    <row r="23" spans="1:6">
      <c r="A23" s="348" t="s">
        <v>13</v>
      </c>
      <c r="B23" s="334">
        <v>249</v>
      </c>
    </row>
    <row r="24" spans="1:6">
      <c r="A24" s="348" t="s">
        <v>14</v>
      </c>
      <c r="B24" s="334">
        <v>10</v>
      </c>
    </row>
    <row r="25" spans="1:6">
      <c r="A25" s="348" t="s">
        <v>15</v>
      </c>
      <c r="B25" s="334">
        <v>997</v>
      </c>
    </row>
    <row r="26" spans="1:6">
      <c r="A26" s="348" t="s">
        <v>16</v>
      </c>
      <c r="B26" s="334">
        <v>155</v>
      </c>
    </row>
    <row r="27" spans="1:6">
      <c r="A27" s="348" t="s">
        <v>17</v>
      </c>
      <c r="B27" s="334">
        <v>4</v>
      </c>
    </row>
    <row r="28" spans="1:6" s="356" customFormat="1">
      <c r="A28" s="355" t="s">
        <v>18</v>
      </c>
      <c r="B28" s="355">
        <v>170698</v>
      </c>
    </row>
    <row r="29" spans="1:6">
      <c r="A29" s="355" t="s">
        <v>744</v>
      </c>
      <c r="B29" s="355">
        <v>82</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58142</v>
      </c>
    </row>
    <row r="39" spans="1:6">
      <c r="A39" s="348" t="s">
        <v>30</v>
      </c>
      <c r="B39" s="348" t="s">
        <v>31</v>
      </c>
      <c r="C39" s="334">
        <v>4729</v>
      </c>
      <c r="D39" s="334">
        <v>73940488.950000107</v>
      </c>
      <c r="E39" s="334">
        <v>7040</v>
      </c>
      <c r="F39" s="334">
        <v>24515506.949999999</v>
      </c>
    </row>
    <row r="40" spans="1:6">
      <c r="A40" s="348" t="s">
        <v>30</v>
      </c>
      <c r="B40" s="348" t="s">
        <v>29</v>
      </c>
      <c r="C40" s="334">
        <v>0</v>
      </c>
      <c r="D40" s="334">
        <v>0</v>
      </c>
      <c r="E40" s="334">
        <v>0</v>
      </c>
      <c r="F40" s="334">
        <v>0</v>
      </c>
    </row>
    <row r="41" spans="1:6">
      <c r="A41" s="348" t="s">
        <v>32</v>
      </c>
      <c r="B41" s="348" t="s">
        <v>33</v>
      </c>
      <c r="C41" s="334">
        <v>61</v>
      </c>
      <c r="D41" s="334">
        <v>1221671.8</v>
      </c>
      <c r="E41" s="334">
        <v>134</v>
      </c>
      <c r="F41" s="334">
        <v>1257596.8500000001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313184</v>
      </c>
      <c r="E44" s="334">
        <v>23</v>
      </c>
      <c r="F44" s="334">
        <v>243319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141162</v>
      </c>
      <c r="E48" s="334">
        <v>3</v>
      </c>
      <c r="F48" s="334">
        <v>288577</v>
      </c>
    </row>
    <row r="49" spans="1:6">
      <c r="A49" s="348" t="s">
        <v>32</v>
      </c>
      <c r="B49" s="348" t="s">
        <v>40</v>
      </c>
      <c r="C49" s="334">
        <v>3</v>
      </c>
      <c r="D49" s="334">
        <v>81771</v>
      </c>
      <c r="E49" s="334">
        <v>7</v>
      </c>
      <c r="F49" s="334">
        <v>50387</v>
      </c>
    </row>
    <row r="50" spans="1:6">
      <c r="A50" s="348" t="s">
        <v>32</v>
      </c>
      <c r="B50" s="348" t="s">
        <v>41</v>
      </c>
      <c r="C50" s="334">
        <v>5</v>
      </c>
      <c r="D50" s="334">
        <v>159843.54999999999</v>
      </c>
      <c r="E50" s="334">
        <v>8</v>
      </c>
      <c r="F50" s="334">
        <v>129441</v>
      </c>
    </row>
    <row r="51" spans="1:6">
      <c r="A51" s="348" t="s">
        <v>42</v>
      </c>
      <c r="B51" s="348" t="s">
        <v>43</v>
      </c>
      <c r="C51" s="334">
        <v>8</v>
      </c>
      <c r="D51" s="334">
        <v>102732</v>
      </c>
      <c r="E51" s="334">
        <v>70</v>
      </c>
      <c r="F51" s="334">
        <v>1552361</v>
      </c>
    </row>
    <row r="52" spans="1:6">
      <c r="A52" s="348" t="s">
        <v>42</v>
      </c>
      <c r="B52" s="348" t="s">
        <v>29</v>
      </c>
      <c r="C52" s="334">
        <v>0</v>
      </c>
      <c r="D52" s="334">
        <v>0</v>
      </c>
      <c r="E52" s="334">
        <v>0</v>
      </c>
      <c r="F52" s="334">
        <v>0</v>
      </c>
    </row>
    <row r="53" spans="1:6">
      <c r="A53" s="348" t="s">
        <v>44</v>
      </c>
      <c r="B53" s="348" t="s">
        <v>45</v>
      </c>
      <c r="C53" s="334">
        <v>63</v>
      </c>
      <c r="D53" s="334">
        <v>2039939.85</v>
      </c>
      <c r="E53" s="334">
        <v>135</v>
      </c>
      <c r="F53" s="334">
        <v>810439.85</v>
      </c>
    </row>
    <row r="54" spans="1:6">
      <c r="A54" s="348" t="s">
        <v>46</v>
      </c>
      <c r="B54" s="348" t="s">
        <v>47</v>
      </c>
      <c r="C54" s="334">
        <v>0</v>
      </c>
      <c r="D54" s="334">
        <v>0</v>
      </c>
      <c r="E54" s="334">
        <v>3</v>
      </c>
      <c r="F54" s="334">
        <v>1145178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2008113</v>
      </c>
      <c r="E57" s="334">
        <v>151</v>
      </c>
      <c r="F57" s="334">
        <v>2987541.73</v>
      </c>
    </row>
    <row r="58" spans="1:6">
      <c r="A58" s="348" t="s">
        <v>49</v>
      </c>
      <c r="B58" s="348" t="s">
        <v>51</v>
      </c>
      <c r="C58" s="334">
        <v>46</v>
      </c>
      <c r="D58" s="334">
        <v>3944491.571</v>
      </c>
      <c r="E58" s="334">
        <v>58</v>
      </c>
      <c r="F58" s="334">
        <v>1341869.78</v>
      </c>
    </row>
    <row r="59" spans="1:6">
      <c r="A59" s="348" t="s">
        <v>49</v>
      </c>
      <c r="B59" s="348" t="s">
        <v>52</v>
      </c>
      <c r="C59" s="334">
        <v>95</v>
      </c>
      <c r="D59" s="334">
        <v>3689800</v>
      </c>
      <c r="E59" s="334">
        <v>178</v>
      </c>
      <c r="F59" s="334">
        <v>4754935.4000000004</v>
      </c>
    </row>
    <row r="60" spans="1:6">
      <c r="A60" s="348" t="s">
        <v>49</v>
      </c>
      <c r="B60" s="348" t="s">
        <v>53</v>
      </c>
      <c r="C60" s="334">
        <v>40</v>
      </c>
      <c r="D60" s="334">
        <v>2398764</v>
      </c>
      <c r="E60" s="334">
        <v>58</v>
      </c>
      <c r="F60" s="334">
        <v>1802055</v>
      </c>
    </row>
    <row r="61" spans="1:6">
      <c r="A61" s="348" t="s">
        <v>49</v>
      </c>
      <c r="B61" s="348" t="s">
        <v>54</v>
      </c>
      <c r="C61" s="334">
        <v>160</v>
      </c>
      <c r="D61" s="334">
        <v>4390267.6500000004</v>
      </c>
      <c r="E61" s="334">
        <v>254</v>
      </c>
      <c r="F61" s="334">
        <v>2457179.35</v>
      </c>
    </row>
    <row r="62" spans="1:6">
      <c r="A62" s="348" t="s">
        <v>49</v>
      </c>
      <c r="B62" s="348" t="s">
        <v>55</v>
      </c>
      <c r="C62" s="334">
        <v>17</v>
      </c>
      <c r="D62" s="334">
        <v>3693997.926</v>
      </c>
      <c r="E62" s="334">
        <v>24</v>
      </c>
      <c r="F62" s="334">
        <v>1361331.743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98900</v>
      </c>
      <c r="E65" s="334">
        <v>0</v>
      </c>
      <c r="F65" s="334">
        <v>0</v>
      </c>
    </row>
    <row r="66" spans="1:6">
      <c r="A66" s="348" t="s">
        <v>56</v>
      </c>
      <c r="B66" s="348" t="s">
        <v>58</v>
      </c>
      <c r="C66" s="334">
        <v>0</v>
      </c>
      <c r="D66" s="334">
        <v>0</v>
      </c>
      <c r="E66" s="334">
        <v>7</v>
      </c>
      <c r="F66" s="334">
        <v>70684.176000000007</v>
      </c>
    </row>
    <row r="67" spans="1:6">
      <c r="A67" s="355" t="s">
        <v>56</v>
      </c>
      <c r="B67" s="355" t="s">
        <v>59</v>
      </c>
      <c r="C67" s="334">
        <v>0</v>
      </c>
      <c r="D67" s="334">
        <v>0</v>
      </c>
      <c r="E67" s="334">
        <v>0</v>
      </c>
      <c r="F67" s="334">
        <v>0</v>
      </c>
    </row>
    <row r="68" spans="1:6">
      <c r="A68" s="341" t="s">
        <v>56</v>
      </c>
      <c r="B68" s="341" t="s">
        <v>60</v>
      </c>
      <c r="C68" s="334">
        <v>0</v>
      </c>
      <c r="D68" s="334">
        <v>0</v>
      </c>
      <c r="E68" s="334">
        <v>8</v>
      </c>
      <c r="F68" s="334">
        <v>103607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38406947</v>
      </c>
      <c r="E73" s="476">
        <v>38854571.112193324</v>
      </c>
    </row>
    <row r="74" spans="1:6">
      <c r="A74" s="348" t="s">
        <v>64</v>
      </c>
      <c r="B74" s="348" t="s">
        <v>657</v>
      </c>
      <c r="C74" s="1272" t="s">
        <v>659</v>
      </c>
      <c r="D74" s="476">
        <v>3747985.8338230643</v>
      </c>
      <c r="E74" s="476">
        <v>3800770.8510518023</v>
      </c>
    </row>
    <row r="75" spans="1:6">
      <c r="A75" s="348" t="s">
        <v>65</v>
      </c>
      <c r="B75" s="348" t="s">
        <v>656</v>
      </c>
      <c r="C75" s="1272" t="s">
        <v>660</v>
      </c>
      <c r="D75" s="476">
        <v>23416127</v>
      </c>
      <c r="E75" s="476">
        <v>23718035.638614967</v>
      </c>
    </row>
    <row r="76" spans="1:6">
      <c r="A76" s="348" t="s">
        <v>65</v>
      </c>
      <c r="B76" s="348" t="s">
        <v>657</v>
      </c>
      <c r="C76" s="1272" t="s">
        <v>661</v>
      </c>
      <c r="D76" s="476">
        <v>365793.83382306417</v>
      </c>
      <c r="E76" s="476">
        <v>375205.84012157499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457584.33235387166</v>
      </c>
      <c r="C83" s="476">
        <v>467902.36744317284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6259.7835471310082</v>
      </c>
    </row>
    <row r="92" spans="1:6">
      <c r="A92" s="341" t="s">
        <v>69</v>
      </c>
      <c r="B92" s="342">
        <v>974.76106008324086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26</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50171.384752291546</v>
      </c>
      <c r="C3" s="43" t="s">
        <v>170</v>
      </c>
      <c r="D3" s="43"/>
      <c r="E3" s="154"/>
      <c r="F3" s="43"/>
      <c r="G3" s="43"/>
      <c r="H3" s="43"/>
      <c r="I3" s="43"/>
      <c r="J3" s="43"/>
      <c r="K3" s="96"/>
    </row>
    <row r="4" spans="1:11">
      <c r="A4" s="383" t="s">
        <v>171</v>
      </c>
      <c r="B4" s="49">
        <f>IF(ISERROR('SEAP template'!B69),0,'SEAP template'!B69)</f>
        <v>7234.5446072142495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0.18913254475458097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1145.1780000000001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1145.1780000000001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0.18913254475458097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216.59042933696153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24515.506949999999</v>
      </c>
      <c r="C5" s="17">
        <f>IF(ISERROR('Eigen informatie GS &amp; warmtenet'!B57),0,'Eigen informatie GS &amp; warmtenet'!B57)</f>
        <v>0</v>
      </c>
      <c r="D5" s="30">
        <f>(SUM(HH_hh_gas_kWh,HH_rest_gas_kWh)/1000)*0.902</f>
        <v>66694.321032900087</v>
      </c>
      <c r="E5" s="17">
        <f>B46*B57</f>
        <v>5737.6930715992421</v>
      </c>
      <c r="F5" s="17">
        <f>B51*B62</f>
        <v>17277.842504532928</v>
      </c>
      <c r="G5" s="18"/>
      <c r="H5" s="17"/>
      <c r="I5" s="17"/>
      <c r="J5" s="17">
        <f>B50*B61+C50*C61</f>
        <v>0</v>
      </c>
      <c r="K5" s="17"/>
      <c r="L5" s="17"/>
      <c r="M5" s="17"/>
      <c r="N5" s="17">
        <f>B48*B59+C48*C59</f>
        <v>18599.905214982598</v>
      </c>
      <c r="O5" s="17">
        <f>B69*B70*B71</f>
        <v>529.97</v>
      </c>
      <c r="P5" s="17">
        <f>B77*B78*B79/1000-B77*B78*B79/1000/B80</f>
        <v>1201.2</v>
      </c>
    </row>
    <row r="6" spans="1:16">
      <c r="A6" s="16" t="s">
        <v>621</v>
      </c>
      <c r="B6" s="843">
        <f>kWh_PV_kleiner_dan_10kW</f>
        <v>6259.7835471310082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30775.290497131005</v>
      </c>
      <c r="C8" s="21">
        <f>C5</f>
        <v>0</v>
      </c>
      <c r="D8" s="21">
        <f>D5</f>
        <v>66694.321032900087</v>
      </c>
      <c r="E8" s="21">
        <f>E5</f>
        <v>5737.6930715992421</v>
      </c>
      <c r="F8" s="21">
        <f>F5</f>
        <v>17277.842504532928</v>
      </c>
      <c r="G8" s="21"/>
      <c r="H8" s="21"/>
      <c r="I8" s="21"/>
      <c r="J8" s="21">
        <f>J5</f>
        <v>0</v>
      </c>
      <c r="K8" s="21"/>
      <c r="L8" s="21">
        <f>L5</f>
        <v>0</v>
      </c>
      <c r="M8" s="21">
        <f>M5</f>
        <v>0</v>
      </c>
      <c r="N8" s="21">
        <f>N5</f>
        <v>18599.905214982598</v>
      </c>
      <c r="O8" s="21">
        <f>O5</f>
        <v>529.97</v>
      </c>
      <c r="P8" s="21">
        <f>P5</f>
        <v>1201.2</v>
      </c>
    </row>
    <row r="9" spans="1:16">
      <c r="B9" s="19"/>
      <c r="C9" s="19"/>
      <c r="D9" s="258"/>
      <c r="E9" s="19"/>
      <c r="F9" s="19"/>
      <c r="G9" s="19"/>
      <c r="H9" s="19"/>
      <c r="I9" s="19"/>
      <c r="J9" s="19"/>
      <c r="K9" s="19"/>
      <c r="L9" s="19"/>
      <c r="M9" s="19"/>
      <c r="N9" s="19"/>
      <c r="O9" s="19"/>
      <c r="P9" s="19"/>
    </row>
    <row r="10" spans="1:16">
      <c r="A10" s="24" t="s">
        <v>214</v>
      </c>
      <c r="B10" s="25">
        <f ca="1">'EF ele_warmte'!B12</f>
        <v>0.18913254475458097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5820.6090072838606</v>
      </c>
      <c r="C12" s="23">
        <f ca="1">C10*C8</f>
        <v>0</v>
      </c>
      <c r="D12" s="23">
        <f>D8*D10</f>
        <v>13472.252848645818</v>
      </c>
      <c r="E12" s="23">
        <f>E10*E8</f>
        <v>1302.4563272530279</v>
      </c>
      <c r="F12" s="23">
        <f>F10*F8</f>
        <v>4613.1839487102916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7006</v>
      </c>
      <c r="C28" s="36"/>
      <c r="D28" s="228"/>
    </row>
    <row r="29" spans="1:7" s="15" customFormat="1">
      <c r="A29" s="230" t="s">
        <v>795</v>
      </c>
      <c r="B29" s="37">
        <f>SUM(HH_hh_gas_aantal,HH_rest_gas_aantal)</f>
        <v>4729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4729</v>
      </c>
      <c r="C32" s="167">
        <f>IF(ISERROR(B32/SUM($B$32,$B$34,$B$35,$B$36,$B$38,$B$39)*100),0,B32/SUM($B$32,$B$34,$B$35,$B$36,$B$38,$B$39)*100)</f>
        <v>68.111767247587494</v>
      </c>
      <c r="D32" s="233"/>
      <c r="G32" s="15"/>
    </row>
    <row r="33" spans="1:7">
      <c r="A33" s="171" t="s">
        <v>72</v>
      </c>
      <c r="B33" s="34" t="s">
        <v>111</v>
      </c>
      <c r="C33" s="167"/>
      <c r="D33" s="233"/>
      <c r="G33" s="15"/>
    </row>
    <row r="34" spans="1:7">
      <c r="A34" s="171" t="s">
        <v>73</v>
      </c>
      <c r="B34" s="33">
        <f>IF((($B$28-$B$32-$B$39-$B$77-$B$38)*C20/100)&lt;0,0,($B$28-$B$32-$B$39-$B$77-$B$38)*C20/100)</f>
        <v>270.98547008547007</v>
      </c>
      <c r="C34" s="167">
        <f>IF(ISERROR(B34/SUM($B$32,$B$34,$B$35,$B$36,$B$38,$B$39)*100),0,B34/SUM($B$32,$B$34,$B$35,$B$36,$B$38,$B$39)*100)</f>
        <v>3.9030025937702733</v>
      </c>
      <c r="D34" s="233"/>
      <c r="G34" s="15"/>
    </row>
    <row r="35" spans="1:7">
      <c r="A35" s="171" t="s">
        <v>74</v>
      </c>
      <c r="B35" s="33">
        <f>IF((($B$28-$B$32-$B$39-$B$77-$B$38)*C21/100)&lt;0,0,($B$28-$B$32-$B$39-$B$77-$B$38)*C21/100)</f>
        <v>1017.8478632478632</v>
      </c>
      <c r="C35" s="167">
        <f>IF(ISERROR(B35/SUM($B$32,$B$34,$B$35,$B$36,$B$38,$B$39)*100),0,B35/SUM($B$32,$B$34,$B$35,$B$36,$B$38,$B$39)*100)</f>
        <v>14.660058522942002</v>
      </c>
      <c r="D35" s="233"/>
      <c r="G35" s="15"/>
    </row>
    <row r="36" spans="1:7">
      <c r="A36" s="171" t="s">
        <v>75</v>
      </c>
      <c r="B36" s="33">
        <f>IF((($B$28-$B$32-$B$39-$B$77-$B$38)*C22/100)&lt;0,0,($B$28-$B$32-$B$39-$B$77-$B$38)*C22/100)</f>
        <v>257.76666666666659</v>
      </c>
      <c r="C36" s="167">
        <f>IF(ISERROR(B36/SUM($B$32,$B$34,$B$35,$B$36,$B$38,$B$39)*100),0,B36/SUM($B$32,$B$34,$B$35,$B$36,$B$38,$B$39)*100)</f>
        <v>3.7126122233424539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667.40000000000009</v>
      </c>
      <c r="C39" s="167">
        <f>IF(ISERROR(B39/SUM($B$32,$B$34,$B$35,$B$36,$B$38,$B$39)*100),0,B39/SUM($B$32,$B$34,$B$35,$B$36,$B$38,$B$39)*100)</f>
        <v>9.612559412357772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4729</v>
      </c>
      <c r="C44" s="34" t="s">
        <v>111</v>
      </c>
      <c r="D44" s="174"/>
    </row>
    <row r="45" spans="1:7">
      <c r="A45" s="171" t="s">
        <v>72</v>
      </c>
      <c r="B45" s="33" t="str">
        <f t="shared" si="0"/>
        <v>-</v>
      </c>
      <c r="C45" s="34" t="s">
        <v>111</v>
      </c>
      <c r="D45" s="174"/>
    </row>
    <row r="46" spans="1:7">
      <c r="A46" s="171" t="s">
        <v>73</v>
      </c>
      <c r="B46" s="33">
        <f t="shared" si="0"/>
        <v>270.98547008547007</v>
      </c>
      <c r="C46" s="34" t="s">
        <v>111</v>
      </c>
      <c r="D46" s="174"/>
    </row>
    <row r="47" spans="1:7">
      <c r="A47" s="171" t="s">
        <v>74</v>
      </c>
      <c r="B47" s="33">
        <f t="shared" si="0"/>
        <v>1017.8478632478632</v>
      </c>
      <c r="C47" s="34" t="s">
        <v>111</v>
      </c>
      <c r="D47" s="174"/>
    </row>
    <row r="48" spans="1:7">
      <c r="A48" s="171" t="s">
        <v>75</v>
      </c>
      <c r="B48" s="33">
        <f t="shared" si="0"/>
        <v>257.76666666666659</v>
      </c>
      <c r="C48" s="33">
        <f>B48*10</f>
        <v>2577.6666666666661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667.40000000000009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14704.913003000003</v>
      </c>
      <c r="C5" s="17">
        <f>IF(ISERROR('Eigen informatie GS &amp; warmtenet'!B58),0,'Eigen informatie GS &amp; warmtenet'!B58)</f>
        <v>0</v>
      </c>
      <c r="D5" s="30">
        <f>SUM(D6:D12)</f>
        <v>18153.141600594001</v>
      </c>
      <c r="E5" s="17">
        <f>SUM(E6:E12)</f>
        <v>222.46680947435161</v>
      </c>
      <c r="F5" s="17">
        <f>SUM(F6:F12)</f>
        <v>2732.8333410113664</v>
      </c>
      <c r="G5" s="18"/>
      <c r="H5" s="17"/>
      <c r="I5" s="17"/>
      <c r="J5" s="17">
        <f>SUM(J6:J12)</f>
        <v>6.4847820118077659E-2</v>
      </c>
      <c r="K5" s="17"/>
      <c r="L5" s="17"/>
      <c r="M5" s="17"/>
      <c r="N5" s="17">
        <f>SUM(N6:N12)</f>
        <v>2570.989053655363</v>
      </c>
      <c r="O5" s="17">
        <f>B38*B39*B40</f>
        <v>0</v>
      </c>
      <c r="P5" s="17">
        <f>B46*B47*B48/1000-B46*B47*B48/1000/B49</f>
        <v>19.066666666666666</v>
      </c>
      <c r="R5" s="32"/>
    </row>
    <row r="6" spans="1:18">
      <c r="A6" s="32" t="s">
        <v>54</v>
      </c>
      <c r="B6" s="37">
        <f>B26</f>
        <v>2457.1793499999999</v>
      </c>
      <c r="C6" s="33"/>
      <c r="D6" s="37">
        <f>IF(ISERROR(TER_kantoor_gas_kWh/1000),0,TER_kantoor_gas_kWh/1000)*0.902</f>
        <v>3960.0214203000005</v>
      </c>
      <c r="E6" s="33">
        <f>$C$26*'E Balans VL '!I12/100/3.6*1000000</f>
        <v>1.5400782920751485E-2</v>
      </c>
      <c r="F6" s="33">
        <f>$C$26*('E Balans VL '!L12+'E Balans VL '!N12)/100/3.6*1000000</f>
        <v>369.24539616558513</v>
      </c>
      <c r="G6" s="34"/>
      <c r="H6" s="33"/>
      <c r="I6" s="33"/>
      <c r="J6" s="33">
        <f>$C$26*('E Balans VL '!D12+'E Balans VL '!E12)/100/3.6*1000000</f>
        <v>0</v>
      </c>
      <c r="K6" s="33"/>
      <c r="L6" s="33"/>
      <c r="M6" s="33"/>
      <c r="N6" s="33">
        <f>$C$26*'E Balans VL '!Y12/100/3.6*1000000</f>
        <v>2.3499277314547165</v>
      </c>
      <c r="O6" s="33"/>
      <c r="P6" s="33"/>
      <c r="R6" s="32"/>
    </row>
    <row r="7" spans="1:18">
      <c r="A7" s="32" t="s">
        <v>53</v>
      </c>
      <c r="B7" s="37">
        <f t="shared" ref="B7:B12" si="0">B27</f>
        <v>1802.0550000000001</v>
      </c>
      <c r="C7" s="33"/>
      <c r="D7" s="37">
        <f>IF(ISERROR(TER_horeca_gas_kWh/1000),0,TER_horeca_gas_kWh/1000)*0.902</f>
        <v>2163.6851280000001</v>
      </c>
      <c r="E7" s="33">
        <f>$C$27*'E Balans VL '!I9/100/3.6*1000000</f>
        <v>25.80512743493794</v>
      </c>
      <c r="F7" s="33">
        <f>$C$27*('E Balans VL '!L9+'E Balans VL '!N9)/100/3.6*1000000</f>
        <v>228.19959706364861</v>
      </c>
      <c r="G7" s="34"/>
      <c r="H7" s="33"/>
      <c r="I7" s="33"/>
      <c r="J7" s="33">
        <f>$C$27*('E Balans VL '!D9+'E Balans VL '!E9)/100/3.6*1000000</f>
        <v>0</v>
      </c>
      <c r="K7" s="33"/>
      <c r="L7" s="33"/>
      <c r="M7" s="33"/>
      <c r="N7" s="33">
        <f>$C$27*'E Balans VL '!Y9/100/3.6*1000000</f>
        <v>0.51805108059782312</v>
      </c>
      <c r="O7" s="33"/>
      <c r="P7" s="33"/>
      <c r="R7" s="32"/>
    </row>
    <row r="8" spans="1:18">
      <c r="A8" s="6" t="s">
        <v>52</v>
      </c>
      <c r="B8" s="37">
        <f t="shared" si="0"/>
        <v>4754.9354000000003</v>
      </c>
      <c r="C8" s="33"/>
      <c r="D8" s="37">
        <f>IF(ISERROR(TER_handel_gas_kWh/1000),0,TER_handel_gas_kWh/1000)*0.902</f>
        <v>3328.1996000000004</v>
      </c>
      <c r="E8" s="33">
        <f>$C$28*'E Balans VL '!I13/100/3.6*1000000</f>
        <v>172.46092060563601</v>
      </c>
      <c r="F8" s="33">
        <f>$C$28*('E Balans VL '!L13+'E Balans VL '!N13)/100/3.6*1000000</f>
        <v>915.84870482200188</v>
      </c>
      <c r="G8" s="34"/>
      <c r="H8" s="33"/>
      <c r="I8" s="33"/>
      <c r="J8" s="33">
        <f>$C$28*('E Balans VL '!D13+'E Balans VL '!E13)/100/3.6*1000000</f>
        <v>0</v>
      </c>
      <c r="K8" s="33"/>
      <c r="L8" s="33"/>
      <c r="M8" s="33"/>
      <c r="N8" s="33">
        <f>$C$28*'E Balans VL '!Y13/100/3.6*1000000</f>
        <v>6.5866795908418458</v>
      </c>
      <c r="O8" s="33"/>
      <c r="P8" s="33"/>
      <c r="R8" s="32"/>
    </row>
    <row r="9" spans="1:18">
      <c r="A9" s="32" t="s">
        <v>51</v>
      </c>
      <c r="B9" s="37">
        <f t="shared" si="0"/>
        <v>1341.86978</v>
      </c>
      <c r="C9" s="33"/>
      <c r="D9" s="37">
        <f>IF(ISERROR(TER_gezond_gas_kWh/1000),0,TER_gezond_gas_kWh/1000)*0.902</f>
        <v>3557.9313970420003</v>
      </c>
      <c r="E9" s="33">
        <f>$C$29*'E Balans VL '!I10/100/3.6*1000000</f>
        <v>8.4014296798584825E-2</v>
      </c>
      <c r="F9" s="33">
        <f>$C$29*('E Balans VL '!L10+'E Balans VL '!N10)/100/3.6*1000000</f>
        <v>199.33884142338769</v>
      </c>
      <c r="G9" s="34"/>
      <c r="H9" s="33"/>
      <c r="I9" s="33"/>
      <c r="J9" s="33">
        <f>$C$29*('E Balans VL '!D10+'E Balans VL '!E10)/100/3.6*1000000</f>
        <v>0</v>
      </c>
      <c r="K9" s="33"/>
      <c r="L9" s="33"/>
      <c r="M9" s="33"/>
      <c r="N9" s="33">
        <f>$C$29*'E Balans VL '!Y10/100/3.6*1000000</f>
        <v>20.756171236405848</v>
      </c>
      <c r="O9" s="33"/>
      <c r="P9" s="33"/>
      <c r="R9" s="32"/>
    </row>
    <row r="10" spans="1:18">
      <c r="A10" s="32" t="s">
        <v>50</v>
      </c>
      <c r="B10" s="37">
        <f t="shared" si="0"/>
        <v>2987.5417299999999</v>
      </c>
      <c r="C10" s="33"/>
      <c r="D10" s="37">
        <f>IF(ISERROR(TER_ander_gas_kWh/1000),0,TER_ander_gas_kWh/1000)*0.902</f>
        <v>1811.3179260000002</v>
      </c>
      <c r="E10" s="33">
        <f>$C$30*'E Balans VL '!I14/100/3.6*1000000</f>
        <v>3.5610429854572834</v>
      </c>
      <c r="F10" s="33">
        <f>$C$30*('E Balans VL '!L14+'E Balans VL '!N14)/100/3.6*1000000</f>
        <v>781.67373224155551</v>
      </c>
      <c r="G10" s="34"/>
      <c r="H10" s="33"/>
      <c r="I10" s="33"/>
      <c r="J10" s="33">
        <f>$C$30*('E Balans VL '!D14+'E Balans VL '!E14)/100/3.6*1000000</f>
        <v>6.4847820118077659E-2</v>
      </c>
      <c r="K10" s="33"/>
      <c r="L10" s="33"/>
      <c r="M10" s="33"/>
      <c r="N10" s="33">
        <f>$C$30*'E Balans VL '!Y14/100/3.6*1000000</f>
        <v>2536.9473329988805</v>
      </c>
      <c r="O10" s="33"/>
      <c r="P10" s="33"/>
      <c r="R10" s="32"/>
    </row>
    <row r="11" spans="1:18">
      <c r="A11" s="32" t="s">
        <v>55</v>
      </c>
      <c r="B11" s="37">
        <f t="shared" si="0"/>
        <v>1361.331743</v>
      </c>
      <c r="C11" s="33"/>
      <c r="D11" s="37">
        <f>IF(ISERROR(TER_onderwijs_gas_kWh/1000),0,TER_onderwijs_gas_kWh/1000)*0.902</f>
        <v>3331.986129252</v>
      </c>
      <c r="E11" s="33">
        <f>$C$31*'E Balans VL '!I11/100/3.6*1000000</f>
        <v>20.540303368601069</v>
      </c>
      <c r="F11" s="33">
        <f>$C$31*('E Balans VL '!L11+'E Balans VL '!N11)/100/3.6*1000000</f>
        <v>238.5270692951878</v>
      </c>
      <c r="G11" s="34"/>
      <c r="H11" s="33"/>
      <c r="I11" s="33"/>
      <c r="J11" s="33">
        <f>$C$31*('E Balans VL '!D11+'E Balans VL '!E11)/100/3.6*1000000</f>
        <v>0</v>
      </c>
      <c r="K11" s="33"/>
      <c r="L11" s="33"/>
      <c r="M11" s="33"/>
      <c r="N11" s="33">
        <f>$C$31*'E Balans VL '!Y11/100/3.6*1000000</f>
        <v>3.8308910171822865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14704.913003000003</v>
      </c>
      <c r="C16" s="21">
        <f t="shared" ca="1" si="1"/>
        <v>0</v>
      </c>
      <c r="D16" s="21">
        <f t="shared" ca="1" si="1"/>
        <v>18153.141600594001</v>
      </c>
      <c r="E16" s="21">
        <f t="shared" si="1"/>
        <v>222.46680947435161</v>
      </c>
      <c r="F16" s="21">
        <f t="shared" ca="1" si="1"/>
        <v>2732.8333410113664</v>
      </c>
      <c r="G16" s="21">
        <f t="shared" si="1"/>
        <v>0</v>
      </c>
      <c r="H16" s="21">
        <f t="shared" si="1"/>
        <v>0</v>
      </c>
      <c r="I16" s="21">
        <f t="shared" si="1"/>
        <v>0</v>
      </c>
      <c r="J16" s="21">
        <f t="shared" si="1"/>
        <v>6.4847820118077659E-2</v>
      </c>
      <c r="K16" s="21">
        <f t="shared" si="1"/>
        <v>0</v>
      </c>
      <c r="L16" s="21">
        <f t="shared" ca="1" si="1"/>
        <v>0</v>
      </c>
      <c r="M16" s="21">
        <f t="shared" si="1"/>
        <v>0</v>
      </c>
      <c r="N16" s="21">
        <f t="shared" ca="1" si="1"/>
        <v>2570.989053655363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0.18913254475458097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2781.1776166521176</v>
      </c>
      <c r="C20" s="23">
        <f t="shared" ref="C20:P20" ca="1" si="2">C16*C18</f>
        <v>0</v>
      </c>
      <c r="D20" s="23">
        <f t="shared" ca="1" si="2"/>
        <v>3666.9346033199886</v>
      </c>
      <c r="E20" s="23">
        <f t="shared" si="2"/>
        <v>50.499965750677816</v>
      </c>
      <c r="F20" s="23">
        <f t="shared" ca="1" si="2"/>
        <v>729.66650205003486</v>
      </c>
      <c r="G20" s="23">
        <f t="shared" si="2"/>
        <v>0</v>
      </c>
      <c r="H20" s="23">
        <f t="shared" si="2"/>
        <v>0</v>
      </c>
      <c r="I20" s="23">
        <f t="shared" si="2"/>
        <v>0</v>
      </c>
      <c r="J20" s="23">
        <f t="shared" si="2"/>
        <v>2.2956128321799489E-2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2457.1793499999999</v>
      </c>
      <c r="C26" s="39">
        <f>IF(ISERROR(B26*3.6/1000000/'E Balans VL '!Z12*100),0,B26*3.6/1000000/'E Balans VL '!Z12*100)</f>
        <v>5.194087897249372E-2</v>
      </c>
      <c r="D26" s="237" t="s">
        <v>754</v>
      </c>
      <c r="F26" s="6"/>
    </row>
    <row r="27" spans="1:18">
      <c r="A27" s="231" t="s">
        <v>53</v>
      </c>
      <c r="B27" s="33">
        <f>IF(ISERROR(TER_horeca_ele_kWh/1000),0,TER_horeca_ele_kWh/1000)</f>
        <v>1802.0550000000001</v>
      </c>
      <c r="C27" s="39">
        <f>IF(ISERROR(B27*3.6/1000000/'E Balans VL '!Z9*100),0,B27*3.6/1000000/'E Balans VL '!Z9*100)</f>
        <v>0.14205532398981199</v>
      </c>
      <c r="D27" s="237" t="s">
        <v>754</v>
      </c>
      <c r="F27" s="6"/>
    </row>
    <row r="28" spans="1:18">
      <c r="A28" s="171" t="s">
        <v>52</v>
      </c>
      <c r="B28" s="33">
        <f>IF(ISERROR(TER_handel_ele_kWh/1000),0,TER_handel_ele_kWh/1000)</f>
        <v>4754.9354000000003</v>
      </c>
      <c r="C28" s="39">
        <f>IF(ISERROR(B28*3.6/1000000/'E Balans VL '!Z13*100),0,B28*3.6/1000000/'E Balans VL '!Z13*100)</f>
        <v>0.13800743739984819</v>
      </c>
      <c r="D28" s="237" t="s">
        <v>754</v>
      </c>
      <c r="F28" s="6"/>
    </row>
    <row r="29" spans="1:18">
      <c r="A29" s="231" t="s">
        <v>51</v>
      </c>
      <c r="B29" s="33">
        <f>IF(ISERROR(TER_gezond_ele_kWh/1000),0,TER_gezond_ele_kWh/1000)</f>
        <v>1341.86978</v>
      </c>
      <c r="C29" s="39">
        <f>IF(ISERROR(B29*3.6/1000000/'E Balans VL '!Z10*100),0,B29*3.6/1000000/'E Balans VL '!Z10*100)</f>
        <v>0.14132092191740223</v>
      </c>
      <c r="D29" s="237" t="s">
        <v>754</v>
      </c>
      <c r="F29" s="6"/>
    </row>
    <row r="30" spans="1:18">
      <c r="A30" s="231" t="s">
        <v>50</v>
      </c>
      <c r="B30" s="33">
        <f>IF(ISERROR(TER_ander_ele_kWh/1000),0,TER_ander_ele_kWh/1000)</f>
        <v>2987.5417299999999</v>
      </c>
      <c r="C30" s="39">
        <f>IF(ISERROR(B30*3.6/1000000/'E Balans VL '!Z14*100),0,B30*3.6/1000000/'E Balans VL '!Z14*100)</f>
        <v>0.22036172689563596</v>
      </c>
      <c r="D30" s="237" t="s">
        <v>754</v>
      </c>
      <c r="F30" s="6"/>
    </row>
    <row r="31" spans="1:18">
      <c r="A31" s="231" t="s">
        <v>55</v>
      </c>
      <c r="B31" s="33">
        <f>IF(ISERROR(TER_onderwijs_ele_kWh/1000),0,TER_onderwijs_ele_kWh/1000)</f>
        <v>1361.331743</v>
      </c>
      <c r="C31" s="39">
        <f>IF(ISERROR(B31*3.6/1000000/'E Balans VL '!Z11*100),0,B31*3.6/1000000/'E Balans VL '!Z11*100)</f>
        <v>0.33808244032120244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1969.3208500000001</v>
      </c>
      <c r="C5" s="17">
        <f>IF(ISERROR('Eigen informatie GS &amp; warmtenet'!B59),0,'Eigen informatie GS &amp; warmtenet'!B59)</f>
        <v>0</v>
      </c>
      <c r="D5" s="30">
        <f>SUM(D6:D15)</f>
        <v>1729.7043797000001</v>
      </c>
      <c r="E5" s="17">
        <f>SUM(E6:E15)</f>
        <v>386.21465515363121</v>
      </c>
      <c r="F5" s="17">
        <f>SUM(F6:F15)</f>
        <v>1103.8684093738482</v>
      </c>
      <c r="G5" s="18"/>
      <c r="H5" s="17"/>
      <c r="I5" s="17"/>
      <c r="J5" s="17">
        <f>SUM(J6:J15)</f>
        <v>1.0331001725271867</v>
      </c>
      <c r="K5" s="17"/>
      <c r="L5" s="17"/>
      <c r="M5" s="17"/>
      <c r="N5" s="17">
        <f>SUM(N6:N15)</f>
        <v>495.4449118043234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243.31899999999999</v>
      </c>
      <c r="C8" s="33"/>
      <c r="D8" s="37">
        <f>IF( ISERROR(IND_metaal_Gas_kWH/1000),0,IND_metaal_Gas_kWH/1000)*0.902</f>
        <v>282.49196800000004</v>
      </c>
      <c r="E8" s="33">
        <f>C30*'E Balans VL '!I18/100/3.6*1000000</f>
        <v>2.2370832052749461</v>
      </c>
      <c r="F8" s="33">
        <f>C30*'E Balans VL '!L18/100/3.6*1000000+C30*'E Balans VL '!N18/100/3.6*1000000</f>
        <v>22.815221290478799</v>
      </c>
      <c r="G8" s="34"/>
      <c r="H8" s="33"/>
      <c r="I8" s="33"/>
      <c r="J8" s="40">
        <f>C30*'E Balans VL '!D18/100/3.6*1000000+C30*'E Balans VL '!E18/100/3.6*1000000</f>
        <v>0</v>
      </c>
      <c r="K8" s="33"/>
      <c r="L8" s="33"/>
      <c r="M8" s="33"/>
      <c r="N8" s="33">
        <f>C30*'E Balans VL '!Y18/100/3.6*1000000</f>
        <v>3.4713476365804188</v>
      </c>
      <c r="O8" s="33"/>
      <c r="P8" s="33"/>
      <c r="R8" s="32"/>
    </row>
    <row r="9" spans="1:18">
      <c r="A9" s="6" t="s">
        <v>33</v>
      </c>
      <c r="B9" s="37">
        <f t="shared" si="0"/>
        <v>1257.5968500000001</v>
      </c>
      <c r="C9" s="33"/>
      <c r="D9" s="37">
        <f>IF( ISERROR(IND_andere_gas_kWh/1000),0,IND_andere_gas_kWh/1000)*0.902</f>
        <v>1101.9479636000001</v>
      </c>
      <c r="E9" s="33">
        <f>C31*'E Balans VL '!I19/100/3.6*1000000</f>
        <v>367.62004177797263</v>
      </c>
      <c r="F9" s="33">
        <f>C31*'E Balans VL '!L19/100/3.6*1000000+C31*'E Balans VL '!N19/100/3.6*1000000</f>
        <v>1010.5742603098016</v>
      </c>
      <c r="G9" s="34"/>
      <c r="H9" s="33"/>
      <c r="I9" s="33"/>
      <c r="J9" s="40">
        <f>C31*'E Balans VL '!D19/100/3.6*1000000+C31*'E Balans VL '!E19/100/3.6*1000000</f>
        <v>0</v>
      </c>
      <c r="K9" s="33"/>
      <c r="L9" s="33"/>
      <c r="M9" s="33"/>
      <c r="N9" s="33">
        <f>C31*'E Balans VL '!Y19/100/3.6*1000000</f>
        <v>415.52950318431277</v>
      </c>
      <c r="O9" s="33"/>
      <c r="P9" s="33"/>
      <c r="R9" s="32"/>
    </row>
    <row r="10" spans="1:18">
      <c r="A10" s="6" t="s">
        <v>41</v>
      </c>
      <c r="B10" s="37">
        <f t="shared" si="0"/>
        <v>129.441</v>
      </c>
      <c r="C10" s="33"/>
      <c r="D10" s="37">
        <f>IF( ISERROR(IND_voed_gas_kWh/1000),0,IND_voed_gas_kWh/1000)*0.902</f>
        <v>144.17888210000001</v>
      </c>
      <c r="E10" s="33">
        <f>C32*'E Balans VL '!I20/100/3.6*1000000</f>
        <v>0.27383444250647571</v>
      </c>
      <c r="F10" s="33">
        <f>C32*'E Balans VL '!L20/100/3.6*1000000+C32*'E Balans VL '!N20/100/3.6*1000000</f>
        <v>8.2299910001042047</v>
      </c>
      <c r="G10" s="34"/>
      <c r="H10" s="33"/>
      <c r="I10" s="33"/>
      <c r="J10" s="40">
        <f>C32*'E Balans VL '!D20/100/3.6*1000000+C32*'E Balans VL '!E20/100/3.6*1000000</f>
        <v>0</v>
      </c>
      <c r="K10" s="33"/>
      <c r="L10" s="33"/>
      <c r="M10" s="33"/>
      <c r="N10" s="33">
        <f>C32*'E Balans VL '!Y20/100/3.6*1000000</f>
        <v>8.9327063549996346</v>
      </c>
      <c r="O10" s="33"/>
      <c r="P10" s="33"/>
      <c r="R10" s="32"/>
    </row>
    <row r="11" spans="1:18">
      <c r="A11" s="6" t="s">
        <v>40</v>
      </c>
      <c r="B11" s="37">
        <f t="shared" si="0"/>
        <v>50.387</v>
      </c>
      <c r="C11" s="33"/>
      <c r="D11" s="37">
        <f>IF( ISERROR(IND_textiel_gas_kWh/1000),0,IND_textiel_gas_kWh/1000)*0.902</f>
        <v>73.757441999999998</v>
      </c>
      <c r="E11" s="33">
        <f>C33*'E Balans VL '!I21/100/3.6*1000000</f>
        <v>0.14964504580546084</v>
      </c>
      <c r="F11" s="33">
        <f>C33*'E Balans VL '!L21/100/3.6*1000000+C33*'E Balans VL '!N21/100/3.6*1000000</f>
        <v>5.0904703305737753</v>
      </c>
      <c r="G11" s="34"/>
      <c r="H11" s="33"/>
      <c r="I11" s="33"/>
      <c r="J11" s="40">
        <f>C33*'E Balans VL '!D21/100/3.6*1000000+C33*'E Balans VL '!E21/100/3.6*1000000</f>
        <v>0</v>
      </c>
      <c r="K11" s="33"/>
      <c r="L11" s="33"/>
      <c r="M11" s="33"/>
      <c r="N11" s="33">
        <f>C33*'E Balans VL '!Y21/100/3.6*1000000</f>
        <v>2.779003852766659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288.577</v>
      </c>
      <c r="C15" s="33"/>
      <c r="D15" s="37">
        <f>IF( ISERROR(IND_rest_gas_kWh/1000),0,IND_rest_gas_kWh/1000)*0.902</f>
        <v>127.328124</v>
      </c>
      <c r="E15" s="33">
        <f>C37*'E Balans VL '!I15/100/3.6*1000000</f>
        <v>15.934050682071689</v>
      </c>
      <c r="F15" s="33">
        <f>C37*'E Balans VL '!L15/100/3.6*1000000+C37*'E Balans VL '!N15/100/3.6*1000000</f>
        <v>57.158466442889988</v>
      </c>
      <c r="G15" s="34"/>
      <c r="H15" s="33"/>
      <c r="I15" s="33"/>
      <c r="J15" s="40">
        <f>C37*'E Balans VL '!D15/100/3.6*1000000+C37*'E Balans VL '!E15/100/3.6*1000000</f>
        <v>1.0331001725271867</v>
      </c>
      <c r="K15" s="33"/>
      <c r="L15" s="33"/>
      <c r="M15" s="33"/>
      <c r="N15" s="33">
        <f>C37*'E Balans VL '!Y15/100/3.6*1000000</f>
        <v>64.732350775663861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1969.3208500000001</v>
      </c>
      <c r="C18" s="21">
        <f>C5+C16</f>
        <v>0</v>
      </c>
      <c r="D18" s="21">
        <f>MAX((D5+D16),0)</f>
        <v>1729.7043797000001</v>
      </c>
      <c r="E18" s="21">
        <f>MAX((E5+E16),0)</f>
        <v>386.21465515363121</v>
      </c>
      <c r="F18" s="21">
        <f>MAX((F5+F16),0)</f>
        <v>1103.8684093738482</v>
      </c>
      <c r="G18" s="21"/>
      <c r="H18" s="21"/>
      <c r="I18" s="21"/>
      <c r="J18" s="21">
        <f>MAX((J5+J16),0)</f>
        <v>1.0331001725271867</v>
      </c>
      <c r="K18" s="21"/>
      <c r="L18" s="21">
        <f>MAX((L5+L16),0)</f>
        <v>0</v>
      </c>
      <c r="M18" s="21"/>
      <c r="N18" s="21">
        <f>MAX((N5+N16),0)</f>
        <v>495.4449118043234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0.18913254475458097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372.46266379875442</v>
      </c>
      <c r="C22" s="23">
        <f ca="1">C18*C20</f>
        <v>0</v>
      </c>
      <c r="D22" s="23">
        <f>D18*D20</f>
        <v>349.40028469940006</v>
      </c>
      <c r="E22" s="23">
        <f>E18*E20</f>
        <v>87.670726719874281</v>
      </c>
      <c r="F22" s="23">
        <f>F18*F20</f>
        <v>294.73286530281746</v>
      </c>
      <c r="G22" s="23"/>
      <c r="H22" s="23"/>
      <c r="I22" s="23"/>
      <c r="J22" s="23">
        <f>J18*J20</f>
        <v>0.36571746107462405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243.31899999999999</v>
      </c>
      <c r="C30" s="39">
        <f>IF(ISERROR(B30*3.6/1000000/'E Balans VL '!Z18*100),0,B30*3.6/1000000/'E Balans VL '!Z18*100)</f>
        <v>1.3789511640722781E-2</v>
      </c>
      <c r="D30" s="237" t="s">
        <v>754</v>
      </c>
    </row>
    <row r="31" spans="1:18">
      <c r="A31" s="6" t="s">
        <v>33</v>
      </c>
      <c r="B31" s="37">
        <f>IF( ISERROR(IND_ander_ele_kWh/1000),0,IND_ander_ele_kWh/1000)</f>
        <v>1257.5968500000001</v>
      </c>
      <c r="C31" s="39">
        <f>IF(ISERROR(B31*3.6/1000000/'E Balans VL '!Z19*100),0,B31*3.6/1000000/'E Balans VL '!Z19*100)</f>
        <v>5.7039356573857024E-2</v>
      </c>
      <c r="D31" s="237" t="s">
        <v>754</v>
      </c>
    </row>
    <row r="32" spans="1:18">
      <c r="A32" s="171" t="s">
        <v>41</v>
      </c>
      <c r="B32" s="37">
        <f>IF( ISERROR(IND_voed_ele_kWh/1000),0,IND_voed_ele_kWh/1000)</f>
        <v>129.441</v>
      </c>
      <c r="C32" s="39">
        <f>IF(ISERROR(B32*3.6/1000000/'E Balans VL '!Z20*100),0,B32*3.6/1000000/'E Balans VL '!Z20*100)</f>
        <v>4.0041977425246461E-3</v>
      </c>
      <c r="D32" s="237" t="s">
        <v>754</v>
      </c>
    </row>
    <row r="33" spans="1:5">
      <c r="A33" s="171" t="s">
        <v>40</v>
      </c>
      <c r="B33" s="37">
        <f>IF( ISERROR(IND_textiel_ele_kWh/1000),0,IND_textiel_ele_kWh/1000)</f>
        <v>50.387</v>
      </c>
      <c r="C33" s="39">
        <f>IF(ISERROR(B33*3.6/1000000/'E Balans VL '!Z21*100),0,B33*3.6/1000000/'E Balans VL '!Z21*100)</f>
        <v>6.5699047199756482E-3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288.577</v>
      </c>
      <c r="C37" s="39">
        <f>IF(ISERROR(B37*3.6/1000000/'E Balans VL '!Z15*100),0,B37*3.6/1000000/'E Balans VL '!Z15*100)</f>
        <v>2.287327131261742E-3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1552.3610000000001</v>
      </c>
      <c r="C5" s="17">
        <f>'Eigen informatie GS &amp; warmtenet'!B60</f>
        <v>0</v>
      </c>
      <c r="D5" s="30">
        <f>IF(ISERROR(SUM(LB_lb_gas_kWh,LB_rest_gas_kWh,onbekend_gas_kWh)/1000),0,SUM(LB_lb_gas_kWh,LB_rest_gas_kWh,onbekend_gas_kWh)/1000)*0.902</f>
        <v>1932.6900087000001</v>
      </c>
      <c r="E5" s="17">
        <f>B17*'E Balans VL '!I25/3.6*1000000/100</f>
        <v>45.628631247760161</v>
      </c>
      <c r="F5" s="17">
        <f>B17*('E Balans VL '!L25/3.6*1000000+'E Balans VL '!N25/3.6*1000000)/100</f>
        <v>6467.0520408144976</v>
      </c>
      <c r="G5" s="18"/>
      <c r="H5" s="17"/>
      <c r="I5" s="17"/>
      <c r="J5" s="17">
        <f>('E Balans VL '!D25+'E Balans VL '!E25)/3.6*1000000*landbouw!B17/100</f>
        <v>224.90377156591632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1552.3610000000001</v>
      </c>
      <c r="C8" s="21">
        <f>C5+C6</f>
        <v>0</v>
      </c>
      <c r="D8" s="21">
        <f>MAX((D5+D6),0)</f>
        <v>1932.6900087000001</v>
      </c>
      <c r="E8" s="21">
        <f>MAX((E5+E6),0)</f>
        <v>45.628631247760161</v>
      </c>
      <c r="F8" s="21">
        <f>MAX((F5+F6),0)</f>
        <v>6467.0520408144976</v>
      </c>
      <c r="G8" s="21"/>
      <c r="H8" s="21"/>
      <c r="I8" s="21"/>
      <c r="J8" s="21">
        <f>MAX((J5+J6),0)</f>
        <v>224.90377156591632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0.18913254475458097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293.60198630776608</v>
      </c>
      <c r="C12" s="23">
        <f ca="1">C8*C10</f>
        <v>0</v>
      </c>
      <c r="D12" s="23">
        <f>D8*D10</f>
        <v>390.40338175740004</v>
      </c>
      <c r="E12" s="23">
        <f>E8*E10</f>
        <v>10.357699293241557</v>
      </c>
      <c r="F12" s="23">
        <f>F8*F10</f>
        <v>1726.702894897471</v>
      </c>
      <c r="G12" s="23"/>
      <c r="H12" s="23"/>
      <c r="I12" s="23"/>
      <c r="J12" s="23">
        <f>J8*J10</f>
        <v>79.615935134334364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0.22028489628410594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404.15990389554725</v>
      </c>
      <c r="C26" s="247">
        <f>B26*'GWP N2O_CH4'!B5</f>
        <v>8487.3579818064918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149.78320129997826</v>
      </c>
      <c r="C27" s="247">
        <f>B27*'GWP N2O_CH4'!B5</f>
        <v>3145.4472272995436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6.1131705685506859</v>
      </c>
      <c r="C28" s="247">
        <f>B28*'GWP N2O_CH4'!B4</f>
        <v>1895.0828762507126</v>
      </c>
      <c r="D28" s="50"/>
    </row>
    <row r="29" spans="1:4">
      <c r="A29" s="41" t="s">
        <v>277</v>
      </c>
      <c r="B29" s="247">
        <f>B34*'ha_N2O bodem landbouw'!B4</f>
        <v>11.2375133306014</v>
      </c>
      <c r="C29" s="247">
        <f>B29*'GWP N2O_CH4'!B4</f>
        <v>3483.6291324864342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2.5643618158494872E-3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8.7557047777965221E-5</v>
      </c>
      <c r="C5" s="463" t="s">
        <v>211</v>
      </c>
      <c r="D5" s="448">
        <f>SUM(D6:D11)</f>
        <v>3.4000995322232665E-4</v>
      </c>
      <c r="E5" s="448">
        <f>SUM(E6:E11)</f>
        <v>4.4665031415865876E-4</v>
      </c>
      <c r="F5" s="461" t="s">
        <v>211</v>
      </c>
      <c r="G5" s="448">
        <f>SUM(G6:G11)</f>
        <v>0.15111578784522717</v>
      </c>
      <c r="H5" s="448">
        <f>SUM(H6:H11)</f>
        <v>3.8109889159981002E-2</v>
      </c>
      <c r="I5" s="463" t="s">
        <v>211</v>
      </c>
      <c r="J5" s="463" t="s">
        <v>211</v>
      </c>
      <c r="K5" s="463" t="s">
        <v>211</v>
      </c>
      <c r="L5" s="463" t="s">
        <v>211</v>
      </c>
      <c r="M5" s="448">
        <f>SUM(M6:M11)</f>
        <v>9.9600664145569669E-3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5.4393912756340419E-5</v>
      </c>
      <c r="C6" s="449"/>
      <c r="D6" s="962">
        <f>vkm_2011_GW_PW*SUMIFS(TableVerdeelsleutelVkm[CNG],TableVerdeelsleutelVkm[Voertuigtype],"Lichte voertuigen")*SUMIFS(TableECFTransport[EnergieConsumptieFactor (PJ per km)],TableECFTransport[Index],CONCATENATE($A6,"_CNG_CNG"))</f>
        <v>1.6315051900283437E-4</v>
      </c>
      <c r="E6" s="962">
        <f>vkm_2011_GW_PW*SUMIFS(TableVerdeelsleutelVkm[LPG],TableVerdeelsleutelVkm[Voertuigtype],"Lichte voertuigen")*SUMIFS(TableECFTransport[EnergieConsumptieFactor (PJ per km)],TableECFTransport[Index],CONCATENATE($A6,"_LPG_LPG"))</f>
        <v>2.2288704437497628E-4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5.7628372374450426E-2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1.8553248591364861E-2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3.9175681913025595E-3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3.5171283044167216E-2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1.0717617480909361E-5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2.0552929948343809E-3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3.3163135021624795E-5</v>
      </c>
      <c r="C8" s="449"/>
      <c r="D8" s="451">
        <f>vkm_2011_NGW_PW*SUMIFS(TableVerdeelsleutelVkm[CNG],TableVerdeelsleutelVkm[Voertuigtype],"Lichte voertuigen")*SUMIFS(TableECFTransport[EnergieConsumptieFactor (PJ per km)],TableECFTransport[Index],CONCATENATE($A8,"_CNG_CNG"))</f>
        <v>1.7685943421949231E-4</v>
      </c>
      <c r="E8" s="451">
        <f>vkm_2011_NGW_PW*SUMIFS(TableVerdeelsleutelVkm[LPG],TableVerdeelsleutelVkm[Voertuigtype],"Lichte voertuigen")*SUMIFS(TableECFTransport[EnergieConsumptieFactor (PJ per km)],TableECFTransport[Index],CONCATENATE($A8,"_LPG_LPG"))</f>
        <v>2.2376326978368251E-4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5.3914667710792369E-2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1.9544660287370133E-2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3.7300005769365821E-3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4.4014647158171554E-3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1.2626637650913315E-6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2.5720465148344372E-4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24.321402160545894</v>
      </c>
      <c r="C14" s="21"/>
      <c r="D14" s="21">
        <f t="shared" ref="D14:M14" si="0">((D5)*10^9/3600)+D12</f>
        <v>94.447209228424072</v>
      </c>
      <c r="E14" s="21">
        <f t="shared" si="0"/>
        <v>124.06953171073856</v>
      </c>
      <c r="F14" s="21"/>
      <c r="G14" s="21">
        <f t="shared" si="0"/>
        <v>41976.607734785328</v>
      </c>
      <c r="H14" s="21">
        <f t="shared" si="0"/>
        <v>10586.080322216945</v>
      </c>
      <c r="I14" s="21"/>
      <c r="J14" s="21"/>
      <c r="K14" s="21"/>
      <c r="L14" s="21"/>
      <c r="M14" s="21">
        <f t="shared" si="0"/>
        <v>2766.685115154713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0.18913254475458097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4.5999686826236088</v>
      </c>
      <c r="C18" s="23"/>
      <c r="D18" s="23">
        <f t="shared" ref="D18:M18" si="1">D14*D16</f>
        <v>19.078336264141665</v>
      </c>
      <c r="E18" s="23">
        <f t="shared" si="1"/>
        <v>28.163783698337653</v>
      </c>
      <c r="F18" s="23"/>
      <c r="G18" s="23">
        <f t="shared" si="1"/>
        <v>11207.754265187683</v>
      </c>
      <c r="H18" s="23">
        <f t="shared" si="1"/>
        <v>2635.9340002320196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5.7473309815260437E-3</v>
      </c>
      <c r="H50" s="321">
        <f t="shared" si="2"/>
        <v>0</v>
      </c>
      <c r="I50" s="321">
        <f t="shared" si="2"/>
        <v>0</v>
      </c>
      <c r="J50" s="321">
        <f t="shared" si="2"/>
        <v>0</v>
      </c>
      <c r="K50" s="321">
        <f t="shared" si="2"/>
        <v>0</v>
      </c>
      <c r="L50" s="321">
        <f t="shared" si="2"/>
        <v>0</v>
      </c>
      <c r="M50" s="321">
        <f t="shared" si="2"/>
        <v>3.2642302771905394E-4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5.7473309815260437E-3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3.2642302771905394E-4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1596.4808282016788</v>
      </c>
      <c r="H54" s="21">
        <f t="shared" si="3"/>
        <v>0</v>
      </c>
      <c r="I54" s="21">
        <f t="shared" si="3"/>
        <v>0</v>
      </c>
      <c r="J54" s="21">
        <f t="shared" si="3"/>
        <v>0</v>
      </c>
      <c r="K54" s="21">
        <f t="shared" si="3"/>
        <v>0</v>
      </c>
      <c r="L54" s="21">
        <f t="shared" si="3"/>
        <v>0</v>
      </c>
      <c r="M54" s="21">
        <f t="shared" si="3"/>
        <v>90.673063255292774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0.18913254475458097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426.26038112984827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7234.5446072142495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7234.5446072142495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15850.091003000003</v>
      </c>
      <c r="D10" s="718">
        <f ca="1">tertiair!C16</f>
        <v>0</v>
      </c>
      <c r="E10" s="718">
        <f ca="1">tertiair!D16</f>
        <v>18153.141600594001</v>
      </c>
      <c r="F10" s="718">
        <f>tertiair!E16</f>
        <v>222.46680947435161</v>
      </c>
      <c r="G10" s="718">
        <f ca="1">tertiair!F16</f>
        <v>2732.8333410113664</v>
      </c>
      <c r="H10" s="718">
        <f>tertiair!G16</f>
        <v>0</v>
      </c>
      <c r="I10" s="718">
        <f>tertiair!H16</f>
        <v>0</v>
      </c>
      <c r="J10" s="718">
        <f>tertiair!I16</f>
        <v>0</v>
      </c>
      <c r="K10" s="718">
        <f>tertiair!J16</f>
        <v>6.4847820118077659E-2</v>
      </c>
      <c r="L10" s="718">
        <f>tertiair!K16</f>
        <v>0</v>
      </c>
      <c r="M10" s="718">
        <f ca="1">tertiair!L16</f>
        <v>0</v>
      </c>
      <c r="N10" s="718">
        <f>tertiair!M16</f>
        <v>0</v>
      </c>
      <c r="O10" s="718">
        <f ca="1">tertiair!N16</f>
        <v>2570.989053655363</v>
      </c>
      <c r="P10" s="718">
        <f>tertiair!O16</f>
        <v>0</v>
      </c>
      <c r="Q10" s="719">
        <f>tertiair!P16</f>
        <v>19.066666666666666</v>
      </c>
      <c r="R10" s="721">
        <f ca="1">SUM(C10:Q10)</f>
        <v>39548.653322221879</v>
      </c>
      <c r="S10" s="67"/>
    </row>
    <row r="11" spans="1:19" s="474" customFormat="1">
      <c r="A11" s="870" t="s">
        <v>225</v>
      </c>
      <c r="B11" s="875"/>
      <c r="C11" s="718">
        <f>huishoudens!B8</f>
        <v>30775.290497131005</v>
      </c>
      <c r="D11" s="718">
        <f>huishoudens!C8</f>
        <v>0</v>
      </c>
      <c r="E11" s="718">
        <f>huishoudens!D8</f>
        <v>66694.321032900087</v>
      </c>
      <c r="F11" s="718">
        <f>huishoudens!E8</f>
        <v>5737.6930715992421</v>
      </c>
      <c r="G11" s="718">
        <f>huishoudens!F8</f>
        <v>17277.842504532928</v>
      </c>
      <c r="H11" s="718">
        <f>huishoudens!G8</f>
        <v>0</v>
      </c>
      <c r="I11" s="718">
        <f>huishoudens!H8</f>
        <v>0</v>
      </c>
      <c r="J11" s="718">
        <f>huishoudens!I8</f>
        <v>0</v>
      </c>
      <c r="K11" s="718">
        <f>huishoudens!J8</f>
        <v>0</v>
      </c>
      <c r="L11" s="718">
        <f>huishoudens!K8</f>
        <v>0</v>
      </c>
      <c r="M11" s="718">
        <f>huishoudens!L8</f>
        <v>0</v>
      </c>
      <c r="N11" s="718">
        <f>huishoudens!M8</f>
        <v>0</v>
      </c>
      <c r="O11" s="718">
        <f>huishoudens!N8</f>
        <v>18599.905214982598</v>
      </c>
      <c r="P11" s="718">
        <f>huishoudens!O8</f>
        <v>529.97</v>
      </c>
      <c r="Q11" s="719">
        <f>huishoudens!P8</f>
        <v>1201.2</v>
      </c>
      <c r="R11" s="721">
        <f>SUM(C11:Q11)</f>
        <v>140816.22232114588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1969.3208500000001</v>
      </c>
      <c r="D13" s="718">
        <f>industrie!C18</f>
        <v>0</v>
      </c>
      <c r="E13" s="718">
        <f>industrie!D18</f>
        <v>1729.7043797000001</v>
      </c>
      <c r="F13" s="718">
        <f>industrie!E18</f>
        <v>386.21465515363121</v>
      </c>
      <c r="G13" s="718">
        <f>industrie!F18</f>
        <v>1103.8684093738482</v>
      </c>
      <c r="H13" s="718">
        <f>industrie!G18</f>
        <v>0</v>
      </c>
      <c r="I13" s="718">
        <f>industrie!H18</f>
        <v>0</v>
      </c>
      <c r="J13" s="718">
        <f>industrie!I18</f>
        <v>0</v>
      </c>
      <c r="K13" s="718">
        <f>industrie!J18</f>
        <v>1.0331001725271867</v>
      </c>
      <c r="L13" s="718">
        <f>industrie!K18</f>
        <v>0</v>
      </c>
      <c r="M13" s="718">
        <f>industrie!L18</f>
        <v>0</v>
      </c>
      <c r="N13" s="718">
        <f>industrie!M18</f>
        <v>0</v>
      </c>
      <c r="O13" s="718">
        <f>industrie!N18</f>
        <v>495.4449118043234</v>
      </c>
      <c r="P13" s="718">
        <f>industrie!O18</f>
        <v>0</v>
      </c>
      <c r="Q13" s="719">
        <f>industrie!P18</f>
        <v>0</v>
      </c>
      <c r="R13" s="721">
        <f>SUM(C13:Q13)</f>
        <v>5685.58630620433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48594.702350131003</v>
      </c>
      <c r="D15" s="723">
        <f t="shared" ref="D15:Q15" ca="1" si="0">SUM(D9:D14)</f>
        <v>0</v>
      </c>
      <c r="E15" s="723">
        <f t="shared" ca="1" si="0"/>
        <v>86577.167013194077</v>
      </c>
      <c r="F15" s="723">
        <f t="shared" si="0"/>
        <v>6346.3745362272257</v>
      </c>
      <c r="G15" s="723">
        <f t="shared" ca="1" si="0"/>
        <v>21114.544254918143</v>
      </c>
      <c r="H15" s="723">
        <f t="shared" si="0"/>
        <v>0</v>
      </c>
      <c r="I15" s="723">
        <f t="shared" si="0"/>
        <v>0</v>
      </c>
      <c r="J15" s="723">
        <f t="shared" si="0"/>
        <v>0</v>
      </c>
      <c r="K15" s="723">
        <f t="shared" si="0"/>
        <v>1.0979479926452642</v>
      </c>
      <c r="L15" s="723">
        <f t="shared" si="0"/>
        <v>0</v>
      </c>
      <c r="M15" s="723">
        <f t="shared" ca="1" si="0"/>
        <v>0</v>
      </c>
      <c r="N15" s="723">
        <f t="shared" si="0"/>
        <v>0</v>
      </c>
      <c r="O15" s="723">
        <f t="shared" ca="1" si="0"/>
        <v>21666.339180442283</v>
      </c>
      <c r="P15" s="723">
        <f t="shared" si="0"/>
        <v>529.97</v>
      </c>
      <c r="Q15" s="724">
        <f t="shared" si="0"/>
        <v>1220.2666666666667</v>
      </c>
      <c r="R15" s="725">
        <f ca="1">SUM(R9:R14)</f>
        <v>186050.46194957208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1596.4808282016788</v>
      </c>
      <c r="I18" s="718">
        <f>transport!H54</f>
        <v>0</v>
      </c>
      <c r="J18" s="718">
        <f>transport!I54</f>
        <v>0</v>
      </c>
      <c r="K18" s="718">
        <f>transport!J54</f>
        <v>0</v>
      </c>
      <c r="L18" s="718">
        <f>transport!K54</f>
        <v>0</v>
      </c>
      <c r="M18" s="718">
        <f>transport!L54</f>
        <v>0</v>
      </c>
      <c r="N18" s="718">
        <f>transport!M54</f>
        <v>90.673063255292774</v>
      </c>
      <c r="O18" s="718">
        <f>transport!N54</f>
        <v>0</v>
      </c>
      <c r="P18" s="718">
        <f>transport!O54</f>
        <v>0</v>
      </c>
      <c r="Q18" s="719">
        <f>transport!P54</f>
        <v>0</v>
      </c>
      <c r="R18" s="721">
        <f>SUM(C18:Q18)</f>
        <v>1687.1538914569717</v>
      </c>
      <c r="S18" s="67"/>
    </row>
    <row r="19" spans="1:19" s="474" customFormat="1" ht="15" thickBot="1">
      <c r="A19" s="870" t="s">
        <v>307</v>
      </c>
      <c r="B19" s="875"/>
      <c r="C19" s="727">
        <f>transport!B14</f>
        <v>24.321402160545894</v>
      </c>
      <c r="D19" s="727">
        <f>transport!C14</f>
        <v>0</v>
      </c>
      <c r="E19" s="727">
        <f>transport!D14</f>
        <v>94.447209228424072</v>
      </c>
      <c r="F19" s="727">
        <f>transport!E14</f>
        <v>124.06953171073856</v>
      </c>
      <c r="G19" s="727">
        <f>transport!F14</f>
        <v>0</v>
      </c>
      <c r="H19" s="727">
        <f>transport!G14</f>
        <v>41976.607734785328</v>
      </c>
      <c r="I19" s="727">
        <f>transport!H14</f>
        <v>10586.080322216945</v>
      </c>
      <c r="J19" s="727">
        <f>transport!I14</f>
        <v>0</v>
      </c>
      <c r="K19" s="727">
        <f>transport!J14</f>
        <v>0</v>
      </c>
      <c r="L19" s="727">
        <f>transport!K14</f>
        <v>0</v>
      </c>
      <c r="M19" s="727">
        <f>transport!L14</f>
        <v>0</v>
      </c>
      <c r="N19" s="727">
        <f>transport!M14</f>
        <v>2766.685115154713</v>
      </c>
      <c r="O19" s="727">
        <f>transport!N14</f>
        <v>0</v>
      </c>
      <c r="P19" s="727">
        <f>transport!O14</f>
        <v>0</v>
      </c>
      <c r="Q19" s="728">
        <f>transport!P14</f>
        <v>0</v>
      </c>
      <c r="R19" s="729">
        <f>SUM(C19:Q19)</f>
        <v>55572.211315256704</v>
      </c>
      <c r="S19" s="67"/>
    </row>
    <row r="20" spans="1:19" s="474" customFormat="1" ht="15.75" thickBot="1">
      <c r="A20" s="730" t="s">
        <v>230</v>
      </c>
      <c r="B20" s="878"/>
      <c r="C20" s="873">
        <f>SUM(C17:C19)</f>
        <v>24.321402160545894</v>
      </c>
      <c r="D20" s="731">
        <f t="shared" ref="D20:R20" si="1">SUM(D17:D19)</f>
        <v>0</v>
      </c>
      <c r="E20" s="731">
        <f t="shared" si="1"/>
        <v>94.447209228424072</v>
      </c>
      <c r="F20" s="731">
        <f t="shared" si="1"/>
        <v>124.06953171073856</v>
      </c>
      <c r="G20" s="731">
        <f t="shared" si="1"/>
        <v>0</v>
      </c>
      <c r="H20" s="731">
        <f t="shared" si="1"/>
        <v>43573.08856298701</v>
      </c>
      <c r="I20" s="731">
        <f t="shared" si="1"/>
        <v>10586.080322216945</v>
      </c>
      <c r="J20" s="731">
        <f t="shared" si="1"/>
        <v>0</v>
      </c>
      <c r="K20" s="731">
        <f t="shared" si="1"/>
        <v>0</v>
      </c>
      <c r="L20" s="731">
        <f t="shared" si="1"/>
        <v>0</v>
      </c>
      <c r="M20" s="731">
        <f t="shared" si="1"/>
        <v>0</v>
      </c>
      <c r="N20" s="731">
        <f t="shared" si="1"/>
        <v>2857.3581784100056</v>
      </c>
      <c r="O20" s="731">
        <f t="shared" si="1"/>
        <v>0</v>
      </c>
      <c r="P20" s="731">
        <f t="shared" si="1"/>
        <v>0</v>
      </c>
      <c r="Q20" s="732">
        <f t="shared" si="1"/>
        <v>0</v>
      </c>
      <c r="R20" s="733">
        <f t="shared" si="1"/>
        <v>57259.365206713672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1552.3610000000001</v>
      </c>
      <c r="D22" s="727">
        <f>+landbouw!C8</f>
        <v>0</v>
      </c>
      <c r="E22" s="727">
        <f>+landbouw!D8</f>
        <v>1932.6900087000001</v>
      </c>
      <c r="F22" s="727">
        <f>+landbouw!E8</f>
        <v>45.628631247760161</v>
      </c>
      <c r="G22" s="727">
        <f>+landbouw!F8</f>
        <v>6467.0520408144976</v>
      </c>
      <c r="H22" s="727">
        <f>+landbouw!G8</f>
        <v>0</v>
      </c>
      <c r="I22" s="727">
        <f>+landbouw!H8</f>
        <v>0</v>
      </c>
      <c r="J22" s="727">
        <f>+landbouw!I8</f>
        <v>0</v>
      </c>
      <c r="K22" s="727">
        <f>+landbouw!J8</f>
        <v>224.90377156591632</v>
      </c>
      <c r="L22" s="727">
        <f>+landbouw!K8</f>
        <v>0</v>
      </c>
      <c r="M22" s="727">
        <f>+landbouw!L8</f>
        <v>0</v>
      </c>
      <c r="N22" s="727">
        <f>+landbouw!M8</f>
        <v>0</v>
      </c>
      <c r="O22" s="727">
        <f>+landbouw!N8</f>
        <v>0</v>
      </c>
      <c r="P22" s="727">
        <f>+landbouw!O8</f>
        <v>0</v>
      </c>
      <c r="Q22" s="728">
        <f>+landbouw!P8</f>
        <v>0</v>
      </c>
      <c r="R22" s="729">
        <f>SUM(C22:Q22)</f>
        <v>10222.635452328173</v>
      </c>
      <c r="S22" s="67"/>
    </row>
    <row r="23" spans="1:19" s="474" customFormat="1" ht="17.25" thickTop="1" thickBot="1">
      <c r="A23" s="734" t="s">
        <v>116</v>
      </c>
      <c r="B23" s="864"/>
      <c r="C23" s="735">
        <f ca="1">C20+C15+C22</f>
        <v>50171.384752291546</v>
      </c>
      <c r="D23" s="735">
        <f t="shared" ref="D23:Q23" ca="1" si="2">D20+D15+D22</f>
        <v>0</v>
      </c>
      <c r="E23" s="735">
        <f t="shared" ca="1" si="2"/>
        <v>88604.3042311225</v>
      </c>
      <c r="F23" s="735">
        <f t="shared" si="2"/>
        <v>6516.0726991857246</v>
      </c>
      <c r="G23" s="735">
        <f t="shared" ca="1" si="2"/>
        <v>27581.596295732641</v>
      </c>
      <c r="H23" s="735">
        <f t="shared" si="2"/>
        <v>43573.08856298701</v>
      </c>
      <c r="I23" s="735">
        <f t="shared" si="2"/>
        <v>10586.080322216945</v>
      </c>
      <c r="J23" s="735">
        <f t="shared" si="2"/>
        <v>0</v>
      </c>
      <c r="K23" s="735">
        <f t="shared" si="2"/>
        <v>226.00171955856158</v>
      </c>
      <c r="L23" s="735">
        <f t="shared" si="2"/>
        <v>0</v>
      </c>
      <c r="M23" s="735">
        <f t="shared" ca="1" si="2"/>
        <v>0</v>
      </c>
      <c r="N23" s="735">
        <f t="shared" si="2"/>
        <v>2857.3581784100056</v>
      </c>
      <c r="O23" s="735">
        <f t="shared" ca="1" si="2"/>
        <v>21666.339180442283</v>
      </c>
      <c r="P23" s="735">
        <f t="shared" si="2"/>
        <v>529.97</v>
      </c>
      <c r="Q23" s="736">
        <f t="shared" si="2"/>
        <v>1220.2666666666667</v>
      </c>
      <c r="R23" s="737">
        <f ca="1">R20+R15+R22</f>
        <v>253532.46260861392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2997.7680459890794</v>
      </c>
      <c r="D36" s="718">
        <f ca="1">tertiair!C20</f>
        <v>0</v>
      </c>
      <c r="E36" s="718">
        <f ca="1">tertiair!D20</f>
        <v>3666.9346033199886</v>
      </c>
      <c r="F36" s="718">
        <f>tertiair!E20</f>
        <v>50.499965750677816</v>
      </c>
      <c r="G36" s="718">
        <f ca="1">tertiair!F20</f>
        <v>729.66650205003486</v>
      </c>
      <c r="H36" s="718">
        <f>tertiair!G20</f>
        <v>0</v>
      </c>
      <c r="I36" s="718">
        <f>tertiair!H20</f>
        <v>0</v>
      </c>
      <c r="J36" s="718">
        <f>tertiair!I20</f>
        <v>0</v>
      </c>
      <c r="K36" s="718">
        <f>tertiair!J20</f>
        <v>2.2956128321799489E-2</v>
      </c>
      <c r="L36" s="718">
        <f>tertiair!K20</f>
        <v>0</v>
      </c>
      <c r="M36" s="718">
        <f ca="1">tertiair!L20</f>
        <v>0</v>
      </c>
      <c r="N36" s="718">
        <f>tertiair!M20</f>
        <v>0</v>
      </c>
      <c r="O36" s="718">
        <f ca="1">tertiair!N20</f>
        <v>0</v>
      </c>
      <c r="P36" s="718">
        <f>tertiair!O20</f>
        <v>0</v>
      </c>
      <c r="Q36" s="828">
        <f>tertiair!P20</f>
        <v>0</v>
      </c>
      <c r="R36" s="917">
        <f ca="1">SUM(C36:Q36)</f>
        <v>7444.892073238103</v>
      </c>
    </row>
    <row r="37" spans="1:18">
      <c r="A37" s="885" t="s">
        <v>225</v>
      </c>
      <c r="B37" s="892"/>
      <c r="C37" s="718">
        <f ca="1">huishoudens!B12</f>
        <v>5820.6090072838606</v>
      </c>
      <c r="D37" s="718">
        <f ca="1">huishoudens!C12</f>
        <v>0</v>
      </c>
      <c r="E37" s="718">
        <f>huishoudens!D12</f>
        <v>13472.252848645818</v>
      </c>
      <c r="F37" s="718">
        <f>huishoudens!E12</f>
        <v>1302.4563272530279</v>
      </c>
      <c r="G37" s="718">
        <f>huishoudens!F12</f>
        <v>4613.1839487102916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25208.502131892998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372.46266379875442</v>
      </c>
      <c r="D39" s="718">
        <f ca="1">industrie!C22</f>
        <v>0</v>
      </c>
      <c r="E39" s="718">
        <f>industrie!D22</f>
        <v>349.40028469940006</v>
      </c>
      <c r="F39" s="718">
        <f>industrie!E22</f>
        <v>87.670726719874281</v>
      </c>
      <c r="G39" s="718">
        <f>industrie!F22</f>
        <v>294.73286530281746</v>
      </c>
      <c r="H39" s="718">
        <f>industrie!G22</f>
        <v>0</v>
      </c>
      <c r="I39" s="718">
        <f>industrie!H22</f>
        <v>0</v>
      </c>
      <c r="J39" s="718">
        <f>industrie!I22</f>
        <v>0</v>
      </c>
      <c r="K39" s="718">
        <f>industrie!J22</f>
        <v>0.36571746107462405</v>
      </c>
      <c r="L39" s="718">
        <f>industrie!K22</f>
        <v>0</v>
      </c>
      <c r="M39" s="718">
        <f>industrie!L22</f>
        <v>0</v>
      </c>
      <c r="N39" s="718">
        <f>industrie!M22</f>
        <v>0</v>
      </c>
      <c r="O39" s="718">
        <f>industrie!N22</f>
        <v>0</v>
      </c>
      <c r="P39" s="718">
        <f>industrie!O22</f>
        <v>0</v>
      </c>
      <c r="Q39" s="828">
        <f>industrie!P22</f>
        <v>0</v>
      </c>
      <c r="R39" s="918">
        <f ca="1">SUM(C39:Q39)</f>
        <v>1104.6322579819209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9190.8397170716944</v>
      </c>
      <c r="D41" s="763">
        <f t="shared" ref="D41:R41" ca="1" si="4">SUM(D35:D40)</f>
        <v>0</v>
      </c>
      <c r="E41" s="763">
        <f t="shared" ca="1" si="4"/>
        <v>17488.587736665206</v>
      </c>
      <c r="F41" s="763">
        <f t="shared" si="4"/>
        <v>1440.6270197235799</v>
      </c>
      <c r="G41" s="763">
        <f t="shared" ca="1" si="4"/>
        <v>5637.5833160631437</v>
      </c>
      <c r="H41" s="763">
        <f t="shared" si="4"/>
        <v>0</v>
      </c>
      <c r="I41" s="763">
        <f t="shared" si="4"/>
        <v>0</v>
      </c>
      <c r="J41" s="763">
        <f t="shared" si="4"/>
        <v>0</v>
      </c>
      <c r="K41" s="763">
        <f t="shared" si="4"/>
        <v>0.38867358939642355</v>
      </c>
      <c r="L41" s="763">
        <f t="shared" si="4"/>
        <v>0</v>
      </c>
      <c r="M41" s="763">
        <f t="shared" ca="1" si="4"/>
        <v>0</v>
      </c>
      <c r="N41" s="763">
        <f t="shared" si="4"/>
        <v>0</v>
      </c>
      <c r="O41" s="763">
        <f t="shared" ca="1" si="4"/>
        <v>0</v>
      </c>
      <c r="P41" s="763">
        <f t="shared" si="4"/>
        <v>0</v>
      </c>
      <c r="Q41" s="764">
        <f t="shared" si="4"/>
        <v>0</v>
      </c>
      <c r="R41" s="765">
        <f t="shared" ca="1" si="4"/>
        <v>33758.026463113027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426.26038112984827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426.26038112984827</v>
      </c>
    </row>
    <row r="45" spans="1:18" ht="15" thickBot="1">
      <c r="A45" s="888" t="s">
        <v>307</v>
      </c>
      <c r="B45" s="898"/>
      <c r="C45" s="727">
        <f ca="1">transport!B18</f>
        <v>4.5999686826236088</v>
      </c>
      <c r="D45" s="727">
        <f>transport!C18</f>
        <v>0</v>
      </c>
      <c r="E45" s="727">
        <f>transport!D18</f>
        <v>19.078336264141665</v>
      </c>
      <c r="F45" s="727">
        <f>transport!E18</f>
        <v>28.163783698337653</v>
      </c>
      <c r="G45" s="727">
        <f>transport!F18</f>
        <v>0</v>
      </c>
      <c r="H45" s="727">
        <f>transport!G18</f>
        <v>11207.754265187683</v>
      </c>
      <c r="I45" s="727">
        <f>transport!H18</f>
        <v>2635.9340002320196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13895.530354064806</v>
      </c>
    </row>
    <row r="46" spans="1:18" ht="15.75" thickBot="1">
      <c r="A46" s="886" t="s">
        <v>230</v>
      </c>
      <c r="B46" s="899"/>
      <c r="C46" s="763">
        <f t="shared" ref="C46:R46" ca="1" si="5">SUM(C43:C45)</f>
        <v>4.5999686826236088</v>
      </c>
      <c r="D46" s="763">
        <f t="shared" ca="1" si="5"/>
        <v>0</v>
      </c>
      <c r="E46" s="763">
        <f t="shared" si="5"/>
        <v>19.078336264141665</v>
      </c>
      <c r="F46" s="763">
        <f t="shared" si="5"/>
        <v>28.163783698337653</v>
      </c>
      <c r="G46" s="763">
        <f t="shared" si="5"/>
        <v>0</v>
      </c>
      <c r="H46" s="763">
        <f t="shared" si="5"/>
        <v>11634.014646317532</v>
      </c>
      <c r="I46" s="763">
        <f t="shared" si="5"/>
        <v>2635.9340002320196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14321.790735194654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293.60198630776608</v>
      </c>
      <c r="D48" s="718">
        <f ca="1">+landbouw!C12</f>
        <v>0</v>
      </c>
      <c r="E48" s="718">
        <f>+landbouw!D12</f>
        <v>390.40338175740004</v>
      </c>
      <c r="F48" s="718">
        <f>+landbouw!E12</f>
        <v>10.357699293241557</v>
      </c>
      <c r="G48" s="718">
        <f>+landbouw!F12</f>
        <v>1726.702894897471</v>
      </c>
      <c r="H48" s="718">
        <f>+landbouw!G12</f>
        <v>0</v>
      </c>
      <c r="I48" s="718">
        <f>+landbouw!H12</f>
        <v>0</v>
      </c>
      <c r="J48" s="718">
        <f>+landbouw!I12</f>
        <v>0</v>
      </c>
      <c r="K48" s="718">
        <f>+landbouw!J12</f>
        <v>79.615935134334364</v>
      </c>
      <c r="L48" s="718">
        <f>+landbouw!K12</f>
        <v>0</v>
      </c>
      <c r="M48" s="718">
        <f>+landbouw!L12</f>
        <v>0</v>
      </c>
      <c r="N48" s="718">
        <f>+landbouw!M12</f>
        <v>0</v>
      </c>
      <c r="O48" s="718">
        <f>+landbouw!N12</f>
        <v>0</v>
      </c>
      <c r="P48" s="718">
        <f>+landbouw!O12</f>
        <v>0</v>
      </c>
      <c r="Q48" s="719">
        <f>+landbouw!P12</f>
        <v>0</v>
      </c>
      <c r="R48" s="761">
        <f ca="1">SUM(C48:Q48)</f>
        <v>2500.6818973902132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9489.0416720620833</v>
      </c>
      <c r="D53" s="773">
        <f t="shared" ref="D53:Q53" ca="1" si="6">D41+D46+D48</f>
        <v>0</v>
      </c>
      <c r="E53" s="773">
        <f t="shared" ca="1" si="6"/>
        <v>17898.069454686749</v>
      </c>
      <c r="F53" s="773">
        <f t="shared" si="6"/>
        <v>1479.1485027151591</v>
      </c>
      <c r="G53" s="773">
        <f t="shared" ca="1" si="6"/>
        <v>7364.2862109606149</v>
      </c>
      <c r="H53" s="773">
        <f t="shared" si="6"/>
        <v>11634.014646317532</v>
      </c>
      <c r="I53" s="773">
        <f t="shared" si="6"/>
        <v>2635.9340002320196</v>
      </c>
      <c r="J53" s="773">
        <f t="shared" si="6"/>
        <v>0</v>
      </c>
      <c r="K53" s="773">
        <f t="shared" si="6"/>
        <v>80.004608723730783</v>
      </c>
      <c r="L53" s="773">
        <f t="shared" si="6"/>
        <v>0</v>
      </c>
      <c r="M53" s="773">
        <f t="shared" ca="1" si="6"/>
        <v>0</v>
      </c>
      <c r="N53" s="773">
        <f t="shared" si="6"/>
        <v>0</v>
      </c>
      <c r="O53" s="773">
        <f t="shared" ca="1" si="6"/>
        <v>0</v>
      </c>
      <c r="P53" s="773">
        <f>P41+P46+P48</f>
        <v>0</v>
      </c>
      <c r="Q53" s="774">
        <f t="shared" si="6"/>
        <v>0</v>
      </c>
      <c r="R53" s="775">
        <f ca="1">R41+R46+R48</f>
        <v>50580.499095697895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0.18913254475458099</v>
      </c>
      <c r="D55" s="836">
        <f t="shared" ca="1" si="7"/>
        <v>0</v>
      </c>
      <c r="E55" s="836">
        <f t="shared" ca="1" si="7"/>
        <v>0.20200000000000004</v>
      </c>
      <c r="F55" s="836">
        <f t="shared" si="7"/>
        <v>0.22699999999999995</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7234.5446072142495</v>
      </c>
      <c r="C66" s="795">
        <f>'lokale energieproductie'!B6</f>
        <v>7234.5446072142495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7234.5446072142495</v>
      </c>
      <c r="C69" s="803">
        <f>SUM(C64:C68)</f>
        <v>7234.5446072142495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30775.290497131005</v>
      </c>
      <c r="C4" s="478">
        <f>huishoudens!C8</f>
        <v>0</v>
      </c>
      <c r="D4" s="478">
        <f>huishoudens!D8</f>
        <v>66694.321032900087</v>
      </c>
      <c r="E4" s="478">
        <f>huishoudens!E8</f>
        <v>5737.6930715992421</v>
      </c>
      <c r="F4" s="478">
        <f>huishoudens!F8</f>
        <v>17277.842504532928</v>
      </c>
      <c r="G4" s="478">
        <f>huishoudens!G8</f>
        <v>0</v>
      </c>
      <c r="H4" s="478">
        <f>huishoudens!H8</f>
        <v>0</v>
      </c>
      <c r="I4" s="478">
        <f>huishoudens!I8</f>
        <v>0</v>
      </c>
      <c r="J4" s="478">
        <f>huishoudens!J8</f>
        <v>0</v>
      </c>
      <c r="K4" s="478">
        <f>huishoudens!K8</f>
        <v>0</v>
      </c>
      <c r="L4" s="478">
        <f>huishoudens!L8</f>
        <v>0</v>
      </c>
      <c r="M4" s="478">
        <f>huishoudens!M8</f>
        <v>0</v>
      </c>
      <c r="N4" s="478">
        <f>huishoudens!N8</f>
        <v>18599.905214982598</v>
      </c>
      <c r="O4" s="478">
        <f>huishoudens!O8</f>
        <v>529.97</v>
      </c>
      <c r="P4" s="479">
        <f>huishoudens!P8</f>
        <v>1201.2</v>
      </c>
      <c r="Q4" s="480">
        <f>SUM(B4:P4)</f>
        <v>140816.22232114588</v>
      </c>
    </row>
    <row r="5" spans="1:17">
      <c r="A5" s="477" t="s">
        <v>156</v>
      </c>
      <c r="B5" s="478">
        <f ca="1">tertiair!B16</f>
        <v>14704.913003000003</v>
      </c>
      <c r="C5" s="478">
        <f ca="1">tertiair!C16</f>
        <v>0</v>
      </c>
      <c r="D5" s="478">
        <f ca="1">tertiair!D16</f>
        <v>18153.141600594001</v>
      </c>
      <c r="E5" s="478">
        <f>tertiair!E16</f>
        <v>222.46680947435161</v>
      </c>
      <c r="F5" s="478">
        <f ca="1">tertiair!F16</f>
        <v>2732.8333410113664</v>
      </c>
      <c r="G5" s="478">
        <f>tertiair!G16</f>
        <v>0</v>
      </c>
      <c r="H5" s="478">
        <f>tertiair!H16</f>
        <v>0</v>
      </c>
      <c r="I5" s="478">
        <f>tertiair!I16</f>
        <v>0</v>
      </c>
      <c r="J5" s="478">
        <f>tertiair!J16</f>
        <v>6.4847820118077659E-2</v>
      </c>
      <c r="K5" s="478">
        <f>tertiair!K16</f>
        <v>0</v>
      </c>
      <c r="L5" s="478">
        <f ca="1">tertiair!L16</f>
        <v>0</v>
      </c>
      <c r="M5" s="478">
        <f>tertiair!M16</f>
        <v>0</v>
      </c>
      <c r="N5" s="478">
        <f ca="1">tertiair!N16</f>
        <v>2570.989053655363</v>
      </c>
      <c r="O5" s="478">
        <f>tertiair!O16</f>
        <v>0</v>
      </c>
      <c r="P5" s="479">
        <f>tertiair!P16</f>
        <v>19.066666666666666</v>
      </c>
      <c r="Q5" s="477">
        <f t="shared" ref="Q5:Q13" ca="1" si="0">SUM(B5:P5)</f>
        <v>38403.475322221879</v>
      </c>
    </row>
    <row r="6" spans="1:17">
      <c r="A6" s="477" t="s">
        <v>194</v>
      </c>
      <c r="B6" s="478">
        <f>'openbare verlichting'!B8</f>
        <v>1145.1780000000001</v>
      </c>
      <c r="C6" s="478"/>
      <c r="D6" s="478"/>
      <c r="E6" s="478"/>
      <c r="F6" s="478"/>
      <c r="G6" s="478"/>
      <c r="H6" s="478"/>
      <c r="I6" s="478"/>
      <c r="J6" s="478"/>
      <c r="K6" s="478"/>
      <c r="L6" s="478"/>
      <c r="M6" s="478"/>
      <c r="N6" s="478"/>
      <c r="O6" s="478"/>
      <c r="P6" s="479"/>
      <c r="Q6" s="477">
        <f t="shared" si="0"/>
        <v>1145.1780000000001</v>
      </c>
    </row>
    <row r="7" spans="1:17">
      <c r="A7" s="477" t="s">
        <v>112</v>
      </c>
      <c r="B7" s="478">
        <f>landbouw!B8</f>
        <v>1552.3610000000001</v>
      </c>
      <c r="C7" s="478">
        <f>landbouw!C8</f>
        <v>0</v>
      </c>
      <c r="D7" s="478">
        <f>landbouw!D8</f>
        <v>1932.6900087000001</v>
      </c>
      <c r="E7" s="478">
        <f>landbouw!E8</f>
        <v>45.628631247760161</v>
      </c>
      <c r="F7" s="478">
        <f>landbouw!F8</f>
        <v>6467.0520408144976</v>
      </c>
      <c r="G7" s="478">
        <f>landbouw!G8</f>
        <v>0</v>
      </c>
      <c r="H7" s="478">
        <f>landbouw!H8</f>
        <v>0</v>
      </c>
      <c r="I7" s="478">
        <f>landbouw!I8</f>
        <v>0</v>
      </c>
      <c r="J7" s="478">
        <f>landbouw!J8</f>
        <v>224.90377156591632</v>
      </c>
      <c r="K7" s="478">
        <f>landbouw!K8</f>
        <v>0</v>
      </c>
      <c r="L7" s="478">
        <f>landbouw!L8</f>
        <v>0</v>
      </c>
      <c r="M7" s="478">
        <f>landbouw!M8</f>
        <v>0</v>
      </c>
      <c r="N7" s="478">
        <f>landbouw!N8</f>
        <v>0</v>
      </c>
      <c r="O7" s="478">
        <f>landbouw!O8</f>
        <v>0</v>
      </c>
      <c r="P7" s="479">
        <f>landbouw!P8</f>
        <v>0</v>
      </c>
      <c r="Q7" s="477">
        <f t="shared" si="0"/>
        <v>10222.635452328173</v>
      </c>
    </row>
    <row r="8" spans="1:17">
      <c r="A8" s="477" t="s">
        <v>635</v>
      </c>
      <c r="B8" s="478">
        <f>industrie!B18</f>
        <v>1969.3208500000001</v>
      </c>
      <c r="C8" s="478">
        <f>industrie!C18</f>
        <v>0</v>
      </c>
      <c r="D8" s="478">
        <f>industrie!D18</f>
        <v>1729.7043797000001</v>
      </c>
      <c r="E8" s="478">
        <f>industrie!E18</f>
        <v>386.21465515363121</v>
      </c>
      <c r="F8" s="478">
        <f>industrie!F18</f>
        <v>1103.8684093738482</v>
      </c>
      <c r="G8" s="478">
        <f>industrie!G18</f>
        <v>0</v>
      </c>
      <c r="H8" s="478">
        <f>industrie!H18</f>
        <v>0</v>
      </c>
      <c r="I8" s="478">
        <f>industrie!I18</f>
        <v>0</v>
      </c>
      <c r="J8" s="478">
        <f>industrie!J18</f>
        <v>1.0331001725271867</v>
      </c>
      <c r="K8" s="478">
        <f>industrie!K18</f>
        <v>0</v>
      </c>
      <c r="L8" s="478">
        <f>industrie!L18</f>
        <v>0</v>
      </c>
      <c r="M8" s="478">
        <f>industrie!M18</f>
        <v>0</v>
      </c>
      <c r="N8" s="478">
        <f>industrie!N18</f>
        <v>495.4449118043234</v>
      </c>
      <c r="O8" s="478">
        <f>industrie!O18</f>
        <v>0</v>
      </c>
      <c r="P8" s="479">
        <f>industrie!P18</f>
        <v>0</v>
      </c>
      <c r="Q8" s="477">
        <f t="shared" si="0"/>
        <v>5685.58630620433</v>
      </c>
    </row>
    <row r="9" spans="1:17" s="483" customFormat="1">
      <c r="A9" s="481" t="s">
        <v>561</v>
      </c>
      <c r="B9" s="482">
        <f>transport!B14</f>
        <v>24.321402160545894</v>
      </c>
      <c r="C9" s="482"/>
      <c r="D9" s="482">
        <f>transport!D14</f>
        <v>94.447209228424072</v>
      </c>
      <c r="E9" s="482">
        <f>transport!E14</f>
        <v>124.06953171073856</v>
      </c>
      <c r="F9" s="482"/>
      <c r="G9" s="482">
        <f>transport!G14</f>
        <v>41976.607734785328</v>
      </c>
      <c r="H9" s="482">
        <f>transport!H14</f>
        <v>10586.080322216945</v>
      </c>
      <c r="I9" s="482"/>
      <c r="J9" s="482"/>
      <c r="K9" s="482"/>
      <c r="L9" s="482"/>
      <c r="M9" s="482">
        <f>transport!M14</f>
        <v>2766.685115154713</v>
      </c>
      <c r="N9" s="482"/>
      <c r="O9" s="482"/>
      <c r="P9" s="482"/>
      <c r="Q9" s="481">
        <f>SUM(B9:P9)</f>
        <v>55572.211315256704</v>
      </c>
    </row>
    <row r="10" spans="1:17">
      <c r="A10" s="477" t="s">
        <v>551</v>
      </c>
      <c r="B10" s="478">
        <f>transport!B54</f>
        <v>0</v>
      </c>
      <c r="C10" s="478"/>
      <c r="D10" s="478">
        <f>transport!D54</f>
        <v>0</v>
      </c>
      <c r="E10" s="478"/>
      <c r="F10" s="478"/>
      <c r="G10" s="478">
        <f>transport!G54</f>
        <v>1596.4808282016788</v>
      </c>
      <c r="H10" s="478"/>
      <c r="I10" s="478"/>
      <c r="J10" s="478"/>
      <c r="K10" s="478"/>
      <c r="L10" s="478"/>
      <c r="M10" s="478">
        <f>transport!M54</f>
        <v>90.673063255292774</v>
      </c>
      <c r="N10" s="478"/>
      <c r="O10" s="478"/>
      <c r="P10" s="479"/>
      <c r="Q10" s="477">
        <f t="shared" si="0"/>
        <v>1687.1538914569717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50171.384752291553</v>
      </c>
      <c r="C14" s="488">
        <f t="shared" ref="C14:Q14" ca="1" si="1">SUM(C4:C13)</f>
        <v>0</v>
      </c>
      <c r="D14" s="488">
        <f t="shared" ca="1" si="1"/>
        <v>88604.3042311225</v>
      </c>
      <c r="E14" s="488">
        <f t="shared" si="1"/>
        <v>6516.0726991857246</v>
      </c>
      <c r="F14" s="488">
        <f t="shared" ca="1" si="1"/>
        <v>27581.596295732641</v>
      </c>
      <c r="G14" s="488">
        <f t="shared" si="1"/>
        <v>43573.08856298701</v>
      </c>
      <c r="H14" s="488">
        <f t="shared" si="1"/>
        <v>10586.080322216945</v>
      </c>
      <c r="I14" s="488">
        <f t="shared" si="1"/>
        <v>0</v>
      </c>
      <c r="J14" s="488">
        <f t="shared" si="1"/>
        <v>226.00171955856158</v>
      </c>
      <c r="K14" s="488">
        <f t="shared" si="1"/>
        <v>0</v>
      </c>
      <c r="L14" s="488">
        <f t="shared" ca="1" si="1"/>
        <v>0</v>
      </c>
      <c r="M14" s="488">
        <f t="shared" si="1"/>
        <v>2857.3581784100056</v>
      </c>
      <c r="N14" s="488">
        <f t="shared" ca="1" si="1"/>
        <v>21666.339180442283</v>
      </c>
      <c r="O14" s="488">
        <f t="shared" si="1"/>
        <v>529.97</v>
      </c>
      <c r="P14" s="489">
        <f t="shared" si="1"/>
        <v>1220.2666666666667</v>
      </c>
      <c r="Q14" s="489">
        <f t="shared" ca="1" si="1"/>
        <v>253532.46260861392</v>
      </c>
    </row>
    <row r="16" spans="1:17">
      <c r="A16" s="491" t="s">
        <v>556</v>
      </c>
      <c r="B16" s="841">
        <f ca="1">huishoudens!B10</f>
        <v>0.18913254475458097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5820.6090072838606</v>
      </c>
      <c r="C21" s="478">
        <f t="shared" ref="C21:C28" ca="1" si="3">C4*$C$16</f>
        <v>0</v>
      </c>
      <c r="D21" s="478">
        <f t="shared" ref="D21:D30" si="4">D4*$D$16</f>
        <v>13472.252848645818</v>
      </c>
      <c r="E21" s="478">
        <f t="shared" ref="E21:E30" si="5">E4*$E$16</f>
        <v>1302.4563272530279</v>
      </c>
      <c r="F21" s="478">
        <f t="shared" ref="F21:F28" si="6">F4*$F$16</f>
        <v>4613.1839487102916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25208.502131892998</v>
      </c>
    </row>
    <row r="22" spans="1:17">
      <c r="A22" s="477" t="s">
        <v>156</v>
      </c>
      <c r="B22" s="478">
        <f t="shared" ca="1" si="2"/>
        <v>2781.1776166521176</v>
      </c>
      <c r="C22" s="478">
        <f t="shared" ca="1" si="3"/>
        <v>0</v>
      </c>
      <c r="D22" s="478">
        <f t="shared" ca="1" si="4"/>
        <v>3666.9346033199886</v>
      </c>
      <c r="E22" s="478">
        <f t="shared" si="5"/>
        <v>50.499965750677816</v>
      </c>
      <c r="F22" s="478">
        <f t="shared" ca="1" si="6"/>
        <v>729.66650205003486</v>
      </c>
      <c r="G22" s="478">
        <f t="shared" si="7"/>
        <v>0</v>
      </c>
      <c r="H22" s="478">
        <f t="shared" si="8"/>
        <v>0</v>
      </c>
      <c r="I22" s="478">
        <f t="shared" si="9"/>
        <v>0</v>
      </c>
      <c r="J22" s="478">
        <f t="shared" si="10"/>
        <v>2.2956128321799489E-2</v>
      </c>
      <c r="K22" s="478">
        <f t="shared" si="11"/>
        <v>0</v>
      </c>
      <c r="L22" s="478">
        <f t="shared" ca="1" si="12"/>
        <v>0</v>
      </c>
      <c r="M22" s="478">
        <f t="shared" si="13"/>
        <v>0</v>
      </c>
      <c r="N22" s="478">
        <f t="shared" ca="1" si="14"/>
        <v>0</v>
      </c>
      <c r="O22" s="478">
        <f t="shared" si="15"/>
        <v>0</v>
      </c>
      <c r="P22" s="479">
        <f t="shared" si="16"/>
        <v>0</v>
      </c>
      <c r="Q22" s="477">
        <f t="shared" ref="Q22:Q30" ca="1" si="17">SUM(B22:P22)</f>
        <v>7228.3016439011417</v>
      </c>
    </row>
    <row r="23" spans="1:17">
      <c r="A23" s="477" t="s">
        <v>194</v>
      </c>
      <c r="B23" s="478">
        <f t="shared" ca="1" si="2"/>
        <v>216.59042933696153</v>
      </c>
      <c r="C23" s="478"/>
      <c r="D23" s="478"/>
      <c r="E23" s="478"/>
      <c r="F23" s="478"/>
      <c r="G23" s="478"/>
      <c r="H23" s="478"/>
      <c r="I23" s="478"/>
      <c r="J23" s="478"/>
      <c r="K23" s="478"/>
      <c r="L23" s="478"/>
      <c r="M23" s="478"/>
      <c r="N23" s="478"/>
      <c r="O23" s="478"/>
      <c r="P23" s="479"/>
      <c r="Q23" s="477">
        <f t="shared" ca="1" si="17"/>
        <v>216.59042933696153</v>
      </c>
    </row>
    <row r="24" spans="1:17">
      <c r="A24" s="477" t="s">
        <v>112</v>
      </c>
      <c r="B24" s="478">
        <f t="shared" ca="1" si="2"/>
        <v>293.60198630776608</v>
      </c>
      <c r="C24" s="478">
        <f t="shared" ca="1" si="3"/>
        <v>0</v>
      </c>
      <c r="D24" s="478">
        <f t="shared" si="4"/>
        <v>390.40338175740004</v>
      </c>
      <c r="E24" s="478">
        <f t="shared" si="5"/>
        <v>10.357699293241557</v>
      </c>
      <c r="F24" s="478">
        <f t="shared" si="6"/>
        <v>1726.702894897471</v>
      </c>
      <c r="G24" s="478">
        <f t="shared" si="7"/>
        <v>0</v>
      </c>
      <c r="H24" s="478">
        <f t="shared" si="8"/>
        <v>0</v>
      </c>
      <c r="I24" s="478">
        <f t="shared" si="9"/>
        <v>0</v>
      </c>
      <c r="J24" s="478">
        <f t="shared" si="10"/>
        <v>79.615935134334364</v>
      </c>
      <c r="K24" s="478">
        <f t="shared" si="11"/>
        <v>0</v>
      </c>
      <c r="L24" s="478">
        <f t="shared" si="12"/>
        <v>0</v>
      </c>
      <c r="M24" s="478">
        <f t="shared" si="13"/>
        <v>0</v>
      </c>
      <c r="N24" s="478">
        <f t="shared" si="14"/>
        <v>0</v>
      </c>
      <c r="O24" s="478">
        <f t="shared" si="15"/>
        <v>0</v>
      </c>
      <c r="P24" s="479">
        <f t="shared" si="16"/>
        <v>0</v>
      </c>
      <c r="Q24" s="477">
        <f t="shared" ca="1" si="17"/>
        <v>2500.6818973902132</v>
      </c>
    </row>
    <row r="25" spans="1:17">
      <c r="A25" s="477" t="s">
        <v>635</v>
      </c>
      <c r="B25" s="478">
        <f t="shared" ca="1" si="2"/>
        <v>372.46266379875442</v>
      </c>
      <c r="C25" s="478">
        <f t="shared" ca="1" si="3"/>
        <v>0</v>
      </c>
      <c r="D25" s="478">
        <f t="shared" si="4"/>
        <v>349.40028469940006</v>
      </c>
      <c r="E25" s="478">
        <f t="shared" si="5"/>
        <v>87.670726719874281</v>
      </c>
      <c r="F25" s="478">
        <f t="shared" si="6"/>
        <v>294.73286530281746</v>
      </c>
      <c r="G25" s="478">
        <f t="shared" si="7"/>
        <v>0</v>
      </c>
      <c r="H25" s="478">
        <f t="shared" si="8"/>
        <v>0</v>
      </c>
      <c r="I25" s="478">
        <f t="shared" si="9"/>
        <v>0</v>
      </c>
      <c r="J25" s="478">
        <f t="shared" si="10"/>
        <v>0.36571746107462405</v>
      </c>
      <c r="K25" s="478">
        <f t="shared" si="11"/>
        <v>0</v>
      </c>
      <c r="L25" s="478">
        <f t="shared" si="12"/>
        <v>0</v>
      </c>
      <c r="M25" s="478">
        <f t="shared" si="13"/>
        <v>0</v>
      </c>
      <c r="N25" s="478">
        <f t="shared" si="14"/>
        <v>0</v>
      </c>
      <c r="O25" s="478">
        <f t="shared" si="15"/>
        <v>0</v>
      </c>
      <c r="P25" s="479">
        <f t="shared" si="16"/>
        <v>0</v>
      </c>
      <c r="Q25" s="477">
        <f t="shared" ca="1" si="17"/>
        <v>1104.6322579819209</v>
      </c>
    </row>
    <row r="26" spans="1:17" s="483" customFormat="1">
      <c r="A26" s="481" t="s">
        <v>561</v>
      </c>
      <c r="B26" s="835">
        <f t="shared" ca="1" si="2"/>
        <v>4.5999686826236088</v>
      </c>
      <c r="C26" s="482"/>
      <c r="D26" s="482">
        <f t="shared" si="4"/>
        <v>19.078336264141665</v>
      </c>
      <c r="E26" s="482">
        <f t="shared" si="5"/>
        <v>28.163783698337653</v>
      </c>
      <c r="F26" s="482"/>
      <c r="G26" s="482">
        <f t="shared" si="7"/>
        <v>11207.754265187683</v>
      </c>
      <c r="H26" s="482">
        <f t="shared" si="8"/>
        <v>2635.9340002320196</v>
      </c>
      <c r="I26" s="482"/>
      <c r="J26" s="482"/>
      <c r="K26" s="482"/>
      <c r="L26" s="482"/>
      <c r="M26" s="482">
        <f t="shared" si="13"/>
        <v>0</v>
      </c>
      <c r="N26" s="482"/>
      <c r="O26" s="482"/>
      <c r="P26" s="493"/>
      <c r="Q26" s="481">
        <f t="shared" ca="1" si="17"/>
        <v>13895.530354064806</v>
      </c>
    </row>
    <row r="27" spans="1:17">
      <c r="A27" s="477" t="s">
        <v>551</v>
      </c>
      <c r="B27" s="478">
        <f t="shared" ca="1" si="2"/>
        <v>0</v>
      </c>
      <c r="C27" s="478"/>
      <c r="D27" s="482">
        <f t="shared" si="4"/>
        <v>0</v>
      </c>
      <c r="E27" s="478"/>
      <c r="F27" s="478"/>
      <c r="G27" s="478">
        <f t="shared" si="7"/>
        <v>426.26038112984827</v>
      </c>
      <c r="H27" s="478"/>
      <c r="I27" s="478"/>
      <c r="J27" s="478"/>
      <c r="K27" s="478"/>
      <c r="L27" s="478"/>
      <c r="M27" s="478">
        <f t="shared" si="13"/>
        <v>0</v>
      </c>
      <c r="N27" s="478"/>
      <c r="O27" s="478"/>
      <c r="P27" s="479"/>
      <c r="Q27" s="477">
        <f t="shared" ca="1" si="17"/>
        <v>426.26038112984827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9489.0416720620851</v>
      </c>
      <c r="C31" s="488">
        <f t="shared" ca="1" si="18"/>
        <v>0</v>
      </c>
      <c r="D31" s="488">
        <f t="shared" ca="1" si="18"/>
        <v>17898.069454686749</v>
      </c>
      <c r="E31" s="488">
        <f t="shared" si="18"/>
        <v>1479.1485027151591</v>
      </c>
      <c r="F31" s="488">
        <f t="shared" ca="1" si="18"/>
        <v>7364.2862109606149</v>
      </c>
      <c r="G31" s="488">
        <f t="shared" si="18"/>
        <v>11634.014646317532</v>
      </c>
      <c r="H31" s="488">
        <f t="shared" si="18"/>
        <v>2635.9340002320196</v>
      </c>
      <c r="I31" s="488">
        <f t="shared" si="18"/>
        <v>0</v>
      </c>
      <c r="J31" s="488">
        <f t="shared" si="18"/>
        <v>80.004608723730783</v>
      </c>
      <c r="K31" s="488">
        <f t="shared" si="18"/>
        <v>0</v>
      </c>
      <c r="L31" s="488">
        <f t="shared" ca="1" si="18"/>
        <v>0</v>
      </c>
      <c r="M31" s="488">
        <f t="shared" si="18"/>
        <v>0</v>
      </c>
      <c r="N31" s="488">
        <f t="shared" ca="1" si="18"/>
        <v>0</v>
      </c>
      <c r="O31" s="488">
        <f t="shared" si="18"/>
        <v>0</v>
      </c>
      <c r="P31" s="489">
        <f t="shared" si="18"/>
        <v>0</v>
      </c>
      <c r="Q31" s="489">
        <f t="shared" ca="1" si="18"/>
        <v>50580.499095697887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0.18913254475458097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0.18913254475458097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0.18913254475458097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2019-01-01T21:21:43Z</dcterms:modified>
</cp:coreProperties>
</file>