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6"/>
  <c r="J15" i="16"/>
  <c r="C16" i="15"/>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H25"/>
  <c r="J24"/>
  <c r="I28"/>
  <c r="I22"/>
  <c r="F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8" i="15"/>
  <c r="C20" s="1"/>
  <c r="D36" i="14" s="1"/>
  <c r="C10" i="13"/>
  <c r="C12" s="1"/>
  <c r="D37" i="14" s="1"/>
  <c r="D41" s="1"/>
  <c r="C16" i="22"/>
  <c r="C10" i="17"/>
  <c r="C12" s="1"/>
  <c r="D48" i="14" s="1"/>
  <c r="C56" i="22"/>
  <c r="C58" s="1"/>
  <c r="D44" i="14" s="1"/>
  <c r="D46" s="1"/>
  <c r="C17" i="49"/>
  <c r="Q5" i="48"/>
  <c r="C16"/>
  <c r="E22" i="16"/>
  <c r="F39" i="14" s="1"/>
  <c r="F41" s="1"/>
  <c r="F53" s="1"/>
  <c r="K13"/>
  <c r="K15" s="1"/>
  <c r="K23" s="1"/>
  <c r="G13"/>
  <c r="G15" s="1"/>
  <c r="G23" s="1"/>
  <c r="N8" i="48"/>
  <c r="N25" s="1"/>
  <c r="N31"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<sst xmlns="http://schemas.openxmlformats.org/spreadsheetml/2006/main" count="2108" uniqueCount="850">
  <si>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</si>
  <si>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</si>
  <si>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</si>
  <si>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</si>
  <si>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</si>
  <si>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</si>
  <si>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</si>
  <si>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</si>
  <si>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</si>
  <si>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</si>
  <si>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</si>
  <si>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</si>
  <si>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</si>
  <si>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</si>
  <si>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</si>
  <si>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</si>
  <si>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</si>
  <si>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</si>
  <si>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</si>
  <si>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</si>
  <si>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</si>
  <si>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</si>
  <si>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</si>
  <si>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</si>
  <si>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</si>
  <si>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</si>
  <si>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</si>
  <si>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</si>
  <si>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</si>
  <si>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</si>
  <si>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</si>
  <si>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</si>
  <si>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</si>
  <si>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</si>
  <si>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</si>
  <si>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</si>
  <si>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</si>
  <si>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</si>
  <si>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</si>
  <si>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</si>
  <si>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</si>
  <si>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</si>
  <si>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</si>
  <si>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</si>
  <si>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</si>
  <si>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</si>
  <si>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</si>
  <si>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</si>
  <si>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</si>
  <si>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</si>
  <si>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</si>
  <si>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</si>
  <si>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</si>
  <si>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</si>
  <si>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</si>
  <si>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</si>
  <si>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</si>
  <si>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</si>
  <si>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</si>
  <si>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</si>
  <si>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</si>
  <si>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</si>
  <si>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</si>
  <si>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</si>
  <si>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</si>
  <si>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</si>
  <si>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</si>
  <si>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</si>
  <si>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</si>
  <si>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</si>
  <si>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</si>
  <si>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</si>
  <si>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</si>
  <si>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</si>
  <si>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</si>
  <si>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</si>
  <si>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</si>
  <si>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</si>
  <si>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</si>
  <si>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</si>
  <si>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</si>
  <si>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</si>
  <si>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</si>
  <si>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</si>
  <si>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</si>
  <si>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</si>
  <si>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</si>
  <si>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</si>
  <si>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</si>
  <si>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</si>
  <si>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</si>
  <si>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</si>
  <si>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</si>
  <si>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</si>
  <si>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</si>
  <si>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</si>
  <si>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</si>
  <si>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</si>
  <si>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</si>
  <si>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</si>
  <si>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</si>
  <si>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</si>
  <si>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</si>
  <si>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</si>
  <si>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</si>
  <si>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</si>
  <si>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</si>
  <si>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</si>
  <si>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</si>
  <si>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</si>
  <si>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</si>
  <si>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</si>
  <si>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</si>
  <si>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</si>
  <si>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</si>
  <si>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</si>
  <si>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</si>
  <si>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</si>
  <si>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</si>
  <si>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</si>
  <si>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</si>
  <si>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</si>
  <si>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</si>
  <si>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</si>
  <si>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</si>
  <si>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</si>
  <si>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</si>
  <si>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</si>
  <si>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</si>
  <si>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</si>
  <si>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</si>
  <si>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</si>
  <si>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</si>
  <si>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</si>
  <si>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</si>
  <si>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</si>
  <si>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</si>
  <si>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</si>
  <si>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</si>
  <si>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</si>
  <si>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</si>
  <si>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</si>
  <si>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</si>
  <si>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</si>
  <si>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</si>
  <si>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</si>
  <si>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</si>
  <si>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</si>
  <si>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</si>
  <si>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</si>
  <si>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</si>
  <si>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</si>
  <si>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</si>
  <si>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</si>
  <si>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</si>
  <si>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</si>
  <si>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</si>
  <si>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</si>
  <si>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</si>
  <si>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</si>
  <si>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</si>
  <si>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</si>
  <si>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</si>
  <si>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</si>
  <si>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</si>
  <si>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</si>
  <si>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</si>
  <si>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</si>
  <si>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</si>
  <si>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</si>
  <si>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</si>
  <si>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</si>
  <si>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</si>
  <si>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</si>
  <si>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</si>
  <si>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</si>
  <si>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</si>
  <si>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</si>
  <si>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</si>
  <si>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</si>
  <si>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</si>
  <si>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</si>
  <si>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</si>
  <si>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</si>
  <si>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</si>
  <si>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</si>
  <si>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</si>
  <si>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</si>
  <si>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</si>
  <si>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</si>
  <si>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</si>
  <si>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</si>
  <si>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</si>
  <si>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</si>
  <si>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</si>
  <si>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</si>
  <si>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</si>
  <si>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</si>
  <si>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</si>
  <si>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</si>
  <si>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</si>
  <si>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</si>
  <si>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</si>
  <si>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</si>
  <si>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</si>
  <si>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</si>
  <si>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</si>
  <si>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</si>
  <si>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</si>
  <si>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</si>
  <si>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</si>
  <si>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</si>
  <si>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</si>
  <si>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</si>
  <si>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</si>
  <si>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</si>
  <si>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</si>
  <si>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</si>
  <si>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</si>
  <si>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</si>
  <si>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</si>
  <si>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</si>
  <si>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</si>
  <si>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</si>
  <si>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</si>
  <si>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</si>
  <si>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</si>
  <si>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</si>
  <si>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</si>
  <si>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</si>
  <si>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</si>
  <si>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</si>
  <si>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</si>
  <si>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</si>
  <si>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</si>
  <si>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</si>
  <si>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</si>
  <si>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</si>
  <si>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</si>
  <si>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</si>
  <si>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</si>
  <si>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</si>
  <si>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</si>
  <si>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</si>
  <si>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</si>
  <si>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</si>
  <si>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</si>
  <si>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</si>
  <si>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</si>
  <si>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</si>
  <si>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</si>
  <si>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</si>
  <si>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</si>
  <si>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</si>
  <si>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</si>
  <si>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</si>
  <si>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</si>
  <si>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</si>
  <si>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</si>
  <si>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</si>
  <si>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</si>
  <si>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</si>
  <si>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</si>
  <si>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</si>
  <si>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</si>
  <si>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</si>
  <si>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</si>
  <si>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</si>
  <si>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</si>
  <si>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</si>
  <si>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</si>
  <si>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</si>
  <si>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</si>
  <si>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</si>
  <si>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</si>
  <si>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</si>
  <si>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</si>
  <si>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</si>
  <si>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</si>
  <si>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</si>
  <si>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</si>
  <si>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</si>
  <si>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</si>
  <si>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</si>
  <si>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</si>
  <si>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</si>
  <si>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</si>
  <si>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</si>
  <si>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</si>
  <si>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</si>
  <si>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</si>
  <si>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</si>
  <si>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</si>
  <si>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</si>
  <si>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</si>
  <si>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</si>
  <si>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</si>
  <si>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</si>
  <si>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</si>
  <si>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</si>
  <si>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</si>
  <si>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</si>
  <si>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</si>
  <si>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</si>
  <si>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</si>
  <si>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</si>
  <si>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</si>
  <si>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</si>
  <si>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</si>
  <si>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</si>
  <si>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</si>
  <si>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</si>
  <si>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</si>
  <si>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</si>
  <si>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</si>
  <si>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</si>
  <si>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</si>
  <si>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</si>
  <si>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</si>
  <si>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</si>
  <si>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</si>
  <si>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</si>
  <si>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</si>
  <si>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</si>
  <si>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</si>
  <si>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</si>
  <si>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</si>
  <si>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</si>
  <si>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</si>
  <si>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</si>
  <si>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</si>
  <si>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</si>
  <si>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</si>
  <si>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</si>
  <si>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</si>
  <si>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</si>
  <si>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</si>
  <si>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</si>
  <si>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</si>
  <si>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</si>
  <si>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</si>
  <si>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</si>
  <si>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</si>
  <si>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</si>
  <si>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</si>
  <si>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</si>
  <si>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</si>
  <si>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</si>
  <si>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</si>
  <si>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</si>
  <si>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</si>
  <si>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</si>
  <si>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</si>
  <si>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</si>
  <si>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</si>
  <si>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</si>
  <si>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</si>
  <si>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</si>
  <si>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</si>
  <si>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</si>
  <si>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</si>
  <si>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</si>
  <si>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</si>
  <si>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</si>
  <si>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</si>
  <si>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</si>
  <si>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</si>
  <si>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</si>
  <si>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</si>
  <si>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</si>
  <si>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</si>
  <si>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</si>
  <si>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</si>
  <si>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</si>
  <si>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</si>
  <si>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</si>
  <si>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</si>
  <si>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</si>
  <si>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</si>
  <si>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</si>
  <si>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</si>
  <si>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</si>
  <si>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</si>
  <si>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</si>
  <si>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</si>
  <si>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</si>
  <si>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</si>
  <si>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</si>
  <si>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</si>
  <si>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</si>
  <si>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</si>
  <si>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</si>
  <si>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</si>
  <si>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</si>
  <si>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</si>
  <si>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</si>
  <si>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</si>
  <si>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</si>
  <si>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</si>
  <si>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</si>
  <si>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</si>
  <si>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</si>
  <si>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</si>
  <si>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</si>
  <si>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</si>
  <si>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</si>
  <si>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</si>
  <si>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</si>
  <si>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</si>
  <si>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</si>
  <si>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</si>
  <si>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</si>
  <si>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</si>
  <si>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</si>
  <si>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</si>
  <si>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</si>
  <si>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</si>
  <si>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</si>
  <si>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</si>
  <si>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</si>
  <si>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</si>
  <si>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</si>
  <si>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</si>
  <si>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</si>
  <si>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</si>
  <si>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</si>
  <si>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</si>
  <si>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</si>
  <si>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</si>
  <si>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</si>
  <si>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</si>
  <si>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</si>
  <si>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</si>
  <si>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</si>
  <si>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</si>
  <si>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</si>
  <si>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</si>
  <si>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</si>
  <si>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</si>
  <si>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</si>
  <si>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</si>
  <si>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</si>
  <si>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</si>
  <si>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</si>
  <si>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</si>
  <si>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</si>
  <si>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</si>
  <si>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</si>
  <si>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</si>
  <si>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</si>
  <si>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</si>
  <si>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</si>
  <si>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</si>
  <si>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</si>
  <si>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</si>
  <si>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</si>
  <si>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</si>
  <si>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</si>
  <si>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</si>
  <si>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</si>
  <si>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</si>
  <si>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</si>
  <si>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</si>
  <si>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</si>
  <si>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</si>
  <si>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</si>
  <si>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</si>
  <si>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</si>
  <si>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</si>
  <si>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</si>
  <si>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</si>
  <si>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</si>
  <si>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</si>
  <si>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</si>
  <si>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</si>
  <si>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</si>
  <si>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</si>
  <si>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</si>
  <si>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</si>
  <si>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</si>
  <si>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</si>
  <si>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</si>
  <si>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</si>
  <si>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</si>
  <si>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</si>
  <si>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</si>
  <si>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</si>
  <si>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</si>
  <si>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</si>
  <si>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</si>
  <si>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</si>
  <si>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</si>
  <si>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</si>
  <si>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</si>
  <si>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</si>
  <si>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</si>
  <si>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</si>
  <si>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</si>
  <si>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</si>
  <si>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</si>
  <si>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</si>
  <si>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</si>
  <si>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</si>
  <si>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</si>
  <si>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</si>
  <si>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</si>
  <si>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</si>
  <si>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</si>
  <si>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</si>
  <si>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</si>
  <si>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</si>
  <si>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</si>
  <si>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</si>
  <si>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</si>
  <si>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</si>
  <si>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</si>
  <si>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</si>
  <si>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</si>
  <si>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</si>
  <si>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</si>
  <si>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</si>
  <si>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</si>
  <si>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</si>
  <si>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</si>
  <si>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</si>
  <si>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</si>
  <si>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</si>
  <si>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</si>
  <si>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</si>
  <si>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</si>
  <si>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</si>
  <si>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</si>
  <si>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</si>
  <si>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</si>
  <si>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</si>
  <si>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</si>
  <si>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</si>
  <si>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</si>
  <si>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</si>
  <si>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</si>
  <si>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</si>
  <si>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</si>
  <si>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</si>
  <si>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</si>
  <si>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</si>
  <si>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</si>
  <si>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</si>
  <si>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</si>
  <si>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</si>
  <si>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</si>
  <si>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</si>
  <si>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</si>
  <si>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</si>
  <si>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</si>
  <si>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</si>
  <si>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</si>
  <si>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</si>
  <si>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</si>
  <si>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</si>
  <si>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</si>
  <si>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</si>
  <si>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</si>
  <si>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</si>
  <si>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</si>
  <si>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</si>
  <si>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</si>
  <si>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</si>
  <si>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</si>
  <si>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</si>
  <si>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</si>
  <si>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</si>
  <si>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</si>
  <si>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</si>
  <si>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</si>
  <si>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</si>
  <si>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</si>
  <si>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</si>
  <si>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</si>
  <si>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</si>
  <si>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</si>
  <si>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</si>
  <si>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</si>
  <si>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</si>
  <si>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</si>
  <si>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</si>
  <si>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</si>
  <si>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</si>
  <si>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</si>
  <si>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</si>
  <si>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</si>
  <si>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</si>
  <si>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</si>
  <si>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</si>
  <si>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</si>
  <si>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</si>
  <si>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</si>
  <si>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</si>
  <si>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</si>
  <si>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</si>
  <si>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</si>
  <si>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</si>
  <si>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</si>
  <si>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</si>
  <si>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</si>
  <si>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</si>
  <si>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</si>
  <si>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</si>
  <si>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</si>
  <si>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</si>
  <si>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</si>
  <si>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</si>
  <si>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</si>
  <si>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</si>
  <si>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</si>
  <si>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</si>
  <si>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</si>
  <si>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</si>
  <si>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</si>
  <si>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</si>
  <si>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</si>
  <si>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</si>
  <si>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</si>
  <si>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</si>
  <si>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</si>
  <si>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</si>
  <si>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</si>
  <si>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</si>
  <si>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</si>
  <si>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</si>
  <si>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</si>
  <si>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</si>
  <si>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</si>
  <si>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</si>
  <si>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</si>
  <si>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</si>
  <si>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</si>
  <si>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</si>
  <si>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</si>
  <si>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</si>
  <si>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</si>
  <si>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</si>
  <si>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</si>
  <si>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</si>
  <si>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</si>
  <si>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</si>
  <si>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</si>
  <si>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</si>
  <si>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</si>
  <si>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</si>
  <si>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</si>
  <si>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</si>
  <si>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</si>
  <si>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</si>
  <si>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</si>
  <si>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</si>
  <si>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</si>
  <si>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</si>
  <si>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</si>
  <si>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</si>
  <si>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</si>
  <si>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</si>
  <si>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</si>
  <si>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</si>
  <si>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</si>
  <si>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</si>
  <si>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</si>
  <si>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</si>
  <si>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</si>
  <si>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</si>
  <si>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</si>
  <si>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</si>
  <si>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</si>
  <si>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</si>
  <si>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</si>
  <si>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</si>
  <si>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</si>
  <si>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</si>
  <si>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</si>
  <si>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</si>
  <si>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</si>
  <si>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</si>
  <si>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</si>
  <si>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</si>
  <si>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</si>
  <si>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</si>
  <si>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</si>
  <si>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</si>
  <si>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</si>
  <si>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</si>
  <si>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</si>
  <si>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</si>
  <si>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</si>
  <si>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</si>
  <si>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</si>
  <si>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</si>
  <si>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</si>
  <si>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</si>
  <si>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</si>
  <si>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</si>
  <si>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</si>
  <si>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</si>
  <si>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</si>
  <si>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</si>
  <si>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</si>
  <si>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</si>
  <si>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</si>
  <si>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</si>
  <si>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</si>
  <si>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</si>
  <si>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</si>
  <si>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</si>
  <si>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</si>
  <si>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</si>
  <si>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</si>
  <si>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</si>
  <si>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</si>
  <si>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</si>
  <si>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</si>
  <si>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</si>
  <si>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</si>
  <si>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</si>
  <si>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</si>
  <si>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</si>
  <si>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</si>
  <si>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</si>
  <si>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</si>
  <si>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</si>
  <si>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</si>
  <si>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</si>
  <si>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</si>
  <si>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</si>
  <si>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</si>
  <si>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</si>
  <si>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</si>
  <si>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</si>
  <si>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</si>
  <si>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</si>
  <si>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</si>
  <si>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</si>
  <si>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</si>
  <si>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</si>
  <si>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</si>
  <si>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</si>
  <si>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</si>
  <si>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</si>
  <si>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</si>
  <si>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</si>
  <si>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</si>
  <si>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</si>
  <si>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</si>
  <si>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</si>
  <si>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</si>
  <si>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</si>
  <si>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</si>
  <si>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</si>
  <si>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</si>
  <si>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</si>
  <si>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</si>
  <si>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</si>
  <si>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</si>
  <si>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</si>
  <si>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</si>
  <si>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</si>
  <si>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</si>
  <si>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</si>
  <si>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</si>
  <si>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</si>
  <si>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</si>
  <si>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</si>
  <si>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</si>
  <si>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</si>
  <si>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</si>
  <si>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</si>
  <si>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</si>
  <si>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</si>
  <si>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</si>
  <si>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</si>
  <si>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</si>
  <si>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</si>
  <si>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</si>
  <si>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</si>
  <si>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</si>
  <si>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</si>
  <si>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</si>
  <si>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</si>
  <si>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</si>
  <si>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</si>
  <si>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</si>
  <si>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</si>
  <si>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</si>
  <si>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</si>
  <si>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</si>
  <si>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</si>
  <si>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</si>
  <si>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</si>
  <si>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</si>
  <si>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</si>
  <si>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</si>
  <si>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</si>
  <si>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</si>
  <si>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</si>
  <si>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</si>
  <si>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</si>
  <si>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</si>
  <si>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</si>
  <si>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</si>
  <si>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</si>
  <si>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</si>
  <si>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</si>
  <si>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</si>
  <si>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</si>
  <si>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</si>
  <si>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</si>
  <si>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</si>
  <si>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</si>
  <si>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</si>
  <si>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</si>
  <si>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</si>
  <si>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</si>
  <si>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</si>
  <si>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</si>
  <si>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</si>
  <si>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</si>
  <si>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</si>
  <si>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</si>
  <si>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</si>
  <si>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</si>
  <si>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</si>
  <si>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</si>
  <si>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</si>
  <si>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</si>
  <si>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</si>
  <si>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</si>
  <si>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</si>
  <si>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</si>
  <si>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</si>
  <si>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71057</t>
  </si>
  <si>
    <t>TESSENDERLO</t>
  </si>
  <si>
    <t>Eandis (januari 2018); Infrax (juni 2018)</t>
  </si>
  <si>
    <t>MOW (september 2017)</t>
  </si>
  <si>
    <t>referentietaak LNE (2017); Jaarverslag De Lijn (2016)</t>
  </si>
  <si>
    <t>VEA (april 2018)</t>
  </si>
  <si>
    <t>VEA (januari 2017)</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</si>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</sst>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160010.54874011016</c:v>
                </c:pt>
                <c:pt idx="1">
                  <c:v>59069.214562921887</c:v>
                </c:pt>
                <c:pt idx="2">
                  <c:v>1418.8440000000001</c:v>
                </c:pt>
                <c:pt idx="3">
                  <c:v>4952.44395649541</c:v>
                </c:pt>
                <c:pt idx="4">
                  <c:v>66344.569119196254</c:v>
                </c:pt>
                <c:pt idx="5">
                  <c:v>142891.41934853591</c:v>
                </c:pt>
                <c:pt idx="6">
                  <c:v>1947.1154000492841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160010.54874011016</c:v>
                </c:pt>
                <c:pt idx="1">
                  <c:v>59069.214562921887</c:v>
                </c:pt>
                <c:pt idx="2">
                  <c:v>1418.8440000000001</c:v>
                </c:pt>
                <c:pt idx="3">
                  <c:v>4952.44395649541</c:v>
                </c:pt>
                <c:pt idx="4">
                  <c:v>66344.569119196254</c:v>
                </c:pt>
                <c:pt idx="5">
                  <c:v>142891.41934853591</c:v>
                </c:pt>
                <c:pt idx="6">
                  <c:v>1947.1154000492841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27482.342094730222</c:v>
                </c:pt>
                <c:pt idx="1">
                  <c:v>8687.2941632709844</c:v>
                </c:pt>
                <c:pt idx="2">
                  <c:v>145.43285820141259</c:v>
                </c:pt>
                <c:pt idx="3">
                  <c:v>1099.957358905672</c:v>
                </c:pt>
                <c:pt idx="4">
                  <c:v>8974.6906332638409</c:v>
                </c:pt>
                <c:pt idx="5">
                  <c:v>35764.64064333518</c:v>
                </c:pt>
                <c:pt idx="6">
                  <c:v>491.93980272425682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27482.342094730222</c:v>
                </c:pt>
                <c:pt idx="1">
                  <c:v>8687.2941632709844</c:v>
                </c:pt>
                <c:pt idx="2">
                  <c:v>145.43285820141259</c:v>
                </c:pt>
                <c:pt idx="3">
                  <c:v>1099.957358905672</c:v>
                </c:pt>
                <c:pt idx="4">
                  <c:v>8974.6906332638409</c:v>
                </c:pt>
                <c:pt idx="5">
                  <c:v>35764.64064333518</c:v>
                </c:pt>
                <c:pt idx="6">
                  <c:v>491.93980272425682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71057</v>
      </c>
      <c r="B6" s="415"/>
      <c r="C6" s="416"/>
    </row>
    <row r="7" spans="1:7" s="413" customFormat="1" ht="15.75" customHeight="1">
      <c r="A7" s="417" t="str">
        <f>txtMunicipality</f>
        <v>TESSENDERLO</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7742</v>
      </c>
      <c r="C9" s="342">
        <v>8242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1522.53</v>
      </c>
    </row>
    <row r="15" spans="1:6">
      <c r="A15" s="348" t="s">
        <v>184</v>
      </c>
      <c r="B15" s="334">
        <v>16</v>
      </c>
    </row>
    <row r="16" spans="1:6">
      <c r="A16" s="348" t="s">
        <v>6</v>
      </c>
      <c r="B16" s="334">
        <v>601</v>
      </c>
    </row>
    <row r="17" spans="1:6">
      <c r="A17" s="348" t="s">
        <v>7</v>
      </c>
      <c r="B17" s="334">
        <v>196</v>
      </c>
    </row>
    <row r="18" spans="1:6">
      <c r="A18" s="348" t="s">
        <v>8</v>
      </c>
      <c r="B18" s="334">
        <v>606</v>
      </c>
    </row>
    <row r="19" spans="1:6">
      <c r="A19" s="348" t="s">
        <v>9</v>
      </c>
      <c r="B19" s="334">
        <v>455</v>
      </c>
    </row>
    <row r="20" spans="1:6">
      <c r="A20" s="348" t="s">
        <v>10</v>
      </c>
      <c r="B20" s="334">
        <v>338</v>
      </c>
    </row>
    <row r="21" spans="1:6">
      <c r="A21" s="348" t="s">
        <v>11</v>
      </c>
      <c r="B21" s="334">
        <v>0</v>
      </c>
    </row>
    <row r="22" spans="1:6">
      <c r="A22" s="348" t="s">
        <v>12</v>
      </c>
      <c r="B22" s="334">
        <v>873</v>
      </c>
    </row>
    <row r="23" spans="1:6">
      <c r="A23" s="348" t="s">
        <v>13</v>
      </c>
      <c r="B23" s="334">
        <v>0</v>
      </c>
    </row>
    <row r="24" spans="1:6">
      <c r="A24" s="348" t="s">
        <v>14</v>
      </c>
      <c r="B24" s="334">
        <v>0</v>
      </c>
    </row>
    <row r="25" spans="1:6">
      <c r="A25" s="348" t="s">
        <v>15</v>
      </c>
      <c r="B25" s="334">
        <v>0</v>
      </c>
    </row>
    <row r="26" spans="1:6">
      <c r="A26" s="348" t="s">
        <v>16</v>
      </c>
      <c r="B26" s="334">
        <v>163</v>
      </c>
    </row>
    <row r="27" spans="1:6">
      <c r="A27" s="348" t="s">
        <v>17</v>
      </c>
      <c r="B27" s="334">
        <v>3</v>
      </c>
    </row>
    <row r="28" spans="1:6" s="356" customFormat="1">
      <c r="A28" s="355" t="s">
        <v>18</v>
      </c>
      <c r="B28" s="355">
        <v>18910</v>
      </c>
    </row>
    <row r="29" spans="1:6">
      <c r="A29" s="355" t="s">
        <v>744</v>
      </c>
      <c r="B29" s="355">
        <v>123</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204038.85699999999</v>
      </c>
    </row>
    <row r="36" spans="1:6">
      <c r="A36" s="348" t="s">
        <v>25</v>
      </c>
      <c r="B36" s="348" t="s">
        <v>27</v>
      </c>
      <c r="C36" s="334">
        <v>0</v>
      </c>
      <c r="D36" s="334">
        <v>0</v>
      </c>
      <c r="E36" s="334">
        <v>4</v>
      </c>
      <c r="F36" s="334">
        <v>76928683</v>
      </c>
    </row>
    <row r="37" spans="1:6">
      <c r="A37" s="348" t="s">
        <v>25</v>
      </c>
      <c r="B37" s="348" t="s">
        <v>28</v>
      </c>
      <c r="C37" s="334">
        <v>0</v>
      </c>
      <c r="D37" s="334">
        <v>0</v>
      </c>
      <c r="E37" s="334">
        <v>0</v>
      </c>
      <c r="F37" s="334">
        <v>0</v>
      </c>
    </row>
    <row r="38" spans="1:6">
      <c r="A38" s="348" t="s">
        <v>25</v>
      </c>
      <c r="B38" s="348" t="s">
        <v>29</v>
      </c>
      <c r="C38" s="334">
        <v>1</v>
      </c>
      <c r="D38" s="334">
        <v>17684</v>
      </c>
      <c r="E38" s="334">
        <v>0</v>
      </c>
      <c r="F38" s="334">
        <v>0</v>
      </c>
    </row>
    <row r="39" spans="1:6">
      <c r="A39" s="348" t="s">
        <v>30</v>
      </c>
      <c r="B39" s="348" t="s">
        <v>31</v>
      </c>
      <c r="C39" s="334">
        <v>3909</v>
      </c>
      <c r="D39" s="334">
        <v>52871038.450000003</v>
      </c>
      <c r="E39" s="334">
        <v>7864</v>
      </c>
      <c r="F39" s="334">
        <v>25837613.300000001</v>
      </c>
    </row>
    <row r="40" spans="1:6">
      <c r="A40" s="348" t="s">
        <v>30</v>
      </c>
      <c r="B40" s="348" t="s">
        <v>29</v>
      </c>
      <c r="C40" s="334">
        <v>0</v>
      </c>
      <c r="D40" s="334">
        <v>0</v>
      </c>
      <c r="E40" s="334">
        <v>0</v>
      </c>
      <c r="F40" s="334">
        <v>0</v>
      </c>
    </row>
    <row r="41" spans="1:6">
      <c r="A41" s="348" t="s">
        <v>32</v>
      </c>
      <c r="B41" s="348" t="s">
        <v>33</v>
      </c>
      <c r="C41" s="334">
        <v>61</v>
      </c>
      <c r="D41" s="334">
        <v>1478240.65</v>
      </c>
      <c r="E41" s="334">
        <v>153</v>
      </c>
      <c r="F41" s="334">
        <v>2558297.65</v>
      </c>
    </row>
    <row r="42" spans="1:6">
      <c r="A42" s="348" t="s">
        <v>32</v>
      </c>
      <c r="B42" s="348" t="s">
        <v>34</v>
      </c>
      <c r="C42" s="334">
        <v>0</v>
      </c>
      <c r="D42" s="334">
        <v>0</v>
      </c>
      <c r="E42" s="334">
        <v>7</v>
      </c>
      <c r="F42" s="334">
        <v>9552367.7139999997</v>
      </c>
    </row>
    <row r="43" spans="1:6">
      <c r="A43" s="348" t="s">
        <v>32</v>
      </c>
      <c r="B43" s="348" t="s">
        <v>35</v>
      </c>
      <c r="C43" s="334">
        <v>0</v>
      </c>
      <c r="D43" s="334">
        <v>0</v>
      </c>
      <c r="E43" s="334">
        <v>0</v>
      </c>
      <c r="F43" s="334">
        <v>0</v>
      </c>
    </row>
    <row r="44" spans="1:6">
      <c r="A44" s="348" t="s">
        <v>32</v>
      </c>
      <c r="B44" s="348" t="s">
        <v>36</v>
      </c>
      <c r="C44" s="334">
        <v>11</v>
      </c>
      <c r="D44" s="334">
        <v>1480851</v>
      </c>
      <c r="E44" s="334">
        <v>39</v>
      </c>
      <c r="F44" s="334">
        <v>26242577.283</v>
      </c>
    </row>
    <row r="45" spans="1:6">
      <c r="A45" s="348" t="s">
        <v>32</v>
      </c>
      <c r="B45" s="348" t="s">
        <v>37</v>
      </c>
      <c r="C45" s="334">
        <v>5</v>
      </c>
      <c r="D45" s="334">
        <v>7196766.7139999997</v>
      </c>
      <c r="E45" s="334">
        <v>9</v>
      </c>
      <c r="F45" s="334">
        <v>2886998</v>
      </c>
    </row>
    <row r="46" spans="1:6">
      <c r="A46" s="348" t="s">
        <v>32</v>
      </c>
      <c r="B46" s="348" t="s">
        <v>38</v>
      </c>
      <c r="C46" s="334">
        <v>0</v>
      </c>
      <c r="D46" s="334">
        <v>0</v>
      </c>
      <c r="E46" s="334">
        <v>0</v>
      </c>
      <c r="F46" s="334">
        <v>0</v>
      </c>
    </row>
    <row r="47" spans="1:6">
      <c r="A47" s="348" t="s">
        <v>32</v>
      </c>
      <c r="B47" s="348" t="s">
        <v>39</v>
      </c>
      <c r="C47" s="334">
        <v>7</v>
      </c>
      <c r="D47" s="334">
        <v>201267</v>
      </c>
      <c r="E47" s="334">
        <v>10</v>
      </c>
      <c r="F47" s="334">
        <v>266333.8</v>
      </c>
    </row>
    <row r="48" spans="1:6">
      <c r="A48" s="348" t="s">
        <v>32</v>
      </c>
      <c r="B48" s="348" t="s">
        <v>29</v>
      </c>
      <c r="C48" s="334">
        <v>2</v>
      </c>
      <c r="D48" s="334">
        <v>4126335.7140000002</v>
      </c>
      <c r="E48" s="334">
        <v>1</v>
      </c>
      <c r="F48" s="334">
        <v>211820</v>
      </c>
    </row>
    <row r="49" spans="1:6">
      <c r="A49" s="348" t="s">
        <v>32</v>
      </c>
      <c r="B49" s="348" t="s">
        <v>40</v>
      </c>
      <c r="C49" s="334">
        <v>4</v>
      </c>
      <c r="D49" s="334">
        <v>518749</v>
      </c>
      <c r="E49" s="334">
        <v>4</v>
      </c>
      <c r="F49" s="334">
        <v>383871</v>
      </c>
    </row>
    <row r="50" spans="1:6">
      <c r="A50" s="348" t="s">
        <v>32</v>
      </c>
      <c r="B50" s="348" t="s">
        <v>41</v>
      </c>
      <c r="C50" s="334">
        <v>7</v>
      </c>
      <c r="D50" s="334">
        <v>527723</v>
      </c>
      <c r="E50" s="334">
        <v>15</v>
      </c>
      <c r="F50" s="334">
        <v>451897</v>
      </c>
    </row>
    <row r="51" spans="1:6">
      <c r="A51" s="348" t="s">
        <v>42</v>
      </c>
      <c r="B51" s="348" t="s">
        <v>43</v>
      </c>
      <c r="C51" s="334">
        <v>5</v>
      </c>
      <c r="D51" s="334">
        <v>535688</v>
      </c>
      <c r="E51" s="334">
        <v>29</v>
      </c>
      <c r="F51" s="334">
        <v>513099</v>
      </c>
    </row>
    <row r="52" spans="1:6">
      <c r="A52" s="348" t="s">
        <v>42</v>
      </c>
      <c r="B52" s="348" t="s">
        <v>29</v>
      </c>
      <c r="C52" s="334">
        <v>0</v>
      </c>
      <c r="D52" s="334">
        <v>0</v>
      </c>
      <c r="E52" s="334">
        <v>0</v>
      </c>
      <c r="F52" s="334">
        <v>0</v>
      </c>
    </row>
    <row r="53" spans="1:6">
      <c r="A53" s="348" t="s">
        <v>44</v>
      </c>
      <c r="B53" s="348" t="s">
        <v>45</v>
      </c>
      <c r="C53" s="334">
        <v>45</v>
      </c>
      <c r="D53" s="334">
        <v>1917065.5209999999</v>
      </c>
      <c r="E53" s="334">
        <v>193</v>
      </c>
      <c r="F53" s="334">
        <v>678459.94299999997</v>
      </c>
    </row>
    <row r="54" spans="1:6">
      <c r="A54" s="348" t="s">
        <v>46</v>
      </c>
      <c r="B54" s="348" t="s">
        <v>47</v>
      </c>
      <c r="C54" s="334">
        <v>0</v>
      </c>
      <c r="D54" s="334">
        <v>0</v>
      </c>
      <c r="E54" s="334">
        <v>3</v>
      </c>
      <c r="F54" s="334">
        <v>1418844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2044809.6</v>
      </c>
      <c r="E57" s="334">
        <v>121</v>
      </c>
      <c r="F57" s="334">
        <v>3913832.2519999999</v>
      </c>
    </row>
    <row r="58" spans="1:6">
      <c r="A58" s="348" t="s">
        <v>49</v>
      </c>
      <c r="B58" s="348" t="s">
        <v>51</v>
      </c>
      <c r="C58" s="334">
        <v>39</v>
      </c>
      <c r="D58" s="334">
        <v>1768005</v>
      </c>
      <c r="E58" s="334">
        <v>56</v>
      </c>
      <c r="F58" s="334">
        <v>1067743</v>
      </c>
    </row>
    <row r="59" spans="1:6">
      <c r="A59" s="348" t="s">
        <v>49</v>
      </c>
      <c r="B59" s="348" t="s">
        <v>52</v>
      </c>
      <c r="C59" s="334">
        <v>108</v>
      </c>
      <c r="D59" s="334">
        <v>4698124.2</v>
      </c>
      <c r="E59" s="334">
        <v>256</v>
      </c>
      <c r="F59" s="334">
        <v>10410596.16</v>
      </c>
    </row>
    <row r="60" spans="1:6">
      <c r="A60" s="348" t="s">
        <v>49</v>
      </c>
      <c r="B60" s="348" t="s">
        <v>53</v>
      </c>
      <c r="C60" s="334">
        <v>53</v>
      </c>
      <c r="D60" s="334">
        <v>4361991.7139999997</v>
      </c>
      <c r="E60" s="334">
        <v>97</v>
      </c>
      <c r="F60" s="334">
        <v>2401570</v>
      </c>
    </row>
    <row r="61" spans="1:6">
      <c r="A61" s="348" t="s">
        <v>49</v>
      </c>
      <c r="B61" s="348" t="s">
        <v>54</v>
      </c>
      <c r="C61" s="334">
        <v>137</v>
      </c>
      <c r="D61" s="334">
        <v>9216182.4649999999</v>
      </c>
      <c r="E61" s="334">
        <v>334</v>
      </c>
      <c r="F61" s="334">
        <v>10987240.716</v>
      </c>
    </row>
    <row r="62" spans="1:6">
      <c r="A62" s="348" t="s">
        <v>49</v>
      </c>
      <c r="B62" s="348" t="s">
        <v>55</v>
      </c>
      <c r="C62" s="334">
        <v>10</v>
      </c>
      <c r="D62" s="334">
        <v>978641</v>
      </c>
      <c r="E62" s="334">
        <v>13</v>
      </c>
      <c r="F62" s="334">
        <v>455600.51799999998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40043</v>
      </c>
      <c r="E65" s="334">
        <v>0</v>
      </c>
      <c r="F65" s="334">
        <v>0</v>
      </c>
    </row>
    <row r="66" spans="1:6">
      <c r="A66" s="348" t="s">
        <v>56</v>
      </c>
      <c r="B66" s="348" t="s">
        <v>58</v>
      </c>
      <c r="C66" s="334">
        <v>0</v>
      </c>
      <c r="D66" s="334">
        <v>0</v>
      </c>
      <c r="E66" s="334">
        <v>14</v>
      </c>
      <c r="F66" s="334">
        <v>558661</v>
      </c>
    </row>
    <row r="67" spans="1:6">
      <c r="A67" s="355" t="s">
        <v>56</v>
      </c>
      <c r="B67" s="355" t="s">
        <v>59</v>
      </c>
      <c r="C67" s="334">
        <v>0</v>
      </c>
      <c r="D67" s="334">
        <v>0</v>
      </c>
      <c r="E67" s="334">
        <v>0</v>
      </c>
      <c r="F67" s="334">
        <v>0</v>
      </c>
    </row>
    <row r="68" spans="1:6">
      <c r="A68" s="341" t="s">
        <v>56</v>
      </c>
      <c r="B68" s="341" t="s">
        <v>60</v>
      </c>
      <c r="C68" s="334">
        <v>10</v>
      </c>
      <c r="D68" s="334">
        <v>579824</v>
      </c>
      <c r="E68" s="334">
        <v>26</v>
      </c>
      <c r="F68" s="334">
        <v>473903.66499999998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46167542</v>
      </c>
      <c r="E73" s="476">
        <v>46755047.500090286</v>
      </c>
    </row>
    <row r="74" spans="1:6">
      <c r="A74" s="348" t="s">
        <v>64</v>
      </c>
      <c r="B74" s="348" t="s">
        <v>657</v>
      </c>
      <c r="C74" s="1272" t="s">
        <v>659</v>
      </c>
      <c r="D74" s="476">
        <v>3017992.8809213601</v>
      </c>
      <c r="E74" s="476">
        <v>3071085.6483725384</v>
      </c>
    </row>
    <row r="75" spans="1:6">
      <c r="A75" s="348" t="s">
        <v>65</v>
      </c>
      <c r="B75" s="348" t="s">
        <v>656</v>
      </c>
      <c r="C75" s="1272" t="s">
        <v>660</v>
      </c>
      <c r="D75" s="476">
        <v>42976509</v>
      </c>
      <c r="E75" s="476">
        <v>43518696.475926667</v>
      </c>
    </row>
    <row r="76" spans="1:6">
      <c r="A76" s="348" t="s">
        <v>65</v>
      </c>
      <c r="B76" s="348" t="s">
        <v>657</v>
      </c>
      <c r="C76" s="1272" t="s">
        <v>661</v>
      </c>
      <c r="D76" s="476">
        <v>1302180.8809213601</v>
      </c>
      <c r="E76" s="476">
        <v>1332123.7157804389</v>
      </c>
    </row>
    <row r="77" spans="1:6">
      <c r="A77" s="348" t="s">
        <v>66</v>
      </c>
      <c r="B77" s="348" t="s">
        <v>656</v>
      </c>
      <c r="C77" s="1272" t="s">
        <v>662</v>
      </c>
      <c r="D77" s="476">
        <v>51701664</v>
      </c>
      <c r="E77" s="476">
        <v>53924803.007016033</v>
      </c>
    </row>
    <row r="78" spans="1:6">
      <c r="A78" s="341" t="s">
        <v>66</v>
      </c>
      <c r="B78" s="341" t="s">
        <v>657</v>
      </c>
      <c r="C78" s="341" t="s">
        <v>663</v>
      </c>
      <c r="D78" s="1273">
        <v>11034080</v>
      </c>
      <c r="E78" s="1273">
        <v>11364520.66073514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528090.23815727979</v>
      </c>
      <c r="C83" s="476">
        <v>539998.1056744972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47020.251821306338</v>
      </c>
    </row>
    <row r="91" spans="1:6">
      <c r="A91" s="348" t="s">
        <v>68</v>
      </c>
      <c r="B91" s="334">
        <v>5653.5447024118139</v>
      </c>
    </row>
    <row r="92" spans="1:6">
      <c r="A92" s="341" t="s">
        <v>69</v>
      </c>
      <c r="B92" s="342">
        <v>3785.6150406922097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86</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379</v>
      </c>
    </row>
    <row r="130" spans="1:6">
      <c r="A130" s="348" t="s">
        <v>295</v>
      </c>
      <c r="B130" s="334">
        <v>2</v>
      </c>
    </row>
    <row r="131" spans="1:6">
      <c r="A131" s="348" t="s">
        <v>296</v>
      </c>
      <c r="B131" s="334">
        <v>1</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105293.10526638097</v>
      </c>
      <c r="C3" s="43" t="s">
        <v>170</v>
      </c>
      <c r="D3" s="43"/>
      <c r="E3" s="154"/>
      <c r="F3" s="43"/>
      <c r="G3" s="43"/>
      <c r="H3" s="43"/>
      <c r="I3" s="43"/>
      <c r="J3" s="43"/>
      <c r="K3" s="96"/>
    </row>
    <row r="4" spans="1:11">
      <c r="A4" s="383" t="s">
        <v>171</v>
      </c>
      <c r="B4" s="49">
        <f>IF(ISERROR('SEAP template'!B69),0,'SEAP template'!B69)</f>
        <v>56483.261564410357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0.10250095021116667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1418.8440000000001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1418.8440000000001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0.10250095021116667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145.43285820141259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25837.613300000001</v>
      </c>
      <c r="C5" s="17">
        <f>IF(ISERROR('Eigen informatie GS &amp; warmtenet'!B57),0,'Eigen informatie GS &amp; warmtenet'!B57)</f>
        <v>0</v>
      </c>
      <c r="D5" s="30">
        <f>(SUM(HH_hh_gas_kWh,HH_rest_gas_kWh)/1000)*0.902</f>
        <v>47689.676681900004</v>
      </c>
      <c r="E5" s="17">
        <f>B46*B57</f>
        <v>6220.2294070193029</v>
      </c>
      <c r="F5" s="17">
        <f>B51*B62</f>
        <v>49472.515771894541</v>
      </c>
      <c r="G5" s="18"/>
      <c r="H5" s="17"/>
      <c r="I5" s="17"/>
      <c r="J5" s="17">
        <f>B50*B61+C50*C61</f>
        <v>0</v>
      </c>
      <c r="K5" s="17"/>
      <c r="L5" s="17"/>
      <c r="M5" s="17"/>
      <c r="N5" s="17">
        <f>B48*B59+C48*C59</f>
        <v>22427.085543551158</v>
      </c>
      <c r="O5" s="17">
        <f>B69*B70*B71</f>
        <v>726.95</v>
      </c>
      <c r="P5" s="17">
        <f>B77*B78*B79/1000-B77*B78*B79/1000/B80</f>
        <v>1982.9333333333334</v>
      </c>
    </row>
    <row r="6" spans="1:16">
      <c r="A6" s="16" t="s">
        <v>621</v>
      </c>
      <c r="B6" s="843">
        <f>kWh_PV_kleiner_dan_10kW</f>
        <v>5653.5447024118139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31491.158002411816</v>
      </c>
      <c r="C8" s="21">
        <f>C5</f>
        <v>0</v>
      </c>
      <c r="D8" s="21">
        <f>D5</f>
        <v>47689.676681900004</v>
      </c>
      <c r="E8" s="21">
        <f>E5</f>
        <v>6220.2294070193029</v>
      </c>
      <c r="F8" s="21">
        <f>F5</f>
        <v>49472.515771894541</v>
      </c>
      <c r="G8" s="21"/>
      <c r="H8" s="21"/>
      <c r="I8" s="21"/>
      <c r="J8" s="21">
        <f>J5</f>
        <v>0</v>
      </c>
      <c r="K8" s="21"/>
      <c r="L8" s="21">
        <f>L5</f>
        <v>0</v>
      </c>
      <c r="M8" s="21">
        <f>M5</f>
        <v>0</v>
      </c>
      <c r="N8" s="21">
        <f>N5</f>
        <v>22427.085543551158</v>
      </c>
      <c r="O8" s="21">
        <f>O5</f>
        <v>726.95</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0.10250095021116667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3227.8736184971967</v>
      </c>
      <c r="C12" s="23">
        <f ca="1">C10*C8</f>
        <v>0</v>
      </c>
      <c r="D12" s="23">
        <f>D8*D10</f>
        <v>9633.3146897438019</v>
      </c>
      <c r="E12" s="23">
        <f>E10*E8</f>
        <v>1411.9920753933818</v>
      </c>
      <c r="F12" s="23">
        <f>F10*F8</f>
        <v>13209.161711095843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7742</v>
      </c>
      <c r="C28" s="36"/>
      <c r="D28" s="228"/>
    </row>
    <row r="29" spans="1:7" s="15" customFormat="1">
      <c r="A29" s="230" t="s">
        <v>795</v>
      </c>
      <c r="B29" s="37">
        <f>SUM(HH_hh_gas_aantal,HH_rest_gas_aantal)</f>
        <v>3909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3909</v>
      </c>
      <c r="C32" s="167">
        <f>IF(ISERROR(B32/SUM($B$32,$B$34,$B$35,$B$36,$B$38,$B$39)*100),0,B32/SUM($B$32,$B$34,$B$35,$B$36,$B$38,$B$39)*100)</f>
        <v>51.178318931657493</v>
      </c>
      <c r="D32" s="233"/>
      <c r="G32" s="15"/>
    </row>
    <row r="33" spans="1:7">
      <c r="A33" s="171" t="s">
        <v>72</v>
      </c>
      <c r="B33" s="34" t="s">
        <v>111</v>
      </c>
      <c r="C33" s="167"/>
      <c r="D33" s="233"/>
      <c r="G33" s="15"/>
    </row>
    <row r="34" spans="1:7">
      <c r="A34" s="171" t="s">
        <v>73</v>
      </c>
      <c r="B34" s="33">
        <f>IF((($B$28-$B$32-$B$39-$B$77-$B$38)*C20/100)&lt;0,0,($B$28-$B$32-$B$39-$B$77-$B$38)*C20/100)</f>
        <v>293.77517564402814</v>
      </c>
      <c r="C34" s="167">
        <f>IF(ISERROR(B34/SUM($B$32,$B$34,$B$35,$B$36,$B$38,$B$39)*100),0,B34/SUM($B$32,$B$34,$B$35,$B$36,$B$38,$B$39)*100)</f>
        <v>3.8462316790262907</v>
      </c>
      <c r="D34" s="233"/>
      <c r="G34" s="15"/>
    </row>
    <row r="35" spans="1:7">
      <c r="A35" s="171" t="s">
        <v>74</v>
      </c>
      <c r="B35" s="33">
        <f>IF((($B$28-$B$32-$B$39-$B$77-$B$38)*C21/100)&lt;0,0,($B$28-$B$32-$B$39-$B$77-$B$38)*C21/100)</f>
        <v>1213.4192037470725</v>
      </c>
      <c r="C35" s="167">
        <f>IF(ISERROR(B35/SUM($B$32,$B$34,$B$35,$B$36,$B$38,$B$39)*100),0,B35/SUM($B$32,$B$34,$B$35,$B$36,$B$38,$B$39)*100)</f>
        <v>15.886609109021634</v>
      </c>
      <c r="D35" s="233"/>
      <c r="G35" s="15"/>
    </row>
    <row r="36" spans="1:7">
      <c r="A36" s="171" t="s">
        <v>75</v>
      </c>
      <c r="B36" s="33">
        <f>IF((($B$28-$B$32-$B$39-$B$77-$B$38)*C22/100)&lt;0,0,($B$28-$B$32-$B$39-$B$77-$B$38)*C22/100)</f>
        <v>310.80562060889929</v>
      </c>
      <c r="C36" s="167">
        <f>IF(ISERROR(B36/SUM($B$32,$B$34,$B$35,$B$36,$B$38,$B$39)*100),0,B36/SUM($B$32,$B$34,$B$35,$B$36,$B$38,$B$39)*100)</f>
        <v>4.0692016314336117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1911</v>
      </c>
      <c r="C39" s="167">
        <f>IF(ISERROR(B39/SUM($B$32,$B$34,$B$35,$B$36,$B$38,$B$39)*100),0,B39/SUM($B$32,$B$34,$B$35,$B$36,$B$38,$B$39)*100)</f>
        <v>25.019638648860955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3909</v>
      </c>
      <c r="C44" s="34" t="s">
        <v>111</v>
      </c>
      <c r="D44" s="174"/>
    </row>
    <row r="45" spans="1:7">
      <c r="A45" s="171" t="s">
        <v>72</v>
      </c>
      <c r="B45" s="33" t="str">
        <f t="shared" si="0"/>
        <v>-</v>
      </c>
      <c r="C45" s="34" t="s">
        <v>111</v>
      </c>
      <c r="D45" s="174"/>
    </row>
    <row r="46" spans="1:7">
      <c r="A46" s="171" t="s">
        <v>73</v>
      </c>
      <c r="B46" s="33">
        <f t="shared" si="0"/>
        <v>293.77517564402814</v>
      </c>
      <c r="C46" s="34" t="s">
        <v>111</v>
      </c>
      <c r="D46" s="174"/>
    </row>
    <row r="47" spans="1:7">
      <c r="A47" s="171" t="s">
        <v>74</v>
      </c>
      <c r="B47" s="33">
        <f t="shared" si="0"/>
        <v>1213.4192037470725</v>
      </c>
      <c r="C47" s="34" t="s">
        <v>111</v>
      </c>
      <c r="D47" s="174"/>
    </row>
    <row r="48" spans="1:7">
      <c r="A48" s="171" t="s">
        <v>75</v>
      </c>
      <c r="B48" s="33">
        <f t="shared" si="0"/>
        <v>310.80562060889929</v>
      </c>
      <c r="C48" s="33">
        <f>B48*10</f>
        <v>3108.0562060889929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1911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29236.582645999999</v>
      </c>
      <c r="C5" s="17">
        <f>IF(ISERROR('Eigen informatie GS &amp; warmtenet'!B58),0,'Eigen informatie GS &amp; warmtenet'!B58)</f>
        <v>0</v>
      </c>
      <c r="D5" s="30">
        <f>SUM(D6:D12)</f>
        <v>20807.114089057999</v>
      </c>
      <c r="E5" s="17">
        <f>SUM(E6:E12)</f>
        <v>423.65626313502383</v>
      </c>
      <c r="F5" s="17">
        <f>SUM(F6:F12)</f>
        <v>5222.8569453076934</v>
      </c>
      <c r="G5" s="18"/>
      <c r="H5" s="17"/>
      <c r="I5" s="17"/>
      <c r="J5" s="17">
        <f>SUM(J6:J12)</f>
        <v>8.4953956392109273E-2</v>
      </c>
      <c r="K5" s="17"/>
      <c r="L5" s="17"/>
      <c r="M5" s="17"/>
      <c r="N5" s="17">
        <f>SUM(N6:N12)</f>
        <v>3366.9477607028821</v>
      </c>
      <c r="O5" s="17">
        <f>B38*B39*B40</f>
        <v>3.1266666666666669</v>
      </c>
      <c r="P5" s="17">
        <f>B46*B47*B48/1000-B46*B47*B48/1000/B49</f>
        <v>19.066666666666666</v>
      </c>
      <c r="R5" s="32"/>
    </row>
    <row r="6" spans="1:18">
      <c r="A6" s="32" t="s">
        <v>54</v>
      </c>
      <c r="B6" s="37">
        <f>B26</f>
        <v>10987.240716</v>
      </c>
      <c r="C6" s="33"/>
      <c r="D6" s="37">
        <f>IF(ISERROR(TER_kantoor_gas_kWh/1000),0,TER_kantoor_gas_kWh/1000)*0.902</f>
        <v>8312.9965834300001</v>
      </c>
      <c r="E6" s="33">
        <f>$C$26*'E Balans VL '!I12/100/3.6*1000000</f>
        <v>6.8864370508875616E-2</v>
      </c>
      <c r="F6" s="33">
        <f>$C$26*('E Balans VL '!L12+'E Balans VL '!N12)/100/3.6*1000000</f>
        <v>1651.0752668282303</v>
      </c>
      <c r="G6" s="34"/>
      <c r="H6" s="33"/>
      <c r="I6" s="33"/>
      <c r="J6" s="33">
        <f>$C$26*('E Balans VL '!D12+'E Balans VL '!E12)/100/3.6*1000000</f>
        <v>0</v>
      </c>
      <c r="K6" s="33"/>
      <c r="L6" s="33"/>
      <c r="M6" s="33"/>
      <c r="N6" s="33">
        <f>$C$26*'E Balans VL '!Y12/100/3.6*1000000</f>
        <v>10.507666707640521</v>
      </c>
      <c r="O6" s="33"/>
      <c r="P6" s="33"/>
      <c r="R6" s="32"/>
    </row>
    <row r="7" spans="1:18">
      <c r="A7" s="32" t="s">
        <v>53</v>
      </c>
      <c r="B7" s="37">
        <f t="shared" ref="B7:B12" si="0">B27</f>
        <v>2401.5700000000002</v>
      </c>
      <c r="C7" s="33"/>
      <c r="D7" s="37">
        <f>IF(ISERROR(TER_horeca_gas_kWh/1000),0,TER_horeca_gas_kWh/1000)*0.902</f>
        <v>3934.516526028</v>
      </c>
      <c r="E7" s="33">
        <f>$C$27*'E Balans VL '!I9/100/3.6*1000000</f>
        <v>34.390082374802049</v>
      </c>
      <c r="F7" s="33">
        <f>$C$27*('E Balans VL '!L9+'E Balans VL '!N9)/100/3.6*1000000</f>
        <v>304.11796883011158</v>
      </c>
      <c r="G7" s="34"/>
      <c r="H7" s="33"/>
      <c r="I7" s="33"/>
      <c r="J7" s="33">
        <f>$C$27*('E Balans VL '!D9+'E Balans VL '!E9)/100/3.6*1000000</f>
        <v>0</v>
      </c>
      <c r="K7" s="33"/>
      <c r="L7" s="33"/>
      <c r="M7" s="33"/>
      <c r="N7" s="33">
        <f>$C$27*'E Balans VL '!Y9/100/3.6*1000000</f>
        <v>0.69039842492671666</v>
      </c>
      <c r="O7" s="33"/>
      <c r="P7" s="33"/>
      <c r="R7" s="32"/>
    </row>
    <row r="8" spans="1:18">
      <c r="A8" s="6" t="s">
        <v>52</v>
      </c>
      <c r="B8" s="37">
        <f t="shared" si="0"/>
        <v>10410.596160000001</v>
      </c>
      <c r="C8" s="33"/>
      <c r="D8" s="37">
        <f>IF(ISERROR(TER_handel_gas_kWh/1000),0,TER_handel_gas_kWh/1000)*0.902</f>
        <v>4237.7080284000003</v>
      </c>
      <c r="E8" s="33">
        <f>$C$28*'E Balans VL '!I13/100/3.6*1000000</f>
        <v>377.59103894599679</v>
      </c>
      <c r="F8" s="33">
        <f>$C$28*('E Balans VL '!L13+'E Balans VL '!N13)/100/3.6*1000000</f>
        <v>2005.1862344041319</v>
      </c>
      <c r="G8" s="34"/>
      <c r="H8" s="33"/>
      <c r="I8" s="33"/>
      <c r="J8" s="33">
        <f>$C$28*('E Balans VL '!D13+'E Balans VL '!E13)/100/3.6*1000000</f>
        <v>0</v>
      </c>
      <c r="K8" s="33"/>
      <c r="L8" s="33"/>
      <c r="M8" s="33"/>
      <c r="N8" s="33">
        <f>$C$28*'E Balans VL '!Y13/100/3.6*1000000</f>
        <v>14.421071052946054</v>
      </c>
      <c r="O8" s="33"/>
      <c r="P8" s="33"/>
      <c r="R8" s="32"/>
    </row>
    <row r="9" spans="1:18">
      <c r="A9" s="32" t="s">
        <v>51</v>
      </c>
      <c r="B9" s="37">
        <f t="shared" si="0"/>
        <v>1067.7429999999999</v>
      </c>
      <c r="C9" s="33"/>
      <c r="D9" s="37">
        <f>IF(ISERROR(TER_gezond_gas_kWh/1000),0,TER_gezond_gas_kWh/1000)*0.902</f>
        <v>1594.7405100000001</v>
      </c>
      <c r="E9" s="33">
        <f>$C$29*'E Balans VL '!I10/100/3.6*1000000</f>
        <v>6.6851253857592163E-2</v>
      </c>
      <c r="F9" s="33">
        <f>$C$29*('E Balans VL '!L10+'E Balans VL '!N10)/100/3.6*1000000</f>
        <v>158.61647361782917</v>
      </c>
      <c r="G9" s="34"/>
      <c r="H9" s="33"/>
      <c r="I9" s="33"/>
      <c r="J9" s="33">
        <f>$C$29*('E Balans VL '!D10+'E Balans VL '!E10)/100/3.6*1000000</f>
        <v>0</v>
      </c>
      <c r="K9" s="33"/>
      <c r="L9" s="33"/>
      <c r="M9" s="33"/>
      <c r="N9" s="33">
        <f>$C$29*'E Balans VL '!Y10/100/3.6*1000000</f>
        <v>16.515951752392613</v>
      </c>
      <c r="O9" s="33"/>
      <c r="P9" s="33"/>
      <c r="R9" s="32"/>
    </row>
    <row r="10" spans="1:18">
      <c r="A10" s="32" t="s">
        <v>50</v>
      </c>
      <c r="B10" s="37">
        <f t="shared" si="0"/>
        <v>3913.8322519999997</v>
      </c>
      <c r="C10" s="33"/>
      <c r="D10" s="37">
        <f>IF(ISERROR(TER_ander_gas_kWh/1000),0,TER_ander_gas_kWh/1000)*0.902</f>
        <v>1844.4182592000002</v>
      </c>
      <c r="E10" s="33">
        <f>$C$30*'E Balans VL '!I14/100/3.6*1000000</f>
        <v>4.6651481876509493</v>
      </c>
      <c r="F10" s="33">
        <f>$C$30*('E Balans VL '!L14+'E Balans VL '!N14)/100/3.6*1000000</f>
        <v>1024.0325124389851</v>
      </c>
      <c r="G10" s="34"/>
      <c r="H10" s="33"/>
      <c r="I10" s="33"/>
      <c r="J10" s="33">
        <f>$C$30*('E Balans VL '!D14+'E Balans VL '!E14)/100/3.6*1000000</f>
        <v>8.4953956392109273E-2</v>
      </c>
      <c r="K10" s="33"/>
      <c r="L10" s="33"/>
      <c r="M10" s="33"/>
      <c r="N10" s="33">
        <f>$C$30*'E Balans VL '!Y14/100/3.6*1000000</f>
        <v>3323.5305782712535</v>
      </c>
      <c r="O10" s="33"/>
      <c r="P10" s="33"/>
      <c r="R10" s="32"/>
    </row>
    <row r="11" spans="1:18">
      <c r="A11" s="32" t="s">
        <v>55</v>
      </c>
      <c r="B11" s="37">
        <f t="shared" si="0"/>
        <v>455.60051799999997</v>
      </c>
      <c r="C11" s="33"/>
      <c r="D11" s="37">
        <f>IF(ISERROR(TER_onderwijs_gas_kWh/1000),0,TER_onderwijs_gas_kWh/1000)*0.902</f>
        <v>882.73418200000003</v>
      </c>
      <c r="E11" s="33">
        <f>$C$31*'E Balans VL '!I11/100/3.6*1000000</f>
        <v>6.8742780022075705</v>
      </c>
      <c r="F11" s="33">
        <f>$C$31*('E Balans VL '!L11+'E Balans VL '!N11)/100/3.6*1000000</f>
        <v>79.828489188406039</v>
      </c>
      <c r="G11" s="34"/>
      <c r="H11" s="33"/>
      <c r="I11" s="33"/>
      <c r="J11" s="33">
        <f>$C$31*('E Balans VL '!D11+'E Balans VL '!E11)/100/3.6*1000000</f>
        <v>0</v>
      </c>
      <c r="K11" s="33"/>
      <c r="L11" s="33"/>
      <c r="M11" s="33"/>
      <c r="N11" s="33">
        <f>$C$31*'E Balans VL '!Y11/100/3.6*1000000</f>
        <v>1.2820944937223844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29260.432645999997</v>
      </c>
      <c r="C16" s="21">
        <f t="shared" ca="1" si="1"/>
        <v>34.071428571428577</v>
      </c>
      <c r="D16" s="21">
        <f t="shared" ca="1" si="1"/>
        <v>20738.97123191514</v>
      </c>
      <c r="E16" s="21">
        <f t="shared" si="1"/>
        <v>423.65626313502383</v>
      </c>
      <c r="F16" s="21">
        <f t="shared" ca="1" si="1"/>
        <v>5222.8569453076934</v>
      </c>
      <c r="G16" s="21">
        <f t="shared" si="1"/>
        <v>0</v>
      </c>
      <c r="H16" s="21">
        <f t="shared" si="1"/>
        <v>0</v>
      </c>
      <c r="I16" s="21">
        <f t="shared" si="1"/>
        <v>0</v>
      </c>
      <c r="J16" s="21">
        <f t="shared" si="1"/>
        <v>8.4953956392109273E-2</v>
      </c>
      <c r="K16" s="21">
        <f t="shared" si="1"/>
        <v>0</v>
      </c>
      <c r="L16" s="21">
        <f t="shared" ca="1" si="1"/>
        <v>0</v>
      </c>
      <c r="M16" s="21">
        <f t="shared" si="1"/>
        <v>0</v>
      </c>
      <c r="N16" s="21">
        <f t="shared" ca="1" si="1"/>
        <v>3366.9477607028821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0.10250095021116667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2999.2221498048416</v>
      </c>
      <c r="C20" s="23">
        <f t="shared" ref="C20:P20" ca="1" si="2">C16*C18</f>
        <v>8.0969747899159685</v>
      </c>
      <c r="D20" s="23">
        <f t="shared" ca="1" si="2"/>
        <v>4189.2721888468586</v>
      </c>
      <c r="E20" s="23">
        <f t="shared" si="2"/>
        <v>96.169971731650421</v>
      </c>
      <c r="F20" s="23">
        <f t="shared" ca="1" si="2"/>
        <v>1394.5028043971543</v>
      </c>
      <c r="G20" s="23">
        <f t="shared" si="2"/>
        <v>0</v>
      </c>
      <c r="H20" s="23">
        <f t="shared" si="2"/>
        <v>0</v>
      </c>
      <c r="I20" s="23">
        <f t="shared" si="2"/>
        <v>0</v>
      </c>
      <c r="J20" s="23">
        <f t="shared" si="2"/>
        <v>3.0073700562806682E-2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10987.240716</v>
      </c>
      <c r="C26" s="39">
        <f>IF(ISERROR(B26*3.6/1000000/'E Balans VL '!Z12*100),0,B26*3.6/1000000/'E Balans VL '!Z12*100)</f>
        <v>0.23225286354103999</v>
      </c>
      <c r="D26" s="237" t="s">
        <v>754</v>
      </c>
      <c r="F26" s="6"/>
    </row>
    <row r="27" spans="1:18">
      <c r="A27" s="231" t="s">
        <v>53</v>
      </c>
      <c r="B27" s="33">
        <f>IF(ISERROR(TER_horeca_ele_kWh/1000),0,TER_horeca_ele_kWh/1000)</f>
        <v>2401.5700000000002</v>
      </c>
      <c r="C27" s="39">
        <f>IF(ISERROR(B27*3.6/1000000/'E Balans VL '!Z9*100),0,B27*3.6/1000000/'E Balans VL '!Z9*100)</f>
        <v>0.18931486798916394</v>
      </c>
      <c r="D27" s="237" t="s">
        <v>754</v>
      </c>
      <c r="F27" s="6"/>
    </row>
    <row r="28" spans="1:18">
      <c r="A28" s="171" t="s">
        <v>52</v>
      </c>
      <c r="B28" s="33">
        <f>IF(ISERROR(TER_handel_ele_kWh/1000),0,TER_handel_ele_kWh/1000)</f>
        <v>10410.596160000001</v>
      </c>
      <c r="C28" s="39">
        <f>IF(ISERROR(B28*3.6/1000000/'E Balans VL '!Z13*100),0,B28*3.6/1000000/'E Balans VL '!Z13*100)</f>
        <v>0.30215756408516081</v>
      </c>
      <c r="D28" s="237" t="s">
        <v>754</v>
      </c>
      <c r="F28" s="6"/>
    </row>
    <row r="29" spans="1:18">
      <c r="A29" s="231" t="s">
        <v>51</v>
      </c>
      <c r="B29" s="33">
        <f>IF(ISERROR(TER_gezond_ele_kWh/1000),0,TER_gezond_ele_kWh/1000)</f>
        <v>1067.7429999999999</v>
      </c>
      <c r="C29" s="39">
        <f>IF(ISERROR(B29*3.6/1000000/'E Balans VL '!Z10*100),0,B29*3.6/1000000/'E Balans VL '!Z10*100)</f>
        <v>0.11245087070285821</v>
      </c>
      <c r="D29" s="237" t="s">
        <v>754</v>
      </c>
      <c r="F29" s="6"/>
    </row>
    <row r="30" spans="1:18">
      <c r="A30" s="231" t="s">
        <v>50</v>
      </c>
      <c r="B30" s="33">
        <f>IF(ISERROR(TER_ander_ele_kWh/1000),0,TER_ander_ele_kWh/1000)</f>
        <v>3913.8322519999997</v>
      </c>
      <c r="C30" s="39">
        <f>IF(ISERROR(B30*3.6/1000000/'E Balans VL '!Z14*100),0,B30*3.6/1000000/'E Balans VL '!Z14*100)</f>
        <v>0.28868511698765653</v>
      </c>
      <c r="D30" s="237" t="s">
        <v>754</v>
      </c>
      <c r="F30" s="6"/>
    </row>
    <row r="31" spans="1:18">
      <c r="A31" s="231" t="s">
        <v>55</v>
      </c>
      <c r="B31" s="33">
        <f>IF(ISERROR(TER_onderwijs_ele_kWh/1000),0,TER_onderwijs_ele_kWh/1000)</f>
        <v>455.60051799999997</v>
      </c>
      <c r="C31" s="39">
        <f>IF(ISERROR(B31*3.6/1000000/'E Balans VL '!Z11*100),0,B31*3.6/1000000/'E Balans VL '!Z11*100)</f>
        <v>0.113146950204513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42554.162446999995</v>
      </c>
      <c r="C5" s="17">
        <f>IF(ISERROR('Eigen informatie GS &amp; warmtenet'!B59),0,'Eigen informatie GS &amp; warmtenet'!B59)</f>
        <v>0</v>
      </c>
      <c r="D5" s="30">
        <f>SUM(D6:D15)</f>
        <v>14007.999636356</v>
      </c>
      <c r="E5" s="17">
        <f>SUM(E6:E15)</f>
        <v>1110.4825030964773</v>
      </c>
      <c r="F5" s="17">
        <f>SUM(F6:F15)</f>
        <v>5727.305688447892</v>
      </c>
      <c r="G5" s="18"/>
      <c r="H5" s="17"/>
      <c r="I5" s="17"/>
      <c r="J5" s="17">
        <f>SUM(J6:J15)</f>
        <v>5.543710292644163</v>
      </c>
      <c r="K5" s="17"/>
      <c r="L5" s="17"/>
      <c r="M5" s="17"/>
      <c r="N5" s="17">
        <f>SUM(N6:N15)</f>
        <v>2939.0751340032371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26242.577282999999</v>
      </c>
      <c r="C8" s="33"/>
      <c r="D8" s="37">
        <f>IF( ISERROR(IND_metaal_Gas_kWH/1000),0,IND_metaal_Gas_kWH/1000)*0.902</f>
        <v>1335.7276020000002</v>
      </c>
      <c r="E8" s="33">
        <f>C30*'E Balans VL '!I18/100/3.6*1000000</f>
        <v>241.27515279501029</v>
      </c>
      <c r="F8" s="33">
        <f>C30*'E Balans VL '!L18/100/3.6*1000000+C30*'E Balans VL '!N18/100/3.6*1000000</f>
        <v>2460.6800453073406</v>
      </c>
      <c r="G8" s="34"/>
      <c r="H8" s="33"/>
      <c r="I8" s="33"/>
      <c r="J8" s="40">
        <f>C30*'E Balans VL '!D18/100/3.6*1000000+C30*'E Balans VL '!E18/100/3.6*1000000</f>
        <v>0</v>
      </c>
      <c r="K8" s="33"/>
      <c r="L8" s="33"/>
      <c r="M8" s="33"/>
      <c r="N8" s="33">
        <f>C30*'E Balans VL '!Y18/100/3.6*1000000</f>
        <v>374.39373262721375</v>
      </c>
      <c r="O8" s="33"/>
      <c r="P8" s="33"/>
      <c r="R8" s="32"/>
    </row>
    <row r="9" spans="1:18">
      <c r="A9" s="6" t="s">
        <v>33</v>
      </c>
      <c r="B9" s="37">
        <f t="shared" si="0"/>
        <v>2558.29765</v>
      </c>
      <c r="C9" s="33"/>
      <c r="D9" s="37">
        <f>IF( ISERROR(IND_andere_gas_kWh/1000),0,IND_andere_gas_kWh/1000)*0.902</f>
        <v>1333.3730662999999</v>
      </c>
      <c r="E9" s="33">
        <f>C31*'E Balans VL '!I19/100/3.6*1000000</f>
        <v>747.84020727587608</v>
      </c>
      <c r="F9" s="33">
        <f>C31*'E Balans VL '!L19/100/3.6*1000000+C31*'E Balans VL '!N19/100/3.6*1000000</f>
        <v>2055.7858071138244</v>
      </c>
      <c r="G9" s="34"/>
      <c r="H9" s="33"/>
      <c r="I9" s="33"/>
      <c r="J9" s="40">
        <f>C31*'E Balans VL '!D19/100/3.6*1000000+C31*'E Balans VL '!E19/100/3.6*1000000</f>
        <v>0</v>
      </c>
      <c r="K9" s="33"/>
      <c r="L9" s="33"/>
      <c r="M9" s="33"/>
      <c r="N9" s="33">
        <f>C31*'E Balans VL '!Y19/100/3.6*1000000</f>
        <v>845.30121994349349</v>
      </c>
      <c r="O9" s="33"/>
      <c r="P9" s="33"/>
      <c r="R9" s="32"/>
    </row>
    <row r="10" spans="1:18">
      <c r="A10" s="6" t="s">
        <v>41</v>
      </c>
      <c r="B10" s="37">
        <f t="shared" si="0"/>
        <v>451.89699999999999</v>
      </c>
      <c r="C10" s="33"/>
      <c r="D10" s="37">
        <f>IF( ISERROR(IND_voed_gas_kWh/1000),0,IND_voed_gas_kWh/1000)*0.902</f>
        <v>476.006146</v>
      </c>
      <c r="E10" s="33">
        <f>C32*'E Balans VL '!I20/100/3.6*1000000</f>
        <v>0.95599511024597184</v>
      </c>
      <c r="F10" s="33">
        <f>C32*'E Balans VL '!L20/100/3.6*1000000+C32*'E Balans VL '!N20/100/3.6*1000000</f>
        <v>28.732072859249307</v>
      </c>
      <c r="G10" s="34"/>
      <c r="H10" s="33"/>
      <c r="I10" s="33"/>
      <c r="J10" s="40">
        <f>C32*'E Balans VL '!D20/100/3.6*1000000+C32*'E Balans VL '!E20/100/3.6*1000000</f>
        <v>0</v>
      </c>
      <c r="K10" s="33"/>
      <c r="L10" s="33"/>
      <c r="M10" s="33"/>
      <c r="N10" s="33">
        <f>C32*'E Balans VL '!Y20/100/3.6*1000000</f>
        <v>31.185352428560268</v>
      </c>
      <c r="O10" s="33"/>
      <c r="P10" s="33"/>
      <c r="R10" s="32"/>
    </row>
    <row r="11" spans="1:18">
      <c r="A11" s="6" t="s">
        <v>40</v>
      </c>
      <c r="B11" s="37">
        <f t="shared" si="0"/>
        <v>383.87099999999998</v>
      </c>
      <c r="C11" s="33"/>
      <c r="D11" s="37">
        <f>IF( ISERROR(IND_textiel_gas_kWh/1000),0,IND_textiel_gas_kWh/1000)*0.902</f>
        <v>467.91159800000003</v>
      </c>
      <c r="E11" s="33">
        <f>C33*'E Balans VL '!I21/100/3.6*1000000</f>
        <v>1.1400637739573316</v>
      </c>
      <c r="F11" s="33">
        <f>C33*'E Balans VL '!L21/100/3.6*1000000+C33*'E Balans VL '!N21/100/3.6*1000000</f>
        <v>38.781509839198321</v>
      </c>
      <c r="G11" s="34"/>
      <c r="H11" s="33"/>
      <c r="I11" s="33"/>
      <c r="J11" s="40">
        <f>C33*'E Balans VL '!D21/100/3.6*1000000+C33*'E Balans VL '!E21/100/3.6*1000000</f>
        <v>0</v>
      </c>
      <c r="K11" s="33"/>
      <c r="L11" s="33"/>
      <c r="M11" s="33"/>
      <c r="N11" s="33">
        <f>C33*'E Balans VL '!Y21/100/3.6*1000000</f>
        <v>21.171710718347793</v>
      </c>
      <c r="O11" s="33"/>
      <c r="P11" s="33"/>
      <c r="R11" s="32"/>
    </row>
    <row r="12" spans="1:18">
      <c r="A12" s="6" t="s">
        <v>37</v>
      </c>
      <c r="B12" s="37">
        <f t="shared" si="0"/>
        <v>2886.998</v>
      </c>
      <c r="C12" s="33"/>
      <c r="D12" s="37">
        <f>IF( ISERROR(IND_min_gas_kWh/1000),0,IND_min_gas_kWh/1000)*0.902</f>
        <v>6491.4835760279993</v>
      </c>
      <c r="E12" s="33">
        <f>C34*'E Balans VL '!I22/100/3.6*1000000</f>
        <v>83.682184331889047</v>
      </c>
      <c r="F12" s="33">
        <f>C34*'E Balans VL '!L22/100/3.6*1000000+C34*'E Balans VL '!N22/100/3.6*1000000</f>
        <v>992.58253620449</v>
      </c>
      <c r="G12" s="34"/>
      <c r="H12" s="33"/>
      <c r="I12" s="33"/>
      <c r="J12" s="40">
        <f>C34*'E Balans VL '!D22/100/3.6*1000000+C34*'E Balans VL '!E22/100/3.6*1000000</f>
        <v>4.7442076978703485</v>
      </c>
      <c r="K12" s="33"/>
      <c r="L12" s="33"/>
      <c r="M12" s="33"/>
      <c r="N12" s="33">
        <f>C34*'E Balans VL '!Y22/100/3.6*1000000</f>
        <v>632.01130507907192</v>
      </c>
      <c r="O12" s="33"/>
      <c r="P12" s="33"/>
      <c r="R12" s="32"/>
    </row>
    <row r="13" spans="1:18">
      <c r="A13" s="6" t="s">
        <v>39</v>
      </c>
      <c r="B13" s="37">
        <f t="shared" si="0"/>
        <v>266.3338</v>
      </c>
      <c r="C13" s="33"/>
      <c r="D13" s="37">
        <f>IF( ISERROR(IND_papier_gas_kWh/1000),0,IND_papier_gas_kWh/1000)*0.902</f>
        <v>181.542834</v>
      </c>
      <c r="E13" s="33">
        <f>C35*'E Balans VL '!I23/100/3.6*1000000</f>
        <v>0.37786675213278365</v>
      </c>
      <c r="F13" s="33">
        <f>C35*'E Balans VL '!L23/100/3.6*1000000+C35*'E Balans VL '!N23/100/3.6*1000000</f>
        <v>6.5022095376578095</v>
      </c>
      <c r="G13" s="34"/>
      <c r="H13" s="33"/>
      <c r="I13" s="33"/>
      <c r="J13" s="40">
        <f>C35*'E Balans VL '!D23/100/3.6*1000000+C35*'E Balans VL '!E23/100/3.6*1000000</f>
        <v>4.1191022664088146E-2</v>
      </c>
      <c r="K13" s="33"/>
      <c r="L13" s="33"/>
      <c r="M13" s="33"/>
      <c r="N13" s="33">
        <f>C35*'E Balans VL '!Y23/100/3.6*1000000</f>
        <v>774.16931105915876</v>
      </c>
      <c r="O13" s="33"/>
      <c r="P13" s="33"/>
      <c r="R13" s="32"/>
    </row>
    <row r="14" spans="1:18">
      <c r="A14" s="6" t="s">
        <v>34</v>
      </c>
      <c r="B14" s="37">
        <f t="shared" si="0"/>
        <v>9552.367714</v>
      </c>
      <c r="C14" s="33"/>
      <c r="D14" s="37">
        <f>IF( ISERROR(IND_chemie_gas_kWh/1000),0,IND_chemie_gas_kWh/1000)*0.902</f>
        <v>0</v>
      </c>
      <c r="E14" s="33">
        <f>C36*'E Balans VL '!I24/100/3.6*1000000</f>
        <v>23.515192378876549</v>
      </c>
      <c r="F14" s="33">
        <f>C36*'E Balans VL '!L24/100/3.6*1000000+C36*'E Balans VL '!N24/100/3.6*1000000</f>
        <v>102.28630546699847</v>
      </c>
      <c r="G14" s="34"/>
      <c r="H14" s="33"/>
      <c r="I14" s="33"/>
      <c r="J14" s="40">
        <f>C36*'E Balans VL '!D24/100/3.6*1000000+C36*'E Balans VL '!E24/100/3.6*1000000</f>
        <v>0</v>
      </c>
      <c r="K14" s="33"/>
      <c r="L14" s="33"/>
      <c r="M14" s="33"/>
      <c r="N14" s="33">
        <f>C36*'E Balans VL '!Y24/100/3.6*1000000</f>
        <v>213.3279512951016</v>
      </c>
      <c r="O14" s="33"/>
      <c r="P14" s="33"/>
      <c r="R14" s="32"/>
    </row>
    <row r="15" spans="1:18">
      <c r="A15" s="6" t="s">
        <v>270</v>
      </c>
      <c r="B15" s="37">
        <f t="shared" si="0"/>
        <v>211.82</v>
      </c>
      <c r="C15" s="33"/>
      <c r="D15" s="37">
        <f>IF( ISERROR(IND_rest_gas_kWh/1000),0,IND_rest_gas_kWh/1000)*0.902</f>
        <v>3721.9548140279999</v>
      </c>
      <c r="E15" s="33">
        <f>C37*'E Balans VL '!I15/100/3.6*1000000</f>
        <v>11.695840678489361</v>
      </c>
      <c r="F15" s="33">
        <f>C37*'E Balans VL '!L15/100/3.6*1000000+C37*'E Balans VL '!N15/100/3.6*1000000</f>
        <v>41.955202119132693</v>
      </c>
      <c r="G15" s="34"/>
      <c r="H15" s="33"/>
      <c r="I15" s="33"/>
      <c r="J15" s="40">
        <f>C37*'E Balans VL '!D15/100/3.6*1000000+C37*'E Balans VL '!E15/100/3.6*1000000</f>
        <v>0.75831157210972666</v>
      </c>
      <c r="K15" s="33"/>
      <c r="L15" s="33"/>
      <c r="M15" s="33"/>
      <c r="N15" s="33">
        <f>C37*'E Balans VL '!Y15/100/3.6*1000000</f>
        <v>47.514550852289389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42554.162446999995</v>
      </c>
      <c r="C18" s="21">
        <f>C5+C16</f>
        <v>0</v>
      </c>
      <c r="D18" s="21">
        <f>MAX((D5+D16),0)</f>
        <v>14007.999636356</v>
      </c>
      <c r="E18" s="21">
        <f>MAX((E5+E16),0)</f>
        <v>1110.4825030964773</v>
      </c>
      <c r="F18" s="21">
        <f>MAX((F5+F16),0)</f>
        <v>5727.305688447892</v>
      </c>
      <c r="G18" s="21"/>
      <c r="H18" s="21"/>
      <c r="I18" s="21"/>
      <c r="J18" s="21">
        <f>MAX((J5+J16),0)</f>
        <v>5.543710292644163</v>
      </c>
      <c r="K18" s="21"/>
      <c r="L18" s="21">
        <f>MAX((L5+L16),0)</f>
        <v>0</v>
      </c>
      <c r="M18" s="21"/>
      <c r="N18" s="21">
        <f>MAX((N5+N16),0)</f>
        <v>2939.0751340032371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0.10250095021116667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4361.842086257845</v>
      </c>
      <c r="C22" s="23">
        <f ca="1">C18*C20</f>
        <v>0</v>
      </c>
      <c r="D22" s="23">
        <f>D18*D20</f>
        <v>2829.6159265439123</v>
      </c>
      <c r="E22" s="23">
        <f>E18*E20</f>
        <v>252.07952820290035</v>
      </c>
      <c r="F22" s="23">
        <f>F18*F20</f>
        <v>1529.1906188155872</v>
      </c>
      <c r="G22" s="23"/>
      <c r="H22" s="23"/>
      <c r="I22" s="23"/>
      <c r="J22" s="23">
        <f>J18*J20</f>
        <v>1.9624734435960336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26242.577282999999</v>
      </c>
      <c r="C30" s="39">
        <f>IF(ISERROR(B30*3.6/1000000/'E Balans VL '!Z18*100),0,B30*3.6/1000000/'E Balans VL '!Z18*100)</f>
        <v>1.4872341449968793</v>
      </c>
      <c r="D30" s="237" t="s">
        <v>754</v>
      </c>
    </row>
    <row r="31" spans="1:18">
      <c r="A31" s="6" t="s">
        <v>33</v>
      </c>
      <c r="B31" s="37">
        <f>IF( ISERROR(IND_ander_ele_kWh/1000),0,IND_ander_ele_kWh/1000)</f>
        <v>2558.29765</v>
      </c>
      <c r="C31" s="39">
        <f>IF(ISERROR(B31*3.6/1000000/'E Balans VL '!Z19*100),0,B31*3.6/1000000/'E Balans VL '!Z19*100)</f>
        <v>0.11603372883799004</v>
      </c>
      <c r="D31" s="237" t="s">
        <v>754</v>
      </c>
    </row>
    <row r="32" spans="1:18">
      <c r="A32" s="171" t="s">
        <v>41</v>
      </c>
      <c r="B32" s="37">
        <f>IF( ISERROR(IND_voed_ele_kWh/1000),0,IND_voed_ele_kWh/1000)</f>
        <v>451.89699999999999</v>
      </c>
      <c r="C32" s="39">
        <f>IF(ISERROR(B32*3.6/1000000/'E Balans VL '!Z20*100),0,B32*3.6/1000000/'E Balans VL '!Z20*100)</f>
        <v>1.3979225649165719E-2</v>
      </c>
      <c r="D32" s="237" t="s">
        <v>754</v>
      </c>
    </row>
    <row r="33" spans="1:5">
      <c r="A33" s="171" t="s">
        <v>40</v>
      </c>
      <c r="B33" s="37">
        <f>IF( ISERROR(IND_textiel_ele_kWh/1000),0,IND_textiel_ele_kWh/1000)</f>
        <v>383.87099999999998</v>
      </c>
      <c r="C33" s="39">
        <f>IF(ISERROR(B33*3.6/1000000/'E Balans VL '!Z21*100),0,B33*3.6/1000000/'E Balans VL '!Z21*100)</f>
        <v>5.0052511456561657E-2</v>
      </c>
      <c r="D33" s="237" t="s">
        <v>754</v>
      </c>
    </row>
    <row r="34" spans="1:5">
      <c r="A34" s="171" t="s">
        <v>37</v>
      </c>
      <c r="B34" s="37">
        <f>IF( ISERROR(IND_min_ele_kWh/1000),0,IND_min_ele_kWh/1000)</f>
        <v>2886.998</v>
      </c>
      <c r="C34" s="39">
        <f>IF(ISERROR(B34*3.6/1000000/'E Balans VL '!Z22*100),0,B34*3.6/1000000/'E Balans VL '!Z22*100)</f>
        <v>0.5192808668997666</v>
      </c>
      <c r="D34" s="237" t="s">
        <v>754</v>
      </c>
    </row>
    <row r="35" spans="1:5">
      <c r="A35" s="171" t="s">
        <v>39</v>
      </c>
      <c r="B35" s="37">
        <f>IF( ISERROR(IND_papier_ele_kWh/1000),0,IND_papier_ele_kWh/1000)</f>
        <v>266.3338</v>
      </c>
      <c r="C35" s="39">
        <f>IF(ISERROR(B35*3.6/1000000/'E Balans VL '!Z22*100),0,B35*3.6/1000000/'E Balans VL '!Z22*100)</f>
        <v>4.7905141101140032E-2</v>
      </c>
      <c r="D35" s="237" t="s">
        <v>754</v>
      </c>
    </row>
    <row r="36" spans="1:5">
      <c r="A36" s="171" t="s">
        <v>34</v>
      </c>
      <c r="B36" s="37">
        <f>IF( ISERROR(IND_chemie_ele_kWh/1000),0,IND_chemie_ele_kWh/1000)</f>
        <v>9552.367714</v>
      </c>
      <c r="C36" s="39">
        <f>IF(ISERROR(B36*3.6/1000000/'E Balans VL '!Z24*100),0,B36*3.6/1000000/'E Balans VL '!Z24*100)</f>
        <v>0.29129013861753772</v>
      </c>
      <c r="D36" s="237" t="s">
        <v>754</v>
      </c>
    </row>
    <row r="37" spans="1:5">
      <c r="A37" s="171" t="s">
        <v>270</v>
      </c>
      <c r="B37" s="37">
        <f>IF( ISERROR(IND_rest_ele_kWh/1000),0,IND_rest_ele_kWh/1000)</f>
        <v>211.82</v>
      </c>
      <c r="C37" s="39">
        <f>IF(ISERROR(B37*3.6/1000000/'E Balans VL '!Z15*100),0,B37*3.6/1000000/'E Balans VL '!Z15*100)</f>
        <v>1.6789336397005376E-3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513.09900000000005</v>
      </c>
      <c r="C5" s="17">
        <f>'Eigen informatie GS &amp; warmtenet'!B60</f>
        <v>0</v>
      </c>
      <c r="D5" s="30">
        <f>IF(ISERROR(SUM(LB_lb_gas_kWh,LB_rest_gas_kWh,onbekend_gas_kWh)/1000),0,SUM(LB_lb_gas_kWh,LB_rest_gas_kWh,onbekend_gas_kWh)/1000)*0.902</f>
        <v>2212.3836759419996</v>
      </c>
      <c r="E5" s="17">
        <f>B17*'E Balans VL '!I25/3.6*1000000/100</f>
        <v>15.081546795232871</v>
      </c>
      <c r="F5" s="17">
        <f>B17*('E Balans VL '!L25/3.6*1000000+'E Balans VL '!N25/3.6*1000000)/100</f>
        <v>2137.5427075853349</v>
      </c>
      <c r="G5" s="18"/>
      <c r="H5" s="17"/>
      <c r="I5" s="17"/>
      <c r="J5" s="17">
        <f>('E Balans VL '!D25+'E Balans VL '!E25)/3.6*1000000*landbouw!B17/100</f>
        <v>74.337026172842585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513.09900000000005</v>
      </c>
      <c r="C8" s="21">
        <f>C5+C6</f>
        <v>0</v>
      </c>
      <c r="D8" s="21">
        <f>MAX((D5+D6),0)</f>
        <v>2212.3836759419996</v>
      </c>
      <c r="E8" s="21">
        <f>MAX((E5+E6),0)</f>
        <v>15.081546795232871</v>
      </c>
      <c r="F8" s="21">
        <f>MAX((F5+F6),0)</f>
        <v>2137.5427075853349</v>
      </c>
      <c r="G8" s="21"/>
      <c r="H8" s="21"/>
      <c r="I8" s="21"/>
      <c r="J8" s="21">
        <f>MAX((J5+J6),0)</f>
        <v>74.337026172842585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0.10250095021116667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52.593135052399411</v>
      </c>
      <c r="C12" s="23">
        <f ca="1">C8*C10</f>
        <v>0</v>
      </c>
      <c r="D12" s="23">
        <f>D8*D10</f>
        <v>446.90150254028396</v>
      </c>
      <c r="E12" s="23">
        <f>E8*E10</f>
        <v>3.423511122517862</v>
      </c>
      <c r="F12" s="23">
        <f>F8*F10</f>
        <v>570.72390292528451</v>
      </c>
      <c r="G12" s="23"/>
      <c r="H12" s="23"/>
      <c r="I12" s="23"/>
      <c r="J12" s="23">
        <f>J8*J10</f>
        <v>26.315307265186274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7.2810357899018643E-2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170.67044476159674</v>
      </c>
      <c r="C26" s="247">
        <f>B26*'GWP N2O_CH4'!B5</f>
        <v>3584.0793399935314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32.081282944879483</v>
      </c>
      <c r="C27" s="247">
        <f>B27*'GWP N2O_CH4'!B5</f>
        <v>673.70694184246918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2.0477804427701587</v>
      </c>
      <c r="C28" s="247">
        <f>B28*'GWP N2O_CH4'!B4</f>
        <v>634.81193725874914</v>
      </c>
      <c r="D28" s="50"/>
    </row>
    <row r="29" spans="1:4">
      <c r="A29" s="41" t="s">
        <v>277</v>
      </c>
      <c r="B29" s="247">
        <f>B34*'ha_N2O bodem landbouw'!B4</f>
        <v>9.9059461734033611</v>
      </c>
      <c r="C29" s="247">
        <f>B29*'GWP N2O_CH4'!B4</f>
        <v>3070.8433137550419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2.2605027793614597E-3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1.9947301548895274E-4</v>
      </c>
      <c r="C5" s="463" t="s">
        <v>211</v>
      </c>
      <c r="D5" s="448">
        <f>SUM(D6:D11)</f>
        <v>7.5045185156344678E-4</v>
      </c>
      <c r="E5" s="448">
        <f>SUM(E6:E11)</f>
        <v>1.0694732837394428E-3</v>
      </c>
      <c r="F5" s="461" t="s">
        <v>211</v>
      </c>
      <c r="G5" s="448">
        <f>SUM(G6:G11)</f>
        <v>0.40099236958553686</v>
      </c>
      <c r="H5" s="448">
        <f>SUM(H6:H11)</f>
        <v>8.5433476922146756E-2</v>
      </c>
      <c r="I5" s="463" t="s">
        <v>211</v>
      </c>
      <c r="J5" s="463" t="s">
        <v>211</v>
      </c>
      <c r="K5" s="463" t="s">
        <v>211</v>
      </c>
      <c r="L5" s="463" t="s">
        <v>211</v>
      </c>
      <c r="M5" s="448">
        <f>SUM(M6:M11)</f>
        <v>2.5963864996253895E-2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6.5384870391356072E-5</v>
      </c>
      <c r="C6" s="449"/>
      <c r="D6" s="962">
        <f>vkm_2011_GW_PW*SUMIFS(TableVerdeelsleutelVkm[CNG],TableVerdeelsleutelVkm[Voertuigtype],"Lichte voertuigen")*SUMIFS(TableECFTransport[EnergieConsumptieFactor (PJ per km)],TableECFTransport[Index],CONCATENATE($A6,"_CNG_CNG"))</f>
        <v>1.9611708367200218E-4</v>
      </c>
      <c r="E6" s="962">
        <f>vkm_2011_GW_PW*SUMIFS(TableVerdeelsleutelVkm[LPG],TableVerdeelsleutelVkm[Voertuigtype],"Lichte voertuigen")*SUMIFS(TableECFTransport[EnergieConsumptieFactor (PJ per km)],TableECFTransport[Index],CONCATENATE($A6,"_LPG_LPG"))</f>
        <v>2.6792410712670242E-4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6.9272892271001904E-2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2.2302160168530923E-2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4.7091609236689638E-3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2.8320993340546812E-2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8.6301535523225671E-6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1.6549848109459339E-3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6.086556375121612E-5</v>
      </c>
      <c r="C8" s="449"/>
      <c r="D8" s="451">
        <f>vkm_2011_NGW_PW*SUMIFS(TableVerdeelsleutelVkm[CNG],TableVerdeelsleutelVkm[Voertuigtype],"Lichte voertuigen")*SUMIFS(TableECFTransport[EnergieConsumptieFactor (PJ per km)],TableECFTransport[Index],CONCATENATE($A8,"_CNG_CNG"))</f>
        <v>3.2459685013106219E-4</v>
      </c>
      <c r="E8" s="451">
        <f>vkm_2011_NGW_PW*SUMIFS(TableVerdeelsleutelVkm[LPG],TableVerdeelsleutelVkm[Voertuigtype],"Lichte voertuigen")*SUMIFS(TableECFTransport[EnergieConsumptieFactor (PJ per km)],TableECFTransport[Index],CONCATENATE($A8,"_LPG_LPG"))</f>
        <v>4.1068124449990636E-4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9.8951641409566901E-2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3.5871058810968408E-2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6.8458120066021248E-3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1.5668670904276143E-2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4.4949270925365712E-6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9.1561680016669599E-4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7.3222581346380552E-5</v>
      </c>
      <c r="C10" s="449"/>
      <c r="D10" s="451">
        <f>vkm_2011_SW_PW*SUMIFS(TableVerdeelsleutelVkm[CNG],TableVerdeelsleutelVkm[Voertuigtype],"Lichte voertuigen")*SUMIFS(TableECFTransport[EnergieConsumptieFactor (PJ per km)],TableECFTransport[Index],CONCATENATE($A10,"_CNG_CNG"))</f>
        <v>2.2973791776038233E-4</v>
      </c>
      <c r="E10" s="451">
        <f>vkm_2011_SW_PW*SUMIFS(TableVerdeelsleutelVkm[LPG],TableVerdeelsleutelVkm[Voertuigtype],"Lichte voertuigen")*SUMIFS(TableECFTransport[EnergieConsumptieFactor (PJ per km)],TableECFTransport[Index],CONCATENATE($A10,"_LPG_LPG"))</f>
        <v>3.90867932112834E-4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9.0095943940538964E-2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2.7214659405846799E-2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6.0715574622830469E-3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9.868222771960608E-2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3.2473456155769162E-5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5.7667329925871289E-3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55.409170969153543</v>
      </c>
      <c r="C14" s="21"/>
      <c r="D14" s="21">
        <f t="shared" ref="D14:M14" si="0">((D5)*10^9/3600)+D12</f>
        <v>208.458847656513</v>
      </c>
      <c r="E14" s="21">
        <f t="shared" si="0"/>
        <v>297.07591214984518</v>
      </c>
      <c r="F14" s="21"/>
      <c r="G14" s="21">
        <f t="shared" si="0"/>
        <v>111386.76932931579</v>
      </c>
      <c r="H14" s="21">
        <f t="shared" si="0"/>
        <v>23731.521367262987</v>
      </c>
      <c r="I14" s="21"/>
      <c r="J14" s="21"/>
      <c r="K14" s="21"/>
      <c r="L14" s="21"/>
      <c r="M14" s="21">
        <f t="shared" si="0"/>
        <v>7212.1847211816375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0.10250095021116667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5.6794926747512289</v>
      </c>
      <c r="C18" s="23"/>
      <c r="D18" s="23">
        <f t="shared" ref="D18:M18" si="1">D14*D16</f>
        <v>42.108687226615629</v>
      </c>
      <c r="E18" s="23">
        <f t="shared" si="1"/>
        <v>67.436232058014852</v>
      </c>
      <c r="F18" s="23"/>
      <c r="G18" s="23">
        <f t="shared" si="1"/>
        <v>29740.267410927318</v>
      </c>
      <c r="H18" s="23">
        <f t="shared" si="1"/>
        <v>5909.148820448484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6.6328962165068334E-3</v>
      </c>
      <c r="H50" s="321">
        <f t="shared" si="2"/>
        <v>0</v>
      </c>
      <c r="I50" s="321">
        <f t="shared" si="2"/>
        <v>0</v>
      </c>
      <c r="J50" s="321">
        <f t="shared" si="2"/>
        <v>0</v>
      </c>
      <c r="K50" s="321">
        <f t="shared" si="2"/>
        <v>0</v>
      </c>
      <c r="L50" s="321">
        <f t="shared" si="2"/>
        <v>0</v>
      </c>
      <c r="M50" s="321">
        <f t="shared" si="2"/>
        <v>3.7671922367058951E-4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6.6328962165068334E-3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3.7671922367058951E-4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1842.4711712518981</v>
      </c>
      <c r="H54" s="21">
        <f t="shared" si="3"/>
        <v>0</v>
      </c>
      <c r="I54" s="21">
        <f t="shared" si="3"/>
        <v>0</v>
      </c>
      <c r="J54" s="21">
        <f t="shared" si="3"/>
        <v>0</v>
      </c>
      <c r="K54" s="21">
        <f t="shared" si="3"/>
        <v>0</v>
      </c>
      <c r="L54" s="21">
        <f t="shared" si="3"/>
        <v>0</v>
      </c>
      <c r="M54" s="21">
        <f t="shared" si="3"/>
        <v>104.64422879738598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0.10250095021116667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491.93980272425682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47020.251821306338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9439.1597431040245</v>
      </c>
      <c r="C6" s="1263"/>
      <c r="D6" s="1248"/>
      <c r="E6" s="1248"/>
      <c r="F6" s="1266"/>
      <c r="G6" s="1269"/>
      <c r="H6" s="1260"/>
      <c r="I6" s="1248"/>
      <c r="J6" s="1248"/>
      <c r="K6" s="1248"/>
      <c r="L6" s="1252"/>
      <c r="M6" s="575"/>
      <c r="N6" s="1226"/>
      <c r="O6" s="1227"/>
      <c r="Q6" s="573"/>
      <c r="R6" s="1214"/>
      <c r="S6" s="1214"/>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56483.261564410357</v>
      </c>
      <c r="C9" s="594">
        <f t="shared" ref="C9:L9" si="0">SUM(C7:C8)</f>
        <v>28.058823529411768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71057</v>
      </c>
      <c r="C27" s="851">
        <v>3980</v>
      </c>
      <c r="D27" s="672" t="s">
        <v>844</v>
      </c>
      <c r="E27" s="671" t="s">
        <v>845</v>
      </c>
      <c r="F27" s="671" t="s">
        <v>846</v>
      </c>
      <c r="G27" s="671" t="s">
        <v>847</v>
      </c>
      <c r="H27" s="671" t="s">
        <v>848</v>
      </c>
      <c r="I27" s="671" t="s">
        <v>845</v>
      </c>
      <c r="J27" s="850">
        <v>39072</v>
      </c>
      <c r="K27" s="850">
        <v>39203</v>
      </c>
      <c r="L27" s="671" t="s">
        <v>849</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30679.276645999998</v>
      </c>
      <c r="D10" s="718">
        <f ca="1">tertiair!C16</f>
        <v>34.071428571428577</v>
      </c>
      <c r="E10" s="718">
        <f ca="1">tertiair!D16</f>
        <v>20738.97123191514</v>
      </c>
      <c r="F10" s="718">
        <f>tertiair!E16</f>
        <v>423.65626313502383</v>
      </c>
      <c r="G10" s="718">
        <f ca="1">tertiair!F16</f>
        <v>5222.8569453076934</v>
      </c>
      <c r="H10" s="718">
        <f>tertiair!G16</f>
        <v>0</v>
      </c>
      <c r="I10" s="718">
        <f>tertiair!H16</f>
        <v>0</v>
      </c>
      <c r="J10" s="718">
        <f>tertiair!I16</f>
        <v>0</v>
      </c>
      <c r="K10" s="718">
        <f>tertiair!J16</f>
        <v>8.4953956392109273E-2</v>
      </c>
      <c r="L10" s="718">
        <f>tertiair!K16</f>
        <v>0</v>
      </c>
      <c r="M10" s="718">
        <f ca="1">tertiair!L16</f>
        <v>0</v>
      </c>
      <c r="N10" s="718">
        <f>tertiair!M16</f>
        <v>0</v>
      </c>
      <c r="O10" s="718">
        <f ca="1">tertiair!N16</f>
        <v>3366.9477607028821</v>
      </c>
      <c r="P10" s="718">
        <f>tertiair!O16</f>
        <v>3.1266666666666669</v>
      </c>
      <c r="Q10" s="719">
        <f>tertiair!P16</f>
        <v>19.066666666666666</v>
      </c>
      <c r="R10" s="721">
        <f ca="1">SUM(C10:Q10)</f>
        <v>60488.058562921884</v>
      </c>
      <c r="S10" s="67"/>
    </row>
    <row r="11" spans="1:19" s="474" customFormat="1">
      <c r="A11" s="870" t="s">
        <v>225</v>
      </c>
      <c r="B11" s="875"/>
      <c r="C11" s="718">
        <f>huishoudens!B8</f>
        <v>31491.158002411816</v>
      </c>
      <c r="D11" s="718">
        <f>huishoudens!C8</f>
        <v>0</v>
      </c>
      <c r="E11" s="718">
        <f>huishoudens!D8</f>
        <v>47689.676681900004</v>
      </c>
      <c r="F11" s="718">
        <f>huishoudens!E8</f>
        <v>6220.2294070193029</v>
      </c>
      <c r="G11" s="718">
        <f>huishoudens!F8</f>
        <v>49472.515771894541</v>
      </c>
      <c r="H11" s="718">
        <f>huishoudens!G8</f>
        <v>0</v>
      </c>
      <c r="I11" s="718">
        <f>huishoudens!H8</f>
        <v>0</v>
      </c>
      <c r="J11" s="718">
        <f>huishoudens!I8</f>
        <v>0</v>
      </c>
      <c r="K11" s="718">
        <f>huishoudens!J8</f>
        <v>0</v>
      </c>
      <c r="L11" s="718">
        <f>huishoudens!K8</f>
        <v>0</v>
      </c>
      <c r="M11" s="718">
        <f>huishoudens!L8</f>
        <v>0</v>
      </c>
      <c r="N11" s="718">
        <f>huishoudens!M8</f>
        <v>0</v>
      </c>
      <c r="O11" s="718">
        <f>huishoudens!N8</f>
        <v>22427.085543551158</v>
      </c>
      <c r="P11" s="718">
        <f>huishoudens!O8</f>
        <v>726.95</v>
      </c>
      <c r="Q11" s="719">
        <f>huishoudens!P8</f>
        <v>1982.9333333333334</v>
      </c>
      <c r="R11" s="721">
        <f>SUM(C11:Q11)</f>
        <v>160010.54874011016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42554.162446999995</v>
      </c>
      <c r="D13" s="718">
        <f>industrie!C18</f>
        <v>0</v>
      </c>
      <c r="E13" s="718">
        <f>industrie!D18</f>
        <v>14007.999636356</v>
      </c>
      <c r="F13" s="718">
        <f>industrie!E18</f>
        <v>1110.4825030964773</v>
      </c>
      <c r="G13" s="718">
        <f>industrie!F18</f>
        <v>5727.305688447892</v>
      </c>
      <c r="H13" s="718">
        <f>industrie!G18</f>
        <v>0</v>
      </c>
      <c r="I13" s="718">
        <f>industrie!H18</f>
        <v>0</v>
      </c>
      <c r="J13" s="718">
        <f>industrie!I18</f>
        <v>0</v>
      </c>
      <c r="K13" s="718">
        <f>industrie!J18</f>
        <v>5.543710292644163</v>
      </c>
      <c r="L13" s="718">
        <f>industrie!K18</f>
        <v>0</v>
      </c>
      <c r="M13" s="718">
        <f>industrie!L18</f>
        <v>0</v>
      </c>
      <c r="N13" s="718">
        <f>industrie!M18</f>
        <v>0</v>
      </c>
      <c r="O13" s="718">
        <f>industrie!N18</f>
        <v>2939.0751340032371</v>
      </c>
      <c r="P13" s="718">
        <f>industrie!O18</f>
        <v>0</v>
      </c>
      <c r="Q13" s="719">
        <f>industrie!P18</f>
        <v>0</v>
      </c>
      <c r="R13" s="721">
        <f>SUM(C13:Q13)</f>
        <v>66344.569119196254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104724.59709541181</v>
      </c>
      <c r="D15" s="723">
        <f t="shared" ref="D15:Q15" ca="1" si="0">SUM(D9:D14)</f>
        <v>34.071428571428577</v>
      </c>
      <c r="E15" s="723">
        <f t="shared" ca="1" si="0"/>
        <v>82436.647550171154</v>
      </c>
      <c r="F15" s="723">
        <f t="shared" si="0"/>
        <v>7754.3681732508039</v>
      </c>
      <c r="G15" s="723">
        <f t="shared" ca="1" si="0"/>
        <v>60422.678405650127</v>
      </c>
      <c r="H15" s="723">
        <f t="shared" si="0"/>
        <v>0</v>
      </c>
      <c r="I15" s="723">
        <f t="shared" si="0"/>
        <v>0</v>
      </c>
      <c r="J15" s="723">
        <f t="shared" si="0"/>
        <v>0</v>
      </c>
      <c r="K15" s="723">
        <f t="shared" si="0"/>
        <v>5.6286642490362722</v>
      </c>
      <c r="L15" s="723">
        <f t="shared" si="0"/>
        <v>0</v>
      </c>
      <c r="M15" s="723">
        <f t="shared" ca="1" si="0"/>
        <v>0</v>
      </c>
      <c r="N15" s="723">
        <f t="shared" si="0"/>
        <v>0</v>
      </c>
      <c r="O15" s="723">
        <f t="shared" ca="1" si="0"/>
        <v>28733.108438257277</v>
      </c>
      <c r="P15" s="723">
        <f t="shared" si="0"/>
        <v>730.07666666666671</v>
      </c>
      <c r="Q15" s="724">
        <f t="shared" si="0"/>
        <v>2002</v>
      </c>
      <c r="R15" s="725">
        <f ca="1">SUM(R9:R14)</f>
        <v>286843.17642222828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1842.4711712518981</v>
      </c>
      <c r="I18" s="718">
        <f>transport!H54</f>
        <v>0</v>
      </c>
      <c r="J18" s="718">
        <f>transport!I54</f>
        <v>0</v>
      </c>
      <c r="K18" s="718">
        <f>transport!J54</f>
        <v>0</v>
      </c>
      <c r="L18" s="718">
        <f>transport!K54</f>
        <v>0</v>
      </c>
      <c r="M18" s="718">
        <f>transport!L54</f>
        <v>0</v>
      </c>
      <c r="N18" s="718">
        <f>transport!M54</f>
        <v>104.64422879738598</v>
      </c>
      <c r="O18" s="718">
        <f>transport!N54</f>
        <v>0</v>
      </c>
      <c r="P18" s="718">
        <f>transport!O54</f>
        <v>0</v>
      </c>
      <c r="Q18" s="719">
        <f>transport!P54</f>
        <v>0</v>
      </c>
      <c r="R18" s="721">
        <f>SUM(C18:Q18)</f>
        <v>1947.1154000492841</v>
      </c>
      <c r="S18" s="67"/>
    </row>
    <row r="19" spans="1:19" s="474" customFormat="1" ht="15" thickBot="1">
      <c r="A19" s="870" t="s">
        <v>307</v>
      </c>
      <c r="B19" s="875"/>
      <c r="C19" s="727">
        <f>transport!B14</f>
        <v>55.409170969153543</v>
      </c>
      <c r="D19" s="727">
        <f>transport!C14</f>
        <v>0</v>
      </c>
      <c r="E19" s="727">
        <f>transport!D14</f>
        <v>208.458847656513</v>
      </c>
      <c r="F19" s="727">
        <f>transport!E14</f>
        <v>297.07591214984518</v>
      </c>
      <c r="G19" s="727">
        <f>transport!F14</f>
        <v>0</v>
      </c>
      <c r="H19" s="727">
        <f>transport!G14</f>
        <v>111386.76932931579</v>
      </c>
      <c r="I19" s="727">
        <f>transport!H14</f>
        <v>23731.521367262987</v>
      </c>
      <c r="J19" s="727">
        <f>transport!I14</f>
        <v>0</v>
      </c>
      <c r="K19" s="727">
        <f>transport!J14</f>
        <v>0</v>
      </c>
      <c r="L19" s="727">
        <f>transport!K14</f>
        <v>0</v>
      </c>
      <c r="M19" s="727">
        <f>transport!L14</f>
        <v>0</v>
      </c>
      <c r="N19" s="727">
        <f>transport!M14</f>
        <v>7212.1847211816375</v>
      </c>
      <c r="O19" s="727">
        <f>transport!N14</f>
        <v>0</v>
      </c>
      <c r="P19" s="727">
        <f>transport!O14</f>
        <v>0</v>
      </c>
      <c r="Q19" s="728">
        <f>transport!P14</f>
        <v>0</v>
      </c>
      <c r="R19" s="729">
        <f>SUM(C19:Q19)</f>
        <v>142891.41934853591</v>
      </c>
      <c r="S19" s="67"/>
    </row>
    <row r="20" spans="1:19" s="474" customFormat="1" ht="15.75" thickBot="1">
      <c r="A20" s="730" t="s">
        <v>230</v>
      </c>
      <c r="B20" s="878"/>
      <c r="C20" s="873">
        <f>SUM(C17:C19)</f>
        <v>55.409170969153543</v>
      </c>
      <c r="D20" s="731">
        <f t="shared" ref="D20:R20" si="1">SUM(D17:D19)</f>
        <v>0</v>
      </c>
      <c r="E20" s="731">
        <f t="shared" si="1"/>
        <v>208.458847656513</v>
      </c>
      <c r="F20" s="731">
        <f t="shared" si="1"/>
        <v>297.07591214984518</v>
      </c>
      <c r="G20" s="731">
        <f t="shared" si="1"/>
        <v>0</v>
      </c>
      <c r="H20" s="731">
        <f t="shared" si="1"/>
        <v>113229.24050056768</v>
      </c>
      <c r="I20" s="731">
        <f t="shared" si="1"/>
        <v>23731.521367262987</v>
      </c>
      <c r="J20" s="731">
        <f t="shared" si="1"/>
        <v>0</v>
      </c>
      <c r="K20" s="731">
        <f t="shared" si="1"/>
        <v>0</v>
      </c>
      <c r="L20" s="731">
        <f t="shared" si="1"/>
        <v>0</v>
      </c>
      <c r="M20" s="731">
        <f t="shared" si="1"/>
        <v>0</v>
      </c>
      <c r="N20" s="731">
        <f t="shared" si="1"/>
        <v>7316.8289499790235</v>
      </c>
      <c r="O20" s="731">
        <f t="shared" si="1"/>
        <v>0</v>
      </c>
      <c r="P20" s="731">
        <f t="shared" si="1"/>
        <v>0</v>
      </c>
      <c r="Q20" s="732">
        <f t="shared" si="1"/>
        <v>0</v>
      </c>
      <c r="R20" s="733">
        <f t="shared" si="1"/>
        <v>144838.5347485852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513.09900000000005</v>
      </c>
      <c r="D22" s="727">
        <f>+landbouw!C8</f>
        <v>0</v>
      </c>
      <c r="E22" s="727">
        <f>+landbouw!D8</f>
        <v>2212.3836759419996</v>
      </c>
      <c r="F22" s="727">
        <f>+landbouw!E8</f>
        <v>15.081546795232871</v>
      </c>
      <c r="G22" s="727">
        <f>+landbouw!F8</f>
        <v>2137.5427075853349</v>
      </c>
      <c r="H22" s="727">
        <f>+landbouw!G8</f>
        <v>0</v>
      </c>
      <c r="I22" s="727">
        <f>+landbouw!H8</f>
        <v>0</v>
      </c>
      <c r="J22" s="727">
        <f>+landbouw!I8</f>
        <v>0</v>
      </c>
      <c r="K22" s="727">
        <f>+landbouw!J8</f>
        <v>74.337026172842585</v>
      </c>
      <c r="L22" s="727">
        <f>+landbouw!K8</f>
        <v>0</v>
      </c>
      <c r="M22" s="727">
        <f>+landbouw!L8</f>
        <v>0</v>
      </c>
      <c r="N22" s="727">
        <f>+landbouw!M8</f>
        <v>0</v>
      </c>
      <c r="O22" s="727">
        <f>+landbouw!N8</f>
        <v>0</v>
      </c>
      <c r="P22" s="727">
        <f>+landbouw!O8</f>
        <v>0</v>
      </c>
      <c r="Q22" s="728">
        <f>+landbouw!P8</f>
        <v>0</v>
      </c>
      <c r="R22" s="729">
        <f>SUM(C22:Q22)</f>
        <v>4952.44395649541</v>
      </c>
      <c r="S22" s="67"/>
    </row>
    <row r="23" spans="1:19" s="474" customFormat="1" ht="17.25" thickTop="1" thickBot="1">
      <c r="A23" s="734" t="s">
        <v>116</v>
      </c>
      <c r="B23" s="864"/>
      <c r="C23" s="735">
        <f ca="1">C20+C15+C22</f>
        <v>105293.10526638097</v>
      </c>
      <c r="D23" s="735">
        <f t="shared" ref="D23:Q23" ca="1" si="2">D20+D15+D22</f>
        <v>34.071428571428577</v>
      </c>
      <c r="E23" s="735">
        <f t="shared" ca="1" si="2"/>
        <v>84857.490073769659</v>
      </c>
      <c r="F23" s="735">
        <f t="shared" si="2"/>
        <v>8066.5256321958814</v>
      </c>
      <c r="G23" s="735">
        <f t="shared" ca="1" si="2"/>
        <v>62560.221113235464</v>
      </c>
      <c r="H23" s="735">
        <f t="shared" si="2"/>
        <v>113229.24050056768</v>
      </c>
      <c r="I23" s="735">
        <f t="shared" si="2"/>
        <v>23731.521367262987</v>
      </c>
      <c r="J23" s="735">
        <f t="shared" si="2"/>
        <v>0</v>
      </c>
      <c r="K23" s="735">
        <f t="shared" si="2"/>
        <v>79.965690421878861</v>
      </c>
      <c r="L23" s="735">
        <f t="shared" si="2"/>
        <v>0</v>
      </c>
      <c r="M23" s="735">
        <f t="shared" ca="1" si="2"/>
        <v>0</v>
      </c>
      <c r="N23" s="735">
        <f t="shared" si="2"/>
        <v>7316.8289499790235</v>
      </c>
      <c r="O23" s="735">
        <f t="shared" ca="1" si="2"/>
        <v>28733.108438257277</v>
      </c>
      <c r="P23" s="735">
        <f t="shared" si="2"/>
        <v>730.07666666666671</v>
      </c>
      <c r="Q23" s="736">
        <f t="shared" si="2"/>
        <v>2002</v>
      </c>
      <c r="R23" s="737">
        <f ca="1">R20+R15+R22</f>
        <v>436634.15512730891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3144.6550080062543</v>
      </c>
      <c r="D36" s="718">
        <f ca="1">tertiair!C20</f>
        <v>8.0969747899159685</v>
      </c>
      <c r="E36" s="718">
        <f ca="1">tertiair!D20</f>
        <v>4189.2721888468586</v>
      </c>
      <c r="F36" s="718">
        <f>tertiair!E20</f>
        <v>96.169971731650421</v>
      </c>
      <c r="G36" s="718">
        <f ca="1">tertiair!F20</f>
        <v>1394.5028043971543</v>
      </c>
      <c r="H36" s="718">
        <f>tertiair!G20</f>
        <v>0</v>
      </c>
      <c r="I36" s="718">
        <f>tertiair!H20</f>
        <v>0</v>
      </c>
      <c r="J36" s="718">
        <f>tertiair!I20</f>
        <v>0</v>
      </c>
      <c r="K36" s="718">
        <f>tertiair!J20</f>
        <v>3.0073700562806682E-2</v>
      </c>
      <c r="L36" s="718">
        <f>tertiair!K20</f>
        <v>0</v>
      </c>
      <c r="M36" s="718">
        <f ca="1">tertiair!L20</f>
        <v>0</v>
      </c>
      <c r="N36" s="718">
        <f>tertiair!M20</f>
        <v>0</v>
      </c>
      <c r="O36" s="718">
        <f ca="1">tertiair!N20</f>
        <v>0</v>
      </c>
      <c r="P36" s="718">
        <f>tertiair!O20</f>
        <v>0</v>
      </c>
      <c r="Q36" s="828">
        <f>tertiair!P20</f>
        <v>0</v>
      </c>
      <c r="R36" s="917">
        <f ca="1">SUM(C36:Q36)</f>
        <v>8832.7270214723976</v>
      </c>
    </row>
    <row r="37" spans="1:18">
      <c r="A37" s="885" t="s">
        <v>225</v>
      </c>
      <c r="B37" s="892"/>
      <c r="C37" s="718">
        <f ca="1">huishoudens!B12</f>
        <v>3227.8736184971967</v>
      </c>
      <c r="D37" s="718">
        <f ca="1">huishoudens!C12</f>
        <v>0</v>
      </c>
      <c r="E37" s="718">
        <f>huishoudens!D12</f>
        <v>9633.3146897438019</v>
      </c>
      <c r="F37" s="718">
        <f>huishoudens!E12</f>
        <v>1411.9920753933818</v>
      </c>
      <c r="G37" s="718">
        <f>huishoudens!F12</f>
        <v>13209.161711095843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27482.342094730222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4361.842086257845</v>
      </c>
      <c r="D39" s="718">
        <f ca="1">industrie!C22</f>
        <v>0</v>
      </c>
      <c r="E39" s="718">
        <f>industrie!D22</f>
        <v>2829.6159265439123</v>
      </c>
      <c r="F39" s="718">
        <f>industrie!E22</f>
        <v>252.07952820290035</v>
      </c>
      <c r="G39" s="718">
        <f>industrie!F22</f>
        <v>1529.1906188155872</v>
      </c>
      <c r="H39" s="718">
        <f>industrie!G22</f>
        <v>0</v>
      </c>
      <c r="I39" s="718">
        <f>industrie!H22</f>
        <v>0</v>
      </c>
      <c r="J39" s="718">
        <f>industrie!I22</f>
        <v>0</v>
      </c>
      <c r="K39" s="718">
        <f>industrie!J22</f>
        <v>1.9624734435960336</v>
      </c>
      <c r="L39" s="718">
        <f>industrie!K22</f>
        <v>0</v>
      </c>
      <c r="M39" s="718">
        <f>industrie!L22</f>
        <v>0</v>
      </c>
      <c r="N39" s="718">
        <f>industrie!M22</f>
        <v>0</v>
      </c>
      <c r="O39" s="718">
        <f>industrie!N22</f>
        <v>0</v>
      </c>
      <c r="P39" s="718">
        <f>industrie!O22</f>
        <v>0</v>
      </c>
      <c r="Q39" s="828">
        <f>industrie!P22</f>
        <v>0</v>
      </c>
      <c r="R39" s="918">
        <f ca="1">SUM(C39:Q39)</f>
        <v>8974.6906332638409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10734.370712761296</v>
      </c>
      <c r="D41" s="763">
        <f t="shared" ref="D41:R41" ca="1" si="4">SUM(D35:D40)</f>
        <v>8.0969747899159685</v>
      </c>
      <c r="E41" s="763">
        <f t="shared" ca="1" si="4"/>
        <v>16652.202805134573</v>
      </c>
      <c r="F41" s="763">
        <f t="shared" si="4"/>
        <v>1760.2415753279324</v>
      </c>
      <c r="G41" s="763">
        <f t="shared" ca="1" si="4"/>
        <v>16132.855134308586</v>
      </c>
      <c r="H41" s="763">
        <f t="shared" si="4"/>
        <v>0</v>
      </c>
      <c r="I41" s="763">
        <f t="shared" si="4"/>
        <v>0</v>
      </c>
      <c r="J41" s="763">
        <f t="shared" si="4"/>
        <v>0</v>
      </c>
      <c r="K41" s="763">
        <f t="shared" si="4"/>
        <v>1.9925471441588403</v>
      </c>
      <c r="L41" s="763">
        <f t="shared" si="4"/>
        <v>0</v>
      </c>
      <c r="M41" s="763">
        <f t="shared" ca="1" si="4"/>
        <v>0</v>
      </c>
      <c r="N41" s="763">
        <f t="shared" si="4"/>
        <v>0</v>
      </c>
      <c r="O41" s="763">
        <f t="shared" ca="1" si="4"/>
        <v>0</v>
      </c>
      <c r="P41" s="763">
        <f t="shared" si="4"/>
        <v>0</v>
      </c>
      <c r="Q41" s="764">
        <f t="shared" si="4"/>
        <v>0</v>
      </c>
      <c r="R41" s="765">
        <f t="shared" ca="1" si="4"/>
        <v>45289.759749466459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491.93980272425682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491.93980272425682</v>
      </c>
    </row>
    <row r="45" spans="1:18" ht="15" thickBot="1">
      <c r="A45" s="888" t="s">
        <v>307</v>
      </c>
      <c r="B45" s="898"/>
      <c r="C45" s="727">
        <f ca="1">transport!B18</f>
        <v>5.6794926747512289</v>
      </c>
      <c r="D45" s="727">
        <f>transport!C18</f>
        <v>0</v>
      </c>
      <c r="E45" s="727">
        <f>transport!D18</f>
        <v>42.108687226615629</v>
      </c>
      <c r="F45" s="727">
        <f>transport!E18</f>
        <v>67.436232058014852</v>
      </c>
      <c r="G45" s="727">
        <f>transport!F18</f>
        <v>0</v>
      </c>
      <c r="H45" s="727">
        <f>transport!G18</f>
        <v>29740.267410927318</v>
      </c>
      <c r="I45" s="727">
        <f>transport!H18</f>
        <v>5909.148820448484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35764.64064333518</v>
      </c>
    </row>
    <row r="46" spans="1:18" ht="15.75" thickBot="1">
      <c r="A46" s="886" t="s">
        <v>230</v>
      </c>
      <c r="B46" s="899"/>
      <c r="C46" s="763">
        <f t="shared" ref="C46:R46" ca="1" si="5">SUM(C43:C45)</f>
        <v>5.6794926747512289</v>
      </c>
      <c r="D46" s="763">
        <f t="shared" ca="1" si="5"/>
        <v>0</v>
      </c>
      <c r="E46" s="763">
        <f t="shared" si="5"/>
        <v>42.108687226615629</v>
      </c>
      <c r="F46" s="763">
        <f t="shared" si="5"/>
        <v>67.436232058014852</v>
      </c>
      <c r="G46" s="763">
        <f t="shared" si="5"/>
        <v>0</v>
      </c>
      <c r="H46" s="763">
        <f t="shared" si="5"/>
        <v>30232.207213651574</v>
      </c>
      <c r="I46" s="763">
        <f t="shared" si="5"/>
        <v>5909.148820448484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36256.580446059437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52.593135052399411</v>
      </c>
      <c r="D48" s="718">
        <f ca="1">+landbouw!C12</f>
        <v>0</v>
      </c>
      <c r="E48" s="718">
        <f>+landbouw!D12</f>
        <v>446.90150254028396</v>
      </c>
      <c r="F48" s="718">
        <f>+landbouw!E12</f>
        <v>3.423511122517862</v>
      </c>
      <c r="G48" s="718">
        <f>+landbouw!F12</f>
        <v>570.72390292528451</v>
      </c>
      <c r="H48" s="718">
        <f>+landbouw!G12</f>
        <v>0</v>
      </c>
      <c r="I48" s="718">
        <f>+landbouw!H12</f>
        <v>0</v>
      </c>
      <c r="J48" s="718">
        <f>+landbouw!I12</f>
        <v>0</v>
      </c>
      <c r="K48" s="718">
        <f>+landbouw!J12</f>
        <v>26.315307265186274</v>
      </c>
      <c r="L48" s="718">
        <f>+landbouw!K12</f>
        <v>0</v>
      </c>
      <c r="M48" s="718">
        <f>+landbouw!L12</f>
        <v>0</v>
      </c>
      <c r="N48" s="718">
        <f>+landbouw!M12</f>
        <v>0</v>
      </c>
      <c r="O48" s="718">
        <f>+landbouw!N12</f>
        <v>0</v>
      </c>
      <c r="P48" s="718">
        <f>+landbouw!O12</f>
        <v>0</v>
      </c>
      <c r="Q48" s="719">
        <f>+landbouw!P12</f>
        <v>0</v>
      </c>
      <c r="R48" s="761">
        <f ca="1">SUM(C48:Q48)</f>
        <v>1099.957358905672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10792.643340488446</v>
      </c>
      <c r="D53" s="773">
        <f t="shared" ref="D53:Q53" ca="1" si="6">D41+D46+D48</f>
        <v>8.0969747899159685</v>
      </c>
      <c r="E53" s="773">
        <f t="shared" ca="1" si="6"/>
        <v>17141.212994901474</v>
      </c>
      <c r="F53" s="773">
        <f t="shared" si="6"/>
        <v>1831.1013185084651</v>
      </c>
      <c r="G53" s="773">
        <f t="shared" ca="1" si="6"/>
        <v>16703.579037233871</v>
      </c>
      <c r="H53" s="773">
        <f t="shared" si="6"/>
        <v>30232.207213651574</v>
      </c>
      <c r="I53" s="773">
        <f t="shared" si="6"/>
        <v>5909.148820448484</v>
      </c>
      <c r="J53" s="773">
        <f t="shared" si="6"/>
        <v>0</v>
      </c>
      <c r="K53" s="773">
        <f t="shared" si="6"/>
        <v>28.307854409345115</v>
      </c>
      <c r="L53" s="773">
        <f t="shared" si="6"/>
        <v>0</v>
      </c>
      <c r="M53" s="773">
        <f t="shared" ca="1" si="6"/>
        <v>0</v>
      </c>
      <c r="N53" s="773">
        <f t="shared" si="6"/>
        <v>0</v>
      </c>
      <c r="O53" s="773">
        <f t="shared" ca="1" si="6"/>
        <v>0</v>
      </c>
      <c r="P53" s="773">
        <f>P41+P46+P48</f>
        <v>0</v>
      </c>
      <c r="Q53" s="774">
        <f t="shared" si="6"/>
        <v>0</v>
      </c>
      <c r="R53" s="775">
        <f ca="1">R41+R46+R48</f>
        <v>82646.29755443157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0.10250095021116667</v>
      </c>
      <c r="D55" s="836">
        <f t="shared" ca="1" si="7"/>
        <v>0.23764705882352943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47020.251821306338</v>
      </c>
      <c r="C64" s="795">
        <f>'lokale energieproductie'!B4</f>
        <v>47020.251821306338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9439.1597431040245</v>
      </c>
      <c r="C66" s="795">
        <f>'lokale energieproductie'!B6</f>
        <v>9439.1597431040245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56483.261564410357</v>
      </c>
      <c r="C69" s="803">
        <f>SUM(C64:C68)</f>
        <v>56459.411564410359</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31491.158002411816</v>
      </c>
      <c r="C4" s="478">
        <f>huishoudens!C8</f>
        <v>0</v>
      </c>
      <c r="D4" s="478">
        <f>huishoudens!D8</f>
        <v>47689.676681900004</v>
      </c>
      <c r="E4" s="478">
        <f>huishoudens!E8</f>
        <v>6220.2294070193029</v>
      </c>
      <c r="F4" s="478">
        <f>huishoudens!F8</f>
        <v>49472.515771894541</v>
      </c>
      <c r="G4" s="478">
        <f>huishoudens!G8</f>
        <v>0</v>
      </c>
      <c r="H4" s="478">
        <f>huishoudens!H8</f>
        <v>0</v>
      </c>
      <c r="I4" s="478">
        <f>huishoudens!I8</f>
        <v>0</v>
      </c>
      <c r="J4" s="478">
        <f>huishoudens!J8</f>
        <v>0</v>
      </c>
      <c r="K4" s="478">
        <f>huishoudens!K8</f>
        <v>0</v>
      </c>
      <c r="L4" s="478">
        <f>huishoudens!L8</f>
        <v>0</v>
      </c>
      <c r="M4" s="478">
        <f>huishoudens!M8</f>
        <v>0</v>
      </c>
      <c r="N4" s="478">
        <f>huishoudens!N8</f>
        <v>22427.085543551158</v>
      </c>
      <c r="O4" s="478">
        <f>huishoudens!O8</f>
        <v>726.95</v>
      </c>
      <c r="P4" s="479">
        <f>huishoudens!P8</f>
        <v>1982.9333333333334</v>
      </c>
      <c r="Q4" s="480">
        <f>SUM(B4:P4)</f>
        <v>160010.54874011016</v>
      </c>
    </row>
    <row r="5" spans="1:17">
      <c r="A5" s="477" t="s">
        <v>156</v>
      </c>
      <c r="B5" s="478">
        <f ca="1">tertiair!B16</f>
        <v>29260.432645999997</v>
      </c>
      <c r="C5" s="478">
        <f ca="1">tertiair!C16</f>
        <v>34.071428571428577</v>
      </c>
      <c r="D5" s="478">
        <f ca="1">tertiair!D16</f>
        <v>20738.97123191514</v>
      </c>
      <c r="E5" s="478">
        <f>tertiair!E16</f>
        <v>423.65626313502383</v>
      </c>
      <c r="F5" s="478">
        <f ca="1">tertiair!F16</f>
        <v>5222.8569453076934</v>
      </c>
      <c r="G5" s="478">
        <f>tertiair!G16</f>
        <v>0</v>
      </c>
      <c r="H5" s="478">
        <f>tertiair!H16</f>
        <v>0</v>
      </c>
      <c r="I5" s="478">
        <f>tertiair!I16</f>
        <v>0</v>
      </c>
      <c r="J5" s="478">
        <f>tertiair!J16</f>
        <v>8.4953956392109273E-2</v>
      </c>
      <c r="K5" s="478">
        <f>tertiair!K16</f>
        <v>0</v>
      </c>
      <c r="L5" s="478">
        <f ca="1">tertiair!L16</f>
        <v>0</v>
      </c>
      <c r="M5" s="478">
        <f>tertiair!M16</f>
        <v>0</v>
      </c>
      <c r="N5" s="478">
        <f ca="1">tertiair!N16</f>
        <v>3366.9477607028821</v>
      </c>
      <c r="O5" s="478">
        <f>tertiair!O16</f>
        <v>3.1266666666666669</v>
      </c>
      <c r="P5" s="479">
        <f>tertiair!P16</f>
        <v>19.066666666666666</v>
      </c>
      <c r="Q5" s="477">
        <f t="shared" ref="Q5:Q13" ca="1" si="0">SUM(B5:P5)</f>
        <v>59069.214562921887</v>
      </c>
    </row>
    <row r="6" spans="1:17">
      <c r="A6" s="477" t="s">
        <v>194</v>
      </c>
      <c r="B6" s="478">
        <f>'openbare verlichting'!B8</f>
        <v>1418.8440000000001</v>
      </c>
      <c r="C6" s="478"/>
      <c r="D6" s="478"/>
      <c r="E6" s="478"/>
      <c r="F6" s="478"/>
      <c r="G6" s="478"/>
      <c r="H6" s="478"/>
      <c r="I6" s="478"/>
      <c r="J6" s="478"/>
      <c r="K6" s="478"/>
      <c r="L6" s="478"/>
      <c r="M6" s="478"/>
      <c r="N6" s="478"/>
      <c r="O6" s="478"/>
      <c r="P6" s="479"/>
      <c r="Q6" s="477">
        <f t="shared" si="0"/>
        <v>1418.8440000000001</v>
      </c>
    </row>
    <row r="7" spans="1:17">
      <c r="A7" s="477" t="s">
        <v>112</v>
      </c>
      <c r="B7" s="478">
        <f>landbouw!B8</f>
        <v>513.09900000000005</v>
      </c>
      <c r="C7" s="478">
        <f>landbouw!C8</f>
        <v>0</v>
      </c>
      <c r="D7" s="478">
        <f>landbouw!D8</f>
        <v>2212.3836759419996</v>
      </c>
      <c r="E7" s="478">
        <f>landbouw!E8</f>
        <v>15.081546795232871</v>
      </c>
      <c r="F7" s="478">
        <f>landbouw!F8</f>
        <v>2137.5427075853349</v>
      </c>
      <c r="G7" s="478">
        <f>landbouw!G8</f>
        <v>0</v>
      </c>
      <c r="H7" s="478">
        <f>landbouw!H8</f>
        <v>0</v>
      </c>
      <c r="I7" s="478">
        <f>landbouw!I8</f>
        <v>0</v>
      </c>
      <c r="J7" s="478">
        <f>landbouw!J8</f>
        <v>74.337026172842585</v>
      </c>
      <c r="K7" s="478">
        <f>landbouw!K8</f>
        <v>0</v>
      </c>
      <c r="L7" s="478">
        <f>landbouw!L8</f>
        <v>0</v>
      </c>
      <c r="M7" s="478">
        <f>landbouw!M8</f>
        <v>0</v>
      </c>
      <c r="N7" s="478">
        <f>landbouw!N8</f>
        <v>0</v>
      </c>
      <c r="O7" s="478">
        <f>landbouw!O8</f>
        <v>0</v>
      </c>
      <c r="P7" s="479">
        <f>landbouw!P8</f>
        <v>0</v>
      </c>
      <c r="Q7" s="477">
        <f t="shared" si="0"/>
        <v>4952.44395649541</v>
      </c>
    </row>
    <row r="8" spans="1:17">
      <c r="A8" s="477" t="s">
        <v>635</v>
      </c>
      <c r="B8" s="478">
        <f>industrie!B18</f>
        <v>42554.162446999995</v>
      </c>
      <c r="C8" s="478">
        <f>industrie!C18</f>
        <v>0</v>
      </c>
      <c r="D8" s="478">
        <f>industrie!D18</f>
        <v>14007.999636356</v>
      </c>
      <c r="E8" s="478">
        <f>industrie!E18</f>
        <v>1110.4825030964773</v>
      </c>
      <c r="F8" s="478">
        <f>industrie!F18</f>
        <v>5727.305688447892</v>
      </c>
      <c r="G8" s="478">
        <f>industrie!G18</f>
        <v>0</v>
      </c>
      <c r="H8" s="478">
        <f>industrie!H18</f>
        <v>0</v>
      </c>
      <c r="I8" s="478">
        <f>industrie!I18</f>
        <v>0</v>
      </c>
      <c r="J8" s="478">
        <f>industrie!J18</f>
        <v>5.543710292644163</v>
      </c>
      <c r="K8" s="478">
        <f>industrie!K18</f>
        <v>0</v>
      </c>
      <c r="L8" s="478">
        <f>industrie!L18</f>
        <v>0</v>
      </c>
      <c r="M8" s="478">
        <f>industrie!M18</f>
        <v>0</v>
      </c>
      <c r="N8" s="478">
        <f>industrie!N18</f>
        <v>2939.0751340032371</v>
      </c>
      <c r="O8" s="478">
        <f>industrie!O18</f>
        <v>0</v>
      </c>
      <c r="P8" s="479">
        <f>industrie!P18</f>
        <v>0</v>
      </c>
      <c r="Q8" s="477">
        <f t="shared" si="0"/>
        <v>66344.569119196254</v>
      </c>
    </row>
    <row r="9" spans="1:17" s="483" customFormat="1">
      <c r="A9" s="481" t="s">
        <v>561</v>
      </c>
      <c r="B9" s="482">
        <f>transport!B14</f>
        <v>55.409170969153543</v>
      </c>
      <c r="C9" s="482"/>
      <c r="D9" s="482">
        <f>transport!D14</f>
        <v>208.458847656513</v>
      </c>
      <c r="E9" s="482">
        <f>transport!E14</f>
        <v>297.07591214984518</v>
      </c>
      <c r="F9" s="482"/>
      <c r="G9" s="482">
        <f>transport!G14</f>
        <v>111386.76932931579</v>
      </c>
      <c r="H9" s="482">
        <f>transport!H14</f>
        <v>23731.521367262987</v>
      </c>
      <c r="I9" s="482"/>
      <c r="J9" s="482"/>
      <c r="K9" s="482"/>
      <c r="L9" s="482"/>
      <c r="M9" s="482">
        <f>transport!M14</f>
        <v>7212.1847211816375</v>
      </c>
      <c r="N9" s="482"/>
      <c r="O9" s="482"/>
      <c r="P9" s="482"/>
      <c r="Q9" s="481">
        <f>SUM(B9:P9)</f>
        <v>142891.41934853591</v>
      </c>
    </row>
    <row r="10" spans="1:17">
      <c r="A10" s="477" t="s">
        <v>551</v>
      </c>
      <c r="B10" s="478">
        <f>transport!B54</f>
        <v>0</v>
      </c>
      <c r="C10" s="478"/>
      <c r="D10" s="478">
        <f>transport!D54</f>
        <v>0</v>
      </c>
      <c r="E10" s="478"/>
      <c r="F10" s="478"/>
      <c r="G10" s="478">
        <f>transport!G54</f>
        <v>1842.4711712518981</v>
      </c>
      <c r="H10" s="478"/>
      <c r="I10" s="478"/>
      <c r="J10" s="478"/>
      <c r="K10" s="478"/>
      <c r="L10" s="478"/>
      <c r="M10" s="478">
        <f>transport!M54</f>
        <v>104.64422879738598</v>
      </c>
      <c r="N10" s="478"/>
      <c r="O10" s="478"/>
      <c r="P10" s="479"/>
      <c r="Q10" s="477">
        <f t="shared" si="0"/>
        <v>1947.1154000492841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105293.10526638097</v>
      </c>
      <c r="C14" s="488">
        <f t="shared" ref="C14:Q14" ca="1" si="1">SUM(C4:C13)</f>
        <v>34.071428571428577</v>
      </c>
      <c r="D14" s="488">
        <f t="shared" ca="1" si="1"/>
        <v>84857.490073769659</v>
      </c>
      <c r="E14" s="488">
        <f t="shared" si="1"/>
        <v>8066.5256321958814</v>
      </c>
      <c r="F14" s="488">
        <f t="shared" ca="1" si="1"/>
        <v>62560.221113235464</v>
      </c>
      <c r="G14" s="488">
        <f t="shared" si="1"/>
        <v>113229.24050056768</v>
      </c>
      <c r="H14" s="488">
        <f t="shared" si="1"/>
        <v>23731.521367262987</v>
      </c>
      <c r="I14" s="488">
        <f t="shared" si="1"/>
        <v>0</v>
      </c>
      <c r="J14" s="488">
        <f t="shared" si="1"/>
        <v>79.965690421878861</v>
      </c>
      <c r="K14" s="488">
        <f t="shared" si="1"/>
        <v>0</v>
      </c>
      <c r="L14" s="488">
        <f t="shared" ca="1" si="1"/>
        <v>0</v>
      </c>
      <c r="M14" s="488">
        <f t="shared" si="1"/>
        <v>7316.8289499790235</v>
      </c>
      <c r="N14" s="488">
        <f t="shared" ca="1" si="1"/>
        <v>28733.108438257277</v>
      </c>
      <c r="O14" s="488">
        <f t="shared" si="1"/>
        <v>730.07666666666671</v>
      </c>
      <c r="P14" s="489">
        <f t="shared" si="1"/>
        <v>2002</v>
      </c>
      <c r="Q14" s="489">
        <f t="shared" ca="1" si="1"/>
        <v>436634.15512730897</v>
      </c>
    </row>
    <row r="16" spans="1:17">
      <c r="A16" s="491" t="s">
        <v>556</v>
      </c>
      <c r="B16" s="841">
        <f ca="1">huishoudens!B10</f>
        <v>0.10250095021116667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3227.8736184971967</v>
      </c>
      <c r="C21" s="478">
        <f t="shared" ref="C21:C28" ca="1" si="3">C4*$C$16</f>
        <v>0</v>
      </c>
      <c r="D21" s="478">
        <f t="shared" ref="D21:D30" si="4">D4*$D$16</f>
        <v>9633.3146897438019</v>
      </c>
      <c r="E21" s="478">
        <f t="shared" ref="E21:E30" si="5">E4*$E$16</f>
        <v>1411.9920753933818</v>
      </c>
      <c r="F21" s="478">
        <f t="shared" ref="F21:F28" si="6">F4*$F$16</f>
        <v>13209.161711095843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27482.342094730222</v>
      </c>
    </row>
    <row r="22" spans="1:17">
      <c r="A22" s="477" t="s">
        <v>156</v>
      </c>
      <c r="B22" s="478">
        <f t="shared" ca="1" si="2"/>
        <v>2999.2221498048416</v>
      </c>
      <c r="C22" s="478">
        <f t="shared" ca="1" si="3"/>
        <v>8.0969747899159685</v>
      </c>
      <c r="D22" s="478">
        <f t="shared" ca="1" si="4"/>
        <v>4189.2721888468586</v>
      </c>
      <c r="E22" s="478">
        <f t="shared" si="5"/>
        <v>96.169971731650421</v>
      </c>
      <c r="F22" s="478">
        <f t="shared" ca="1" si="6"/>
        <v>1394.5028043971543</v>
      </c>
      <c r="G22" s="478">
        <f t="shared" si="7"/>
        <v>0</v>
      </c>
      <c r="H22" s="478">
        <f t="shared" si="8"/>
        <v>0</v>
      </c>
      <c r="I22" s="478">
        <f t="shared" si="9"/>
        <v>0</v>
      </c>
      <c r="J22" s="478">
        <f t="shared" si="10"/>
        <v>3.0073700562806682E-2</v>
      </c>
      <c r="K22" s="478">
        <f t="shared" si="11"/>
        <v>0</v>
      </c>
      <c r="L22" s="478">
        <f t="shared" ca="1" si="12"/>
        <v>0</v>
      </c>
      <c r="M22" s="478">
        <f t="shared" si="13"/>
        <v>0</v>
      </c>
      <c r="N22" s="478">
        <f t="shared" ca="1" si="14"/>
        <v>0</v>
      </c>
      <c r="O22" s="478">
        <f t="shared" si="15"/>
        <v>0</v>
      </c>
      <c r="P22" s="479">
        <f t="shared" si="16"/>
        <v>0</v>
      </c>
      <c r="Q22" s="477">
        <f t="shared" ref="Q22:Q30" ca="1" si="17">SUM(B22:P22)</f>
        <v>8687.2941632709844</v>
      </c>
    </row>
    <row r="23" spans="1:17">
      <c r="A23" s="477" t="s">
        <v>194</v>
      </c>
      <c r="B23" s="478">
        <f t="shared" ca="1" si="2"/>
        <v>145.43285820141259</v>
      </c>
      <c r="C23" s="478"/>
      <c r="D23" s="478"/>
      <c r="E23" s="478"/>
      <c r="F23" s="478"/>
      <c r="G23" s="478"/>
      <c r="H23" s="478"/>
      <c r="I23" s="478"/>
      <c r="J23" s="478"/>
      <c r="K23" s="478"/>
      <c r="L23" s="478"/>
      <c r="M23" s="478"/>
      <c r="N23" s="478"/>
      <c r="O23" s="478"/>
      <c r="P23" s="479"/>
      <c r="Q23" s="477">
        <f t="shared" ca="1" si="17"/>
        <v>145.43285820141259</v>
      </c>
    </row>
    <row r="24" spans="1:17">
      <c r="A24" s="477" t="s">
        <v>112</v>
      </c>
      <c r="B24" s="478">
        <f t="shared" ca="1" si="2"/>
        <v>52.593135052399411</v>
      </c>
      <c r="C24" s="478">
        <f t="shared" ca="1" si="3"/>
        <v>0</v>
      </c>
      <c r="D24" s="478">
        <f t="shared" si="4"/>
        <v>446.90150254028396</v>
      </c>
      <c r="E24" s="478">
        <f t="shared" si="5"/>
        <v>3.423511122517862</v>
      </c>
      <c r="F24" s="478">
        <f t="shared" si="6"/>
        <v>570.72390292528451</v>
      </c>
      <c r="G24" s="478">
        <f t="shared" si="7"/>
        <v>0</v>
      </c>
      <c r="H24" s="478">
        <f t="shared" si="8"/>
        <v>0</v>
      </c>
      <c r="I24" s="478">
        <f t="shared" si="9"/>
        <v>0</v>
      </c>
      <c r="J24" s="478">
        <f t="shared" si="10"/>
        <v>26.315307265186274</v>
      </c>
      <c r="K24" s="478">
        <f t="shared" si="11"/>
        <v>0</v>
      </c>
      <c r="L24" s="478">
        <f t="shared" si="12"/>
        <v>0</v>
      </c>
      <c r="M24" s="478">
        <f t="shared" si="13"/>
        <v>0</v>
      </c>
      <c r="N24" s="478">
        <f t="shared" si="14"/>
        <v>0</v>
      </c>
      <c r="O24" s="478">
        <f t="shared" si="15"/>
        <v>0</v>
      </c>
      <c r="P24" s="479">
        <f t="shared" si="16"/>
        <v>0</v>
      </c>
      <c r="Q24" s="477">
        <f t="shared" ca="1" si="17"/>
        <v>1099.957358905672</v>
      </c>
    </row>
    <row r="25" spans="1:17">
      <c r="A25" s="477" t="s">
        <v>635</v>
      </c>
      <c r="B25" s="478">
        <f t="shared" ca="1" si="2"/>
        <v>4361.842086257845</v>
      </c>
      <c r="C25" s="478">
        <f t="shared" ca="1" si="3"/>
        <v>0</v>
      </c>
      <c r="D25" s="478">
        <f t="shared" si="4"/>
        <v>2829.6159265439123</v>
      </c>
      <c r="E25" s="478">
        <f t="shared" si="5"/>
        <v>252.07952820290035</v>
      </c>
      <c r="F25" s="478">
        <f t="shared" si="6"/>
        <v>1529.1906188155872</v>
      </c>
      <c r="G25" s="478">
        <f t="shared" si="7"/>
        <v>0</v>
      </c>
      <c r="H25" s="478">
        <f t="shared" si="8"/>
        <v>0</v>
      </c>
      <c r="I25" s="478">
        <f t="shared" si="9"/>
        <v>0</v>
      </c>
      <c r="J25" s="478">
        <f t="shared" si="10"/>
        <v>1.9624734435960336</v>
      </c>
      <c r="K25" s="478">
        <f t="shared" si="11"/>
        <v>0</v>
      </c>
      <c r="L25" s="478">
        <f t="shared" si="12"/>
        <v>0</v>
      </c>
      <c r="M25" s="478">
        <f t="shared" si="13"/>
        <v>0</v>
      </c>
      <c r="N25" s="478">
        <f t="shared" si="14"/>
        <v>0</v>
      </c>
      <c r="O25" s="478">
        <f t="shared" si="15"/>
        <v>0</v>
      </c>
      <c r="P25" s="479">
        <f t="shared" si="16"/>
        <v>0</v>
      </c>
      <c r="Q25" s="477">
        <f t="shared" ca="1" si="17"/>
        <v>8974.6906332638409</v>
      </c>
    </row>
    <row r="26" spans="1:17" s="483" customFormat="1">
      <c r="A26" s="481" t="s">
        <v>561</v>
      </c>
      <c r="B26" s="835">
        <f t="shared" ca="1" si="2"/>
        <v>5.6794926747512289</v>
      </c>
      <c r="C26" s="482"/>
      <c r="D26" s="482">
        <f t="shared" si="4"/>
        <v>42.108687226615629</v>
      </c>
      <c r="E26" s="482">
        <f t="shared" si="5"/>
        <v>67.436232058014852</v>
      </c>
      <c r="F26" s="482"/>
      <c r="G26" s="482">
        <f t="shared" si="7"/>
        <v>29740.267410927318</v>
      </c>
      <c r="H26" s="482">
        <f t="shared" si="8"/>
        <v>5909.148820448484</v>
      </c>
      <c r="I26" s="482"/>
      <c r="J26" s="482"/>
      <c r="K26" s="482"/>
      <c r="L26" s="482"/>
      <c r="M26" s="482">
        <f t="shared" si="13"/>
        <v>0</v>
      </c>
      <c r="N26" s="482"/>
      <c r="O26" s="482"/>
      <c r="P26" s="493"/>
      <c r="Q26" s="481">
        <f t="shared" ca="1" si="17"/>
        <v>35764.64064333518</v>
      </c>
    </row>
    <row r="27" spans="1:17">
      <c r="A27" s="477" t="s">
        <v>551</v>
      </c>
      <c r="B27" s="478">
        <f t="shared" ca="1" si="2"/>
        <v>0</v>
      </c>
      <c r="C27" s="478"/>
      <c r="D27" s="482">
        <f t="shared" si="4"/>
        <v>0</v>
      </c>
      <c r="E27" s="478"/>
      <c r="F27" s="478"/>
      <c r="G27" s="478">
        <f t="shared" si="7"/>
        <v>491.93980272425682</v>
      </c>
      <c r="H27" s="478"/>
      <c r="I27" s="478"/>
      <c r="J27" s="478"/>
      <c r="K27" s="478"/>
      <c r="L27" s="478"/>
      <c r="M27" s="478">
        <f t="shared" si="13"/>
        <v>0</v>
      </c>
      <c r="N27" s="478"/>
      <c r="O27" s="478"/>
      <c r="P27" s="479"/>
      <c r="Q27" s="477">
        <f t="shared" ca="1" si="17"/>
        <v>491.93980272425682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10792.643340488446</v>
      </c>
      <c r="C31" s="488">
        <f t="shared" ca="1" si="18"/>
        <v>8.0969747899159685</v>
      </c>
      <c r="D31" s="488">
        <f t="shared" ca="1" si="18"/>
        <v>17141.212994901474</v>
      </c>
      <c r="E31" s="488">
        <f t="shared" si="18"/>
        <v>1831.1013185084651</v>
      </c>
      <c r="F31" s="488">
        <f t="shared" ca="1" si="18"/>
        <v>16703.579037233871</v>
      </c>
      <c r="G31" s="488">
        <f t="shared" si="18"/>
        <v>30232.207213651574</v>
      </c>
      <c r="H31" s="488">
        <f t="shared" si="18"/>
        <v>5909.148820448484</v>
      </c>
      <c r="I31" s="488">
        <f t="shared" si="18"/>
        <v>0</v>
      </c>
      <c r="J31" s="488">
        <f t="shared" si="18"/>
        <v>28.307854409345111</v>
      </c>
      <c r="K31" s="488">
        <f t="shared" si="18"/>
        <v>0</v>
      </c>
      <c r="L31" s="488">
        <f t="shared" ca="1" si="18"/>
        <v>0</v>
      </c>
      <c r="M31" s="488">
        <f t="shared" si="18"/>
        <v>0</v>
      </c>
      <c r="N31" s="488">
        <f t="shared" ca="1" si="18"/>
        <v>0</v>
      </c>
      <c r="O31" s="488">
        <f t="shared" si="18"/>
        <v>0</v>
      </c>
      <c r="P31" s="489">
        <f t="shared" si="18"/>
        <v>0</v>
      </c>
      <c r="Q31" s="489">
        <f t="shared" ca="1" si="18"/>
        <v>82646.29755443157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0.10250095021116667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0.10250095021116667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0.10250095021116667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2019-01-01T21:21:33Z</dcterms:modified>
</cp:coreProperties>
</file>