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D10" i="14" s="1"/>
  <c r="L6" i="17"/>
  <c r="L5" s="1"/>
  <c r="J15" i="16"/>
  <c r="B8" i="9"/>
  <c r="D6" i="17"/>
  <c r="O4" i="48"/>
  <c r="E16"/>
  <c r="I16"/>
  <c r="I24" s="1"/>
  <c r="F16"/>
  <c r="J16"/>
  <c r="K16"/>
  <c r="D16"/>
  <c r="D27" s="1"/>
  <c r="H16"/>
  <c r="L16" i="16"/>
  <c r="L18"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D12" i="17"/>
  <c r="E48" i="14" s="1"/>
  <c r="L10"/>
  <c r="K5" i="48"/>
  <c r="K22" s="1"/>
  <c r="C17" i="14"/>
  <c r="B13" i="48"/>
  <c r="E17" i="14"/>
  <c r="D13" i="48"/>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O21" i="48"/>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G81" i="14"/>
  <c r="D79"/>
  <c r="H79"/>
  <c r="H81" s="1"/>
  <c r="L79"/>
  <c r="L81" s="1"/>
  <c r="F79"/>
  <c r="J79"/>
  <c r="E68"/>
  <c r="E69" s="1"/>
  <c r="I68"/>
  <c r="M68"/>
  <c r="M69" s="1"/>
  <c r="D19" i="18"/>
  <c r="L19"/>
  <c r="B68" i="14"/>
  <c r="G68"/>
  <c r="G69" s="1"/>
  <c r="E81"/>
  <c r="M81"/>
  <c r="F19" i="18"/>
  <c r="D11" i="14"/>
  <c r="C4" i="48"/>
  <c r="M17" i="18"/>
  <c r="M18"/>
  <c r="I21" i="48" l="1"/>
  <c r="I31" s="1"/>
  <c r="D28"/>
  <c r="D30"/>
  <c r="I28"/>
  <c r="E28"/>
  <c r="I20" i="15"/>
  <c r="J36" i="14" s="1"/>
  <c r="K28" i="48"/>
  <c r="G22" i="14"/>
  <c r="P22" i="16"/>
  <c r="Q39" i="14" s="1"/>
  <c r="G11"/>
  <c r="J12" i="17"/>
  <c r="K48" i="14" s="1"/>
  <c r="Q13"/>
  <c r="B35" i="13"/>
  <c r="J15" i="14"/>
  <c r="J23" s="1"/>
  <c r="P8" i="48"/>
  <c r="P25" s="1"/>
  <c r="D18" i="16"/>
  <c r="G31" i="20"/>
  <c r="H43" i="14" s="1"/>
  <c r="G12" i="22"/>
  <c r="D16" i="15"/>
  <c r="K22" i="14"/>
  <c r="E8" i="17"/>
  <c r="O18" i="16"/>
  <c r="B36" i="13"/>
  <c r="B48" s="1"/>
  <c r="C48" s="1"/>
  <c r="N5" s="1"/>
  <c r="N8" s="1"/>
  <c r="H13" i="48"/>
  <c r="H30" s="1"/>
  <c r="H12" i="22"/>
  <c r="B34" i="13"/>
  <c r="B46" s="1"/>
  <c r="E5" s="1"/>
  <c r="E8" s="1"/>
  <c r="N8" i="17"/>
  <c r="N12" s="1"/>
  <c r="O48" i="14" s="1"/>
  <c r="L8" i="17"/>
  <c r="L12" s="1"/>
  <c r="M48" i="14" s="1"/>
  <c r="M50" i="22"/>
  <c r="M54" s="1"/>
  <c r="G51"/>
  <c r="G50" s="1"/>
  <c r="G54" s="1"/>
  <c r="P13" i="14"/>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10"/>
  <c r="J5" i="15"/>
  <c r="F4" i="48"/>
  <c r="F21" s="1"/>
  <c r="B69" i="14"/>
  <c r="B4" i="6" s="1"/>
  <c r="L53" i="14"/>
  <c r="F5" i="15"/>
  <c r="F16" s="1"/>
  <c r="B5"/>
  <c r="B16" s="1"/>
  <c r="E13" i="14"/>
  <c r="B5" i="16"/>
  <c r="B18" s="1"/>
  <c r="N5" i="15"/>
  <c r="N16" s="1"/>
  <c r="F12" i="13"/>
  <c r="G37" i="14" s="1"/>
  <c r="P5" i="48"/>
  <c r="P22" s="1"/>
  <c r="F13" i="16"/>
  <c r="E13"/>
  <c r="N13"/>
  <c r="J13"/>
  <c r="B47" i="13"/>
  <c r="N12" i="16"/>
  <c r="J12"/>
  <c r="F12"/>
  <c r="E12"/>
  <c r="Q11" i="48"/>
  <c r="O5"/>
  <c r="R9" i="14"/>
  <c r="O28" i="48"/>
  <c r="H22"/>
  <c r="K31"/>
  <c r="M25"/>
  <c r="M24"/>
  <c r="C50" i="13"/>
  <c r="J5" s="1"/>
  <c r="J8" s="1"/>
  <c r="E12" i="17"/>
  <c r="F48" i="14" s="1"/>
  <c r="C5" i="48"/>
  <c r="Q41" i="14" l="1"/>
  <c r="Q53" s="1"/>
  <c r="Q55" s="1"/>
  <c r="Q15"/>
  <c r="Q23" s="1"/>
  <c r="H14" i="22"/>
  <c r="I19" i="14" s="1"/>
  <c r="I20" s="1"/>
  <c r="I23" s="1"/>
  <c r="H18"/>
  <c r="O22" i="16"/>
  <c r="P39" i="14" s="1"/>
  <c r="M10" i="48"/>
  <c r="M27" s="1"/>
  <c r="F22" i="14"/>
  <c r="C13"/>
  <c r="E12" i="13"/>
  <c r="F37" i="14" s="1"/>
  <c r="D22" i="16"/>
  <c r="E39" i="14" s="1"/>
  <c r="N4" i="48"/>
  <c r="N21" s="1"/>
  <c r="D20" i="15"/>
  <c r="E36" i="14" s="1"/>
  <c r="G14" i="22"/>
  <c r="O8" i="48"/>
  <c r="O25" s="1"/>
  <c r="E7"/>
  <c r="E24" s="1"/>
  <c r="P31"/>
  <c r="N7"/>
  <c r="N24" s="1"/>
  <c r="J16" i="15"/>
  <c r="J5" i="48" s="1"/>
  <c r="J22" s="1"/>
  <c r="E16" i="15"/>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M18" i="22"/>
  <c r="N45" i="14" s="1"/>
  <c r="M9" i="48"/>
  <c r="N19" i="14"/>
  <c r="P14" i="48"/>
  <c r="B8"/>
  <c r="J55" i="14"/>
  <c r="L55"/>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J20" l="1"/>
  <c r="K36" i="14" s="1"/>
  <c r="E41"/>
  <c r="E53" s="1"/>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B22"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Q5" i="48"/>
  <c r="Q4"/>
  <c r="N22"/>
  <c r="R11" i="14"/>
  <c r="J21" i="48"/>
  <c r="C29" i="20" l="1"/>
  <c r="C17" i="19"/>
  <c r="C19" s="1"/>
  <c r="D35" i="14" s="1"/>
  <c r="C20" i="16"/>
  <c r="C22" s="1"/>
  <c r="D39" i="14" s="1"/>
  <c r="C18" i="15"/>
  <c r="C20" s="1"/>
  <c r="D36" i="14" s="1"/>
  <c r="C10" i="13"/>
  <c r="C10" i="17"/>
  <c r="C12" s="1"/>
  <c r="D48" i="14" s="1"/>
  <c r="C56" i="22"/>
  <c r="C58" s="1"/>
  <c r="D44" i="14" s="1"/>
  <c r="D46" s="1"/>
  <c r="C17" i="49"/>
  <c r="C16" i="22"/>
  <c r="C16" i="48"/>
  <c r="E22" i="16"/>
  <c r="F39" i="14" s="1"/>
  <c r="K13"/>
  <c r="K15" s="1"/>
  <c r="K23" s="1"/>
  <c r="G13"/>
  <c r="G15" s="1"/>
  <c r="G23" s="1"/>
  <c r="N8" i="48"/>
  <c r="F8"/>
  <c r="F25" s="1"/>
  <c r="F31" s="1"/>
  <c r="F22" i="16"/>
  <c r="G39" i="14" s="1"/>
  <c r="G41" s="1"/>
  <c r="G53" s="1"/>
  <c r="O13"/>
  <c r="O15" s="1"/>
  <c r="F41"/>
  <c r="F53" s="1"/>
  <c r="N22" i="16"/>
  <c r="O39" i="14" s="1"/>
  <c r="O41" s="1"/>
  <c r="O53" s="1"/>
  <c r="E8" i="48"/>
  <c r="E25" s="1"/>
  <c r="E31" s="1"/>
  <c r="F13" i="14"/>
  <c r="F15" s="1"/>
  <c r="F23" s="1"/>
  <c r="J22" i="16"/>
  <c r="K39" i="14" s="1"/>
  <c r="K41" s="1"/>
  <c r="K53" s="1"/>
  <c r="J8" i="48"/>
  <c r="J25" s="1"/>
  <c r="J31" s="1"/>
  <c r="N25"/>
  <c r="N31" s="1"/>
  <c r="N14"/>
  <c r="N55" i="14"/>
  <c r="H55"/>
  <c r="E55"/>
  <c r="C78"/>
  <c r="C81" s="1"/>
  <c r="J14" i="48"/>
  <c r="R19" i="14"/>
  <c r="R20" s="1"/>
  <c r="H14" i="48"/>
  <c r="G31"/>
  <c r="H26"/>
  <c r="H31" s="1"/>
  <c r="M53" i="14"/>
  <c r="M55" s="1"/>
  <c r="C12" i="13"/>
  <c r="D37" i="14" s="1"/>
  <c r="F14" i="48"/>
  <c r="D41" i="14" l="1"/>
  <c r="D53" s="1"/>
  <c r="D55" s="1"/>
  <c r="K55"/>
  <c r="E14" i="48"/>
  <c r="C28"/>
  <c r="C25"/>
  <c r="C22"/>
  <c r="C21"/>
  <c r="C24"/>
  <c r="G55" i="14"/>
  <c r="O69" s="1"/>
  <c r="B9" i="6" s="1"/>
  <c r="B12" s="1"/>
  <c r="B20" i="16" s="1"/>
  <c r="B22" s="1"/>
  <c r="C39" i="14" s="1"/>
  <c r="R39" s="1"/>
  <c r="F55"/>
  <c r="R13"/>
  <c r="R15" s="1"/>
  <c r="R23" s="1"/>
  <c r="Q8" i="48"/>
  <c r="Q14" s="1"/>
  <c r="O23" i="14"/>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<sst xmlns="http://schemas.openxmlformats.org/spreadsheetml/2006/main" count="2160" uniqueCount="871">
  <si>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</si>
  <si>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</si>
  <si>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</si>
  <si>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</si>
  <si>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</si>
  <si>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</si>
  <si>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</si>
  <si>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</si>
  <si>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</si>
  <si>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</si>
  <si>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</si>
  <si>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</si>
  <si>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</si>
  <si>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</si>
  <si>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</si>
  <si>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</si>
  <si>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</si>
  <si>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</si>
  <si>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</si>
  <si>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</si>
  <si>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</si>
  <si>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</si>
  <si>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</si>
  <si>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</si>
  <si>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</si>
  <si>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</si>
  <si>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</si>
  <si>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</si>
  <si>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</si>
  <si>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</si>
  <si>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</si>
  <si>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</si>
  <si>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</si>
  <si>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</si>
  <si>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</si>
  <si>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</si>
  <si>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</si>
  <si>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</si>
  <si>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</si>
  <si>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</si>
  <si>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</si>
  <si>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</si>
  <si>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</si>
  <si>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</si>
  <si>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</si>
  <si>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</si>
  <si>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</si>
  <si>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</si>
  <si>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</si>
  <si>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</si>
  <si>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</si>
  <si>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</si>
  <si>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</si>
  <si>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</si>
  <si>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</si>
  <si>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</si>
  <si>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</si>
  <si>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</si>
  <si>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</si>
  <si>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</si>
  <si>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</si>
  <si>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</si>
  <si>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</si>
  <si>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</si>
  <si>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</si>
  <si>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</si>
  <si>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</si>
  <si>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</si>
  <si>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</si>
  <si>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</si>
  <si>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</si>
  <si>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</si>
  <si>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</si>
  <si>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</si>
  <si>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</si>
  <si>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</si>
  <si>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</si>
  <si>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</si>
  <si>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</si>
  <si>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</si>
  <si>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</si>
  <si>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</si>
  <si>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</si>
  <si>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</si>
  <si>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</si>
  <si>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</si>
  <si>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</si>
  <si>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</si>
  <si>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</si>
  <si>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</si>
  <si>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</si>
  <si>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</si>
  <si>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</si>
  <si>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</si>
  <si>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</si>
  <si>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</si>
  <si>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</si>
  <si>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</si>
  <si>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</si>
  <si>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</si>
  <si>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</si>
  <si>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</si>
  <si>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</si>
  <si>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</si>
  <si>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</si>
  <si>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</si>
  <si>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</si>
  <si>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</si>
  <si>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</si>
  <si>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</si>
  <si>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</si>
  <si>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</si>
  <si>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</si>
  <si>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</si>
  <si>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</si>
  <si>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</si>
  <si>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</si>
  <si>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</si>
  <si>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</si>
  <si>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</si>
  <si>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</si>
  <si>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</si>
  <si>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</si>
  <si>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</si>
  <si>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</si>
  <si>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</si>
  <si>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</si>
  <si>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</si>
  <si>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</si>
  <si>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</si>
  <si>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</si>
  <si>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</si>
  <si>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</si>
  <si>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</si>
  <si>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</si>
  <si>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</si>
  <si>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</si>
  <si>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</si>
  <si>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</si>
  <si>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</si>
  <si>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</si>
  <si>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</si>
  <si>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</si>
  <si>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</si>
  <si>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</si>
  <si>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</si>
  <si>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</si>
  <si>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</si>
  <si>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</si>
  <si>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</si>
  <si>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</si>
  <si>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</si>
  <si>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</si>
  <si>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</si>
  <si>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</si>
  <si>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</si>
  <si>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</si>
  <si>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</si>
  <si>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</si>
  <si>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</si>
  <si>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</si>
  <si>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</si>
  <si>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</si>
  <si>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</si>
  <si>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</si>
  <si>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</si>
  <si>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</si>
  <si>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</si>
  <si>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</si>
  <si>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</si>
  <si>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</si>
  <si>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</si>
  <si>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</si>
  <si>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</si>
  <si>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</si>
  <si>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</si>
  <si>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</si>
  <si>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</si>
  <si>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</si>
  <si>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</si>
  <si>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</si>
  <si>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</si>
  <si>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</si>
  <si>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</si>
  <si>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</si>
  <si>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</si>
  <si>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</si>
  <si>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</si>
  <si>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</si>
  <si>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</si>
  <si>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</si>
  <si>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</si>
  <si>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</si>
  <si>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</si>
  <si>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</si>
  <si>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</si>
  <si>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</si>
  <si>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</si>
  <si>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</si>
  <si>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</si>
  <si>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</si>
  <si>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</si>
  <si>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</si>
  <si>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</si>
  <si>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</si>
  <si>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</si>
  <si>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</si>
  <si>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</si>
  <si>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</si>
  <si>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</si>
  <si>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</si>
  <si>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</si>
  <si>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</si>
  <si>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</si>
  <si>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</si>
  <si>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</si>
  <si>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</si>
  <si>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</si>
  <si>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</si>
  <si>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</si>
  <si>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</si>
  <si>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</si>
  <si>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</si>
  <si>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</si>
  <si>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</si>
  <si>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</si>
  <si>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</si>
  <si>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</si>
  <si>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</si>
  <si>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</si>
  <si>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</si>
  <si>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</si>
  <si>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</si>
  <si>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</si>
  <si>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</si>
  <si>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</si>
  <si>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</si>
  <si>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</si>
  <si>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</si>
  <si>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</si>
  <si>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</si>
  <si>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</si>
  <si>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</si>
  <si>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</si>
  <si>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</si>
  <si>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</si>
  <si>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</si>
  <si>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</si>
  <si>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</si>
  <si>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</si>
  <si>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</si>
  <si>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</si>
  <si>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</si>
  <si>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</si>
  <si>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</si>
  <si>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</si>
  <si>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</si>
  <si>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</si>
  <si>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</si>
  <si>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</si>
  <si>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</si>
  <si>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</si>
  <si>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</si>
  <si>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</si>
  <si>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</si>
  <si>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</si>
  <si>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</si>
  <si>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</si>
  <si>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</si>
  <si>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</si>
  <si>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</si>
  <si>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</si>
  <si>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</si>
  <si>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</si>
  <si>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</si>
  <si>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</si>
  <si>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</si>
  <si>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</si>
  <si>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</si>
  <si>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</si>
  <si>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</si>
  <si>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</si>
  <si>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</si>
  <si>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</si>
  <si>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</si>
  <si>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</si>
  <si>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</si>
  <si>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</si>
  <si>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</si>
  <si>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</si>
  <si>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</si>
  <si>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</si>
  <si>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</si>
  <si>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</si>
  <si>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</si>
  <si>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</si>
  <si>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</si>
  <si>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</si>
  <si>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</si>
  <si>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</si>
  <si>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</si>
  <si>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</si>
  <si>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</si>
  <si>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</si>
  <si>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</si>
  <si>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</si>
  <si>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</si>
  <si>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</si>
  <si>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</si>
  <si>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</si>
  <si>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</si>
  <si>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</si>
  <si>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</si>
  <si>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</si>
  <si>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</si>
  <si>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</si>
  <si>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</si>
  <si>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</si>
  <si>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</si>
  <si>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</si>
  <si>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</si>
  <si>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</si>
  <si>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</si>
  <si>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</si>
  <si>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</si>
  <si>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</si>
  <si>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</si>
  <si>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</si>
  <si>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</si>
  <si>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</si>
  <si>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</si>
  <si>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</si>
  <si>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</si>
  <si>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</si>
  <si>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</si>
  <si>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</si>
  <si>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</si>
  <si>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</si>
  <si>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</si>
  <si>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</si>
  <si>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</si>
  <si>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</si>
  <si>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</si>
  <si>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</si>
  <si>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</si>
  <si>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</si>
  <si>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</si>
  <si>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</si>
  <si>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</si>
  <si>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</si>
  <si>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</si>
  <si>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</si>
  <si>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</si>
  <si>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</si>
  <si>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</si>
  <si>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</si>
  <si>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</si>
  <si>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</si>
  <si>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</si>
  <si>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</si>
  <si>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</si>
  <si>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</si>
  <si>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</si>
  <si>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</si>
  <si>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</si>
  <si>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</si>
  <si>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</si>
  <si>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</si>
  <si>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</si>
  <si>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</si>
  <si>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</si>
  <si>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</si>
  <si>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</si>
  <si>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</si>
  <si>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</si>
  <si>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</si>
  <si>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</si>
  <si>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</si>
  <si>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</si>
  <si>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</si>
  <si>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</si>
  <si>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</si>
  <si>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</si>
  <si>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</si>
  <si>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</si>
  <si>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</si>
  <si>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</si>
  <si>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</si>
  <si>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</si>
  <si>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</si>
  <si>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</si>
  <si>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</si>
  <si>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</si>
  <si>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</si>
  <si>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</si>
  <si>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</si>
  <si>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</si>
  <si>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</si>
  <si>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</si>
  <si>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</si>
  <si>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</si>
  <si>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</si>
  <si>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</si>
  <si>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</si>
  <si>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</si>
  <si>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</si>
  <si>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</si>
  <si>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</si>
  <si>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</si>
  <si>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</si>
  <si>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</si>
  <si>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</si>
  <si>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</si>
  <si>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</si>
  <si>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</si>
  <si>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</si>
  <si>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</si>
  <si>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</si>
  <si>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</si>
  <si>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</si>
  <si>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</si>
  <si>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</si>
  <si>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</si>
  <si>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</si>
  <si>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</si>
  <si>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</si>
  <si>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</si>
  <si>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</si>
  <si>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</si>
  <si>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</si>
  <si>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</si>
  <si>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</si>
  <si>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</si>
  <si>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</si>
  <si>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</si>
  <si>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</si>
  <si>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</si>
  <si>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</si>
  <si>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</si>
  <si>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</si>
  <si>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</si>
  <si>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</si>
  <si>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</si>
  <si>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</si>
  <si>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</si>
  <si>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</si>
  <si>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</si>
  <si>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</si>
  <si>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</si>
  <si>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</si>
  <si>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</si>
  <si>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</si>
  <si>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</si>
  <si>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</si>
  <si>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</si>
  <si>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</si>
  <si>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</si>
  <si>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</si>
  <si>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</si>
  <si>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</si>
  <si>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</si>
  <si>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</si>
  <si>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</si>
  <si>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</si>
  <si>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</si>
  <si>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</si>
  <si>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</si>
  <si>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</si>
  <si>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</si>
  <si>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</si>
  <si>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</si>
  <si>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</si>
  <si>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</si>
  <si>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</si>
  <si>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</si>
  <si>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</si>
  <si>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</si>
  <si>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</si>
  <si>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</si>
  <si>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</si>
  <si>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</si>
  <si>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</si>
  <si>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</si>
  <si>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</si>
  <si>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</si>
  <si>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</si>
  <si>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</si>
  <si>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</si>
  <si>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</si>
  <si>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</si>
  <si>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</si>
  <si>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</si>
  <si>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</si>
  <si>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</si>
  <si>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</si>
  <si>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</si>
  <si>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</si>
  <si>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</si>
  <si>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</si>
  <si>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</si>
  <si>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</si>
  <si>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</si>
  <si>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</si>
  <si>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</si>
  <si>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</si>
  <si>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</si>
  <si>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</si>
  <si>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</si>
  <si>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</si>
  <si>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</si>
  <si>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</si>
  <si>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</si>
  <si>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</si>
  <si>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</si>
  <si>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</si>
  <si>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</si>
  <si>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</si>
  <si>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</si>
  <si>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</si>
  <si>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</si>
  <si>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</si>
  <si>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</si>
  <si>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</si>
  <si>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</si>
  <si>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</si>
  <si>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</si>
  <si>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</si>
  <si>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</si>
  <si>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</si>
  <si>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</si>
  <si>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</si>
  <si>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</si>
  <si>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</si>
  <si>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</si>
  <si>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</si>
  <si>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</si>
  <si>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</si>
  <si>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</si>
  <si>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</si>
  <si>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</si>
  <si>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</si>
  <si>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</si>
  <si>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</si>
  <si>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</si>
  <si>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</si>
  <si>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</si>
  <si>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</si>
  <si>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</si>
  <si>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71022</t>
  </si>
  <si>
    <t>HASSELT</t>
  </si>
  <si>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</si>
  <si>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</si>
  <si>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</si>
  <si>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</si>
  <si>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</si>
  <si>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</si>
  <si>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</si>
  <si>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</si>
  <si>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</si>
  <si>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</si>
  <si>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</si>
  <si>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</si>
  <si>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</si>
  <si>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</si>
  <si>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</si>
  <si>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</si>
  <si>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</si>
  <si>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</si>
  <si>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</si>
  <si>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</si>
  <si>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</si>
  <si>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</si>
  <si>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</si>
  <si>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</si>
  <si>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</si>
  <si>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</si>
  <si>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</si>
  <si>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</si>
  <si>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</si>
  <si>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</si>
  <si>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</si>
  <si>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</si>
  <si>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</si>
  <si>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</si>
  <si>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</si>
  <si>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</si>
  <si>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</si>
  <si>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</si>
  <si>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</si>
  <si>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</si>
  <si>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</si>
  <si>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</si>
  <si>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</si>
  <si>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</si>
  <si>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</si>
  <si>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</si>
  <si>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</si>
  <si>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</si>
  <si>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</si>
  <si>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</si>
  <si>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</si>
  <si>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</si>
  <si>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</si>
  <si>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</si>
  <si>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</si>
  <si>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</si>
  <si>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</si>
  <si>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</si>
  <si>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</si>
  <si>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</si>
  <si>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</si>
  <si>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</si>
  <si>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</si>
  <si>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</si>
  <si>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</si>
  <si>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</si>
  <si>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</si>
  <si>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</si>
  <si>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</si>
  <si>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</si>
  <si>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</si>
  <si>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</si>
  <si>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</si>
  <si>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</si>
  <si>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</si>
  <si>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</si>
  <si>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</si>
  <si>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</si>
  <si>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</si>
  <si>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</si>
  <si>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</si>
  <si>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</si>
  <si>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</si>
  <si>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</si>
  <si>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</si>
  <si>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</si>
  <si>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</si>
  <si>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</si>
  <si>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</si>
  <si>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</si>
  <si>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</si>
  <si>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</si>
  <si>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</si>
  <si>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</si>
  <si>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</si>
  <si>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</si>
  <si>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</si>
  <si>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</si>
  <si>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</si>
  <si>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</si>
  <si>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</si>
  <si>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</si>
  <si>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</si>
  <si>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</si>
  <si>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</si>
  <si>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</si>
  <si>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</si>
  <si>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</si>
  <si>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</si>
  <si>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</si>
  <si>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</si>
  <si>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</si>
  <si>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</si>
  <si>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</si>
  <si>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</si>
  <si>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</si>
  <si>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</si>
  <si>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</si>
  <si>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</si>
  <si>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</si>
  <si>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</si>
  <si>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</si>
  <si>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</si>
  <si>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</si>
  <si>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</si>
  <si>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</si>
  <si>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</si>
  <si>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</si>
  <si>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</si>
  <si>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</si>
  <si>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</si>
  <si>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</si>
  <si>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</si>
  <si>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</si>
  <si>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</si>
  <si>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</si>
  <si>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</si>
  <si>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</si>
  <si>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</si>
  <si>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</si>
  <si>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</si>
  <si>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</si>
  <si>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</si>
  <si>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</si>
  <si>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</si>
  <si>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</si>
  <si>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</si>
  <si>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</si>
  <si>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</si>
  <si>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</si>
  <si>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</si>
  <si>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</si>
  <si>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</si>
  <si>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</si>
  <si>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</si>
  <si>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</si>
  <si>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</si>
  <si>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</si>
  <si>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</si>
  <si>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</si>
  <si>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</si>
  <si>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</si>
  <si>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</si>
  <si>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</si>
  <si>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</si>
  <si>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</si>
  <si>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</si>
  <si>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</si>
  <si>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</si>
  <si>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</si>
  <si>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</si>
  <si>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</si>
  <si>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</si>
  <si>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</si>
  <si>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</si>
  <si>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</si>
  <si>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</si>
  <si>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</si>
  <si>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</si>
  <si>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</si>
  <si>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</si>
  <si>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</si>
  <si>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</si>
  <si>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</si>
  <si>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</si>
  <si>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</si>
  <si>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</si>
  <si>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</si>
  <si>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</si>
  <si>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</si>
  <si>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</si>
  <si>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</si>
  <si>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</si>
  <si>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</si>
  <si>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</si>
  <si>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</si>
  <si>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</si>
  <si>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</si>
  <si>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</si>
  <si>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</si>
  <si>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</si>
  <si>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</si>
  <si>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</si>
  <si>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</si>
  <si>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</si>
  <si>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</si>
  <si>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</si>
  <si>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</si>
  <si>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</si>
  <si>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</si>
  <si>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</si>
  <si>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</si>
  <si>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</si>
  <si>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</si>
  <si>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</si>
  <si>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</si>
  <si>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</si>
  <si>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</si>
  <si>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</si>
  <si>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</si>
  <si>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</si>
  <si>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</si>
  <si>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</si>
  <si>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</si>
  <si>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</si>
  <si>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</si>
  <si>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</si>
  <si>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</si>
  <si>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</si>
  <si>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</si>
  <si>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</si>
  <si>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</si>
  <si>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</si>
  <si>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</si>
  <si>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</si>
  <si>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</si>
  <si>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</si>
  <si>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</si>
  <si>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</si>
  <si>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</si>
  <si>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</si>
  <si>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</si>
  <si>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</si>
  <si>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</si>
  <si>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</si>
  <si>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</si>
  <si>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</si>
  <si>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</si>
  <si>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</si>
  <si>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</si>
  <si>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</si>
  <si>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</si>
  <si>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</si>
  <si>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</si>
  <si>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</si>
  <si>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</si>
  <si>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</si>
  <si>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</si>
  <si>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</si>
  <si>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</si>
  <si>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</si>
  <si>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</si>
  <si>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</si>
  <si>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</si>
  <si>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</si>
  <si>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</si>
  <si>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</si>
  <si>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</si>
  <si>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</si>
  <si>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</si>
  <si>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</si>
  <si>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</si>
  <si>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</si>
  <si>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</si>
  <si>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</si>
  <si>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</si>
  <si>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</si>
  <si>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</si>
  <si>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</si>
  <si>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</si>
  <si>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</si>
  <si>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</si>
  <si>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</si>
  <si>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</si>
  <si>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</si>
  <si>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</si>
  <si>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</si>
  <si>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</si>
  <si>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Eandis (januari 2018); Infrax (juni 2018)</t>
  </si>
  <si>
    <t>MOW (september 2017)</t>
  </si>
  <si>
    <t>referentietaak LNE (2017); Jaarverslag De Lijn (2016)</t>
  </si>
  <si>
    <t>VEA (april 2018)</t>
  </si>
  <si>
    <t>VEA (januari 2017)</t>
  </si>
  <si>
    <t>VEA (juni 2018)</t>
  </si>
  <si>
    <t>vzw Jessa Ziekenhuis</t>
  </si>
  <si>
    <t>Salvatorstraat 20, 3500 Hasselt</t>
  </si>
  <si>
    <t>WKK-0097 vzw Jessa Ziekenhuis (voorheen CAZ Midden-Limburg)</t>
  </si>
  <si>
    <t>interne verbrandingsmotor</t>
  </si>
  <si>
    <t>WKK interne verbrandinsgmotor (gas)</t>
  </si>
  <si>
    <t>Inter-Energa</t>
  </si>
  <si>
    <t>Roebben-Hendrickx</t>
  </si>
  <si>
    <t>Rapertingenstraat 5, 3500 Hasselt</t>
  </si>
  <si>
    <t>WKK-0093 Roebben-hendrickx</t>
  </si>
  <si>
    <t>Limburgs Galvano Technisch Bedrijf nv</t>
  </si>
  <si>
    <t>Albertkanaalstraat 139 , 3511 Kuringen</t>
  </si>
  <si>
    <t>WKK-0345 Limburgs Galvano Technisch Bedrijf</t>
  </si>
  <si>
    <t>Salvatorrusthuis VZW</t>
  </si>
  <si>
    <t>Ekkelgaarden 17 , 3500 Hasselt</t>
  </si>
  <si>
    <t>WKK-0387 Salvatorrusthuis</t>
  </si>
  <si>
    <t>Cordium cvba</t>
  </si>
  <si>
    <t>Gouverneur Roppesingel 133 , 3500 Hasselt</t>
  </si>
  <si>
    <t>WKK-0638 Cordium</t>
  </si>
  <si>
    <t>Broeker Winningstraat 1-0.03 , 3511 Kuringen</t>
  </si>
  <si>
    <t>WKK-0661 Zuidzicht fase 1</t>
  </si>
  <si>
    <t>Scheepvaartlaan 30 , 3500 Hasselt</t>
  </si>
  <si>
    <t>Aquafin NV</t>
  </si>
  <si>
    <t>Dijkstraat 8 , 2630 Aartselaar</t>
  </si>
  <si>
    <t>BGS-0002 RWZI Hasselt</t>
  </si>
  <si>
    <t>biogas - RWZI</t>
  </si>
  <si>
    <t>niet WKK interne verbrandingsmotor (gas)</t>
  </si>
  <si>
    <t>Rode-Rokstraat 200 , 3511 Hasselt</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</si>
</sst>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544225.14848364249</c:v>
                </c:pt>
                <c:pt idx="1">
                  <c:v>463417.46118692559</c:v>
                </c:pt>
                <c:pt idx="2">
                  <c:v>5279.5950000000003</c:v>
                </c:pt>
                <c:pt idx="3">
                  <c:v>29380.318249563905</c:v>
                </c:pt>
                <c:pt idx="4">
                  <c:v>206151.28281981099</c:v>
                </c:pt>
                <c:pt idx="5">
                  <c:v>623201.9899855589</c:v>
                </c:pt>
                <c:pt idx="6">
                  <c:v>17165.126525381762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381376"/>
        <c:axId val="183424128"/>
      </c:barChart>
      <c:catAx>
        <c:axId val="183381376"/>
        <c:scaling>
          <c:orientation val="minMax"/>
        </c:scaling>
        <c:axPos val="b"/>
        <c:numFmt formatCode="General" sourceLinked="0"/>
        <c:tickLblPos val="nextTo"/>
        <c:crossAx val="183424128"/>
        <c:crosses val="autoZero"/>
        <c:auto val="1"/>
        <c:lblAlgn val="ctr"/>
        <c:lblOffset val="100"/>
      </c:catAx>
      <c:valAx>
        <c:axId val="183424128"/>
        <c:scaling>
          <c:orientation val="minMax"/>
        </c:scaling>
        <c:axPos val="l"/>
        <c:majorGridlines>
          <c:spPr>
            <a:ln>
              <a:noFill/>
            </a:ln>
          </c:spPr>
        </c:majorGridlines>
        <c:numFmt formatCode="#,##0" sourceLinked="1"/>
        <c:tickLblPos val="nextTo"/>
        <c:crossAx val="183381376"/>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544225.14848364249</c:v>
                </c:pt>
                <c:pt idx="1">
                  <c:v>463417.46118692559</c:v>
                </c:pt>
                <c:pt idx="2">
                  <c:v>5279.5950000000003</c:v>
                </c:pt>
                <c:pt idx="3">
                  <c:v>29380.318249563905</c:v>
                </c:pt>
                <c:pt idx="4">
                  <c:v>206151.28281981099</c:v>
                </c:pt>
                <c:pt idx="5">
                  <c:v>623201.9899855589</c:v>
                </c:pt>
                <c:pt idx="6">
                  <c:v>17165.126525381762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105624.34548198221</c:v>
                </c:pt>
                <c:pt idx="1">
                  <c:v>92847.843813182262</c:v>
                </c:pt>
                <c:pt idx="2">
                  <c:v>1045.042019441167</c:v>
                </c:pt>
                <c:pt idx="3">
                  <c:v>6414.2161665754984</c:v>
                </c:pt>
                <c:pt idx="4">
                  <c:v>40005.351269248793</c:v>
                </c:pt>
                <c:pt idx="5">
                  <c:v>155912.9974777475</c:v>
                </c:pt>
                <c:pt idx="6">
                  <c:v>4336.7788865618732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928704"/>
        <c:axId val="183930240"/>
      </c:barChart>
      <c:catAx>
        <c:axId val="183928704"/>
        <c:scaling>
          <c:orientation val="minMax"/>
        </c:scaling>
        <c:axPos val="b"/>
        <c:numFmt formatCode="General" sourceLinked="0"/>
        <c:tickLblPos val="nextTo"/>
        <c:crossAx val="183930240"/>
        <c:crosses val="autoZero"/>
        <c:auto val="1"/>
        <c:lblAlgn val="ctr"/>
        <c:lblOffset val="100"/>
      </c:catAx>
      <c:valAx>
        <c:axId val="183930240"/>
        <c:scaling>
          <c:orientation val="minMax"/>
        </c:scaling>
        <c:axPos val="l"/>
        <c:majorGridlines>
          <c:spPr>
            <a:ln>
              <a:noFill/>
            </a:ln>
          </c:spPr>
        </c:majorGridlines>
        <c:numFmt formatCode="#,##0" sourceLinked="1"/>
        <c:tickLblPos val="nextTo"/>
        <c:crossAx val="18392870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105624.34548198221</c:v>
                </c:pt>
                <c:pt idx="1">
                  <c:v>92847.843813182262</c:v>
                </c:pt>
                <c:pt idx="2">
                  <c:v>1045.042019441167</c:v>
                </c:pt>
                <c:pt idx="3">
                  <c:v>6414.2161665754984</c:v>
                </c:pt>
                <c:pt idx="4">
                  <c:v>40005.351269248793</c:v>
                </c:pt>
                <c:pt idx="5">
                  <c:v>155912.9974777475</c:v>
                </c:pt>
                <c:pt idx="6">
                  <c:v>4336.7788865618732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652</v>
      </c>
      <c r="B2" s="419"/>
      <c r="C2" s="420"/>
    </row>
    <row r="3" spans="1:7" s="11" customFormat="1" ht="15" customHeight="1">
      <c r="A3" s="93"/>
      <c r="B3" s="74"/>
      <c r="C3" s="94"/>
    </row>
    <row r="4" spans="1:7" s="11" customFormat="1" ht="15.75" customHeight="1" thickBot="1">
      <c r="A4" s="105" t="s">
        <v>802</v>
      </c>
      <c r="B4" s="106"/>
      <c r="C4" s="107"/>
    </row>
    <row r="5" spans="1:7" s="413" customFormat="1" ht="15.75" customHeight="1">
      <c r="A5" s="410" t="s">
        <v>0</v>
      </c>
      <c r="B5" s="411"/>
      <c r="C5" s="412"/>
    </row>
    <row r="6" spans="1:7" s="413" customFormat="1" ht="15" customHeight="1">
      <c r="A6" s="414" t="str">
        <f>txtNIS</f>
        <v>71022</v>
      </c>
      <c r="B6" s="415"/>
      <c r="C6" s="416"/>
    </row>
    <row r="7" spans="1:7" s="413" customFormat="1" ht="15.75" customHeight="1">
      <c r="A7" s="417" t="str">
        <f>txtMunicipality</f>
        <v>HASSELT</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799</v>
      </c>
      <c r="B10" s="1066"/>
      <c r="C10" s="1067"/>
    </row>
    <row r="11" spans="1:7" s="407" customFormat="1" ht="15.75" thickBot="1">
      <c r="A11" s="430" t="s">
        <v>359</v>
      </c>
      <c r="B11" s="433"/>
      <c r="C11" s="434"/>
      <c r="G11" s="408"/>
    </row>
    <row r="12" spans="1:7">
      <c r="A12" s="44"/>
      <c r="B12" s="43"/>
      <c r="C12" s="96"/>
    </row>
    <row r="13" spans="1:7" s="407" customFormat="1">
      <c r="A13" s="833" t="s">
        <v>618</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732</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575</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566</v>
      </c>
      <c r="B10" s="531"/>
      <c r="C10" s="141" t="s">
        <v>182</v>
      </c>
      <c r="D10" s="144" t="s">
        <v>391</v>
      </c>
      <c r="I10" s="1174"/>
      <c r="K10" s="58"/>
    </row>
    <row r="11" spans="1:11" s="43" customFormat="1">
      <c r="A11" s="44" t="s">
        <v>567</v>
      </c>
      <c r="B11" s="47"/>
      <c r="D11" s="142" t="s">
        <v>392</v>
      </c>
      <c r="I11" s="1174"/>
      <c r="K11" s="58"/>
    </row>
    <row r="12" spans="1:11" s="43" customFormat="1">
      <c r="A12" s="44" t="s">
        <v>568</v>
      </c>
      <c r="B12" s="47"/>
      <c r="D12" s="142" t="s">
        <v>392</v>
      </c>
      <c r="I12" s="1174"/>
      <c r="K12" s="58"/>
    </row>
    <row r="13" spans="1:11" s="43" customFormat="1">
      <c r="A13" s="44"/>
      <c r="B13" s="478"/>
      <c r="D13" s="96"/>
      <c r="I13" s="1174"/>
    </row>
    <row r="14" spans="1:11" s="43" customFormat="1">
      <c r="A14" s="304" t="s">
        <v>565</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576</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566</v>
      </c>
      <c r="B31" s="531"/>
      <c r="C31" s="141" t="s">
        <v>182</v>
      </c>
      <c r="D31" s="144" t="s">
        <v>391</v>
      </c>
    </row>
    <row r="32" spans="1:11">
      <c r="A32" s="467" t="s">
        <v>567</v>
      </c>
      <c r="B32" s="47"/>
      <c r="C32" s="48"/>
      <c r="D32" s="142" t="s">
        <v>392</v>
      </c>
    </row>
    <row r="33" spans="1:11">
      <c r="A33" s="44"/>
      <c r="B33" s="48"/>
      <c r="C33" s="48"/>
      <c r="D33" s="142"/>
    </row>
    <row r="34" spans="1:11" s="43" customFormat="1">
      <c r="A34" s="304" t="s">
        <v>565</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569</v>
      </c>
      <c r="B50" s="47"/>
      <c r="C50" s="32"/>
      <c r="D50" s="143" t="s">
        <v>393</v>
      </c>
    </row>
    <row r="51" spans="1:4">
      <c r="A51" s="44" t="s">
        <v>570</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571</v>
      </c>
      <c r="B57" s="47"/>
      <c r="C57" s="32"/>
      <c r="D57" s="142" t="s">
        <v>155</v>
      </c>
    </row>
    <row r="58" spans="1:4">
      <c r="A58" s="44" t="s">
        <v>572</v>
      </c>
      <c r="B58" s="47"/>
      <c r="C58" s="32"/>
      <c r="D58" s="142" t="s">
        <v>156</v>
      </c>
    </row>
    <row r="59" spans="1:4">
      <c r="A59" s="44" t="s">
        <v>573</v>
      </c>
      <c r="B59" s="47"/>
      <c r="C59" s="48"/>
      <c r="D59" s="142" t="s">
        <v>389</v>
      </c>
    </row>
    <row r="60" spans="1:4">
      <c r="A60" s="44" t="s">
        <v>574</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591</v>
      </c>
      <c r="B1" s="678"/>
      <c r="C1" s="678"/>
      <c r="D1" s="678"/>
      <c r="E1" s="679"/>
    </row>
    <row r="2" spans="1:5">
      <c r="A2" s="690" t="s">
        <v>394</v>
      </c>
      <c r="B2" s="695" t="s">
        <v>514</v>
      </c>
      <c r="C2" s="691"/>
      <c r="D2" s="691"/>
      <c r="E2" s="692"/>
    </row>
    <row r="3" spans="1:5">
      <c r="A3" s="693"/>
      <c r="B3" s="694"/>
      <c r="C3" s="682"/>
      <c r="D3" s="682"/>
      <c r="E3" s="683"/>
    </row>
    <row r="4" spans="1:5" s="334" customFormat="1" ht="45">
      <c r="A4" s="681" t="s">
        <v>595</v>
      </c>
      <c r="B4" s="689" t="s">
        <v>584</v>
      </c>
      <c r="C4" s="710" t="s">
        <v>606</v>
      </c>
      <c r="D4" s="711" t="s">
        <v>607</v>
      </c>
      <c r="E4" s="712" t="s">
        <v>608</v>
      </c>
    </row>
    <row r="5" spans="1:5">
      <c r="A5" s="684" t="s">
        <v>585</v>
      </c>
      <c r="B5" s="676" t="s">
        <v>586</v>
      </c>
      <c r="C5" s="707">
        <v>3.678273E-2</v>
      </c>
      <c r="D5" s="708">
        <v>0.27778000000000003</v>
      </c>
      <c r="E5" s="700">
        <f>C5*D5</f>
        <v>1.0217506739400001E-2</v>
      </c>
    </row>
    <row r="6" spans="1:5">
      <c r="A6" s="684" t="s">
        <v>585</v>
      </c>
      <c r="B6" s="676" t="s">
        <v>587</v>
      </c>
      <c r="C6" s="707">
        <v>4.2278999999999997E-2</v>
      </c>
      <c r="D6" s="708">
        <v>0.27778000000000003</v>
      </c>
      <c r="E6" s="700">
        <f t="shared" ref="E6:E21" si="0">C6*D6</f>
        <v>1.174426062E-2</v>
      </c>
    </row>
    <row r="7" spans="1:5">
      <c r="A7" s="684" t="s">
        <v>585</v>
      </c>
      <c r="B7" s="676" t="s">
        <v>588</v>
      </c>
      <c r="C7" s="707">
        <v>42.279000000000003</v>
      </c>
      <c r="D7" s="708">
        <v>0.27778000000000003</v>
      </c>
      <c r="E7" s="700">
        <f t="shared" si="0"/>
        <v>11.744260620000002</v>
      </c>
    </row>
    <row r="8" spans="1:5">
      <c r="A8" s="684" t="s">
        <v>589</v>
      </c>
      <c r="B8" s="676" t="s">
        <v>586</v>
      </c>
      <c r="C8" s="707">
        <v>3.8573799999999998E-2</v>
      </c>
      <c r="D8" s="708">
        <v>0.27778000000000003</v>
      </c>
      <c r="E8" s="700">
        <f t="shared" si="0"/>
        <v>1.0715030164E-2</v>
      </c>
    </row>
    <row r="9" spans="1:5">
      <c r="A9" s="684" t="s">
        <v>589</v>
      </c>
      <c r="B9" s="676" t="s">
        <v>587</v>
      </c>
      <c r="C9" s="707">
        <v>4.0604000000000001E-2</v>
      </c>
      <c r="D9" s="708">
        <v>0.27778000000000003</v>
      </c>
      <c r="E9" s="700">
        <f t="shared" si="0"/>
        <v>1.1278979120000001E-2</v>
      </c>
    </row>
    <row r="10" spans="1:5">
      <c r="A10" s="684" t="s">
        <v>589</v>
      </c>
      <c r="B10" s="676" t="s">
        <v>588</v>
      </c>
      <c r="C10" s="707">
        <v>40.603999999999999</v>
      </c>
      <c r="D10" s="708">
        <v>0.27778000000000003</v>
      </c>
      <c r="E10" s="700">
        <f t="shared" si="0"/>
        <v>11.278979120000001</v>
      </c>
    </row>
    <row r="11" spans="1:5">
      <c r="A11" s="684" t="s">
        <v>609</v>
      </c>
      <c r="B11" s="676" t="s">
        <v>586</v>
      </c>
      <c r="C11" s="707">
        <v>2.3511000000000001E-2</v>
      </c>
      <c r="D11" s="708">
        <v>0.27778000000000003</v>
      </c>
      <c r="E11" s="700">
        <f t="shared" si="0"/>
        <v>6.5308855800000004E-3</v>
      </c>
    </row>
    <row r="12" spans="1:5">
      <c r="A12" s="684" t="s">
        <v>609</v>
      </c>
      <c r="B12" s="676" t="s">
        <v>587</v>
      </c>
      <c r="C12" s="707">
        <v>4.6100000000000002E-2</v>
      </c>
      <c r="D12" s="708">
        <v>0.27778000000000003</v>
      </c>
      <c r="E12" s="700">
        <f t="shared" si="0"/>
        <v>1.2805658000000001E-2</v>
      </c>
    </row>
    <row r="13" spans="1:5">
      <c r="A13" s="684" t="s">
        <v>609</v>
      </c>
      <c r="B13" s="676" t="s">
        <v>588</v>
      </c>
      <c r="C13" s="707">
        <v>46.1</v>
      </c>
      <c r="D13" s="708">
        <v>0.27778000000000003</v>
      </c>
      <c r="E13" s="700">
        <f t="shared" si="0"/>
        <v>12.805658000000001</v>
      </c>
    </row>
    <row r="14" spans="1:5">
      <c r="A14" s="684" t="s">
        <v>610</v>
      </c>
      <c r="B14" s="676" t="s">
        <v>586</v>
      </c>
      <c r="C14" s="707">
        <v>2.6525139999999999E-2</v>
      </c>
      <c r="D14" s="708">
        <v>0.27778000000000003</v>
      </c>
      <c r="E14" s="700">
        <f t="shared" si="0"/>
        <v>7.3681533892000009E-3</v>
      </c>
    </row>
    <row r="15" spans="1:5">
      <c r="A15" s="684" t="s">
        <v>610</v>
      </c>
      <c r="B15" s="676" t="s">
        <v>587</v>
      </c>
      <c r="C15" s="707">
        <v>4.5733000000000003E-2</v>
      </c>
      <c r="D15" s="708">
        <v>0.27778000000000003</v>
      </c>
      <c r="E15" s="700">
        <f t="shared" si="0"/>
        <v>1.2703712740000001E-2</v>
      </c>
    </row>
    <row r="16" spans="1:5">
      <c r="A16" s="684" t="s">
        <v>610</v>
      </c>
      <c r="B16" s="676" t="s">
        <v>588</v>
      </c>
      <c r="C16" s="707">
        <v>45.732999999999997</v>
      </c>
      <c r="D16" s="708">
        <v>0.27778000000000003</v>
      </c>
      <c r="E16" s="700">
        <f t="shared" si="0"/>
        <v>12.70371274</v>
      </c>
    </row>
    <row r="17" spans="1:10">
      <c r="A17" s="684" t="s">
        <v>593</v>
      </c>
      <c r="B17" s="676" t="s">
        <v>590</v>
      </c>
      <c r="C17" s="707">
        <v>3.2923000000000001E-2</v>
      </c>
      <c r="D17" s="708">
        <f>0.27778</f>
        <v>0.27778000000000003</v>
      </c>
      <c r="E17" s="700">
        <f t="shared" si="0"/>
        <v>9.1453509400000015E-3</v>
      </c>
    </row>
    <row r="18" spans="1:10">
      <c r="A18" s="684" t="s">
        <v>594</v>
      </c>
      <c r="B18" s="676" t="s">
        <v>590</v>
      </c>
      <c r="C18" s="707">
        <v>3.8852400000000002E-2</v>
      </c>
      <c r="D18" s="708">
        <f>0.27778</f>
        <v>0.27778000000000003</v>
      </c>
      <c r="E18" s="700">
        <f t="shared" si="0"/>
        <v>1.0792419672000002E-2</v>
      </c>
    </row>
    <row r="19" spans="1:10">
      <c r="A19" s="684" t="s">
        <v>597</v>
      </c>
      <c r="B19" s="676" t="s">
        <v>586</v>
      </c>
      <c r="C19" s="707">
        <v>2.4812460000000001E-2</v>
      </c>
      <c r="D19" s="708">
        <v>0.27778000000000003</v>
      </c>
      <c r="E19" s="700">
        <f t="shared" si="0"/>
        <v>6.8924051388000009E-3</v>
      </c>
    </row>
    <row r="20" spans="1:10">
      <c r="A20" s="684" t="s">
        <v>597</v>
      </c>
      <c r="B20" s="676" t="s">
        <v>587</v>
      </c>
      <c r="C20" s="707">
        <v>4.5948999999999997E-2</v>
      </c>
      <c r="D20" s="708">
        <v>0.27778000000000003</v>
      </c>
      <c r="E20" s="700">
        <f t="shared" si="0"/>
        <v>1.276371322E-2</v>
      </c>
    </row>
    <row r="21" spans="1:10">
      <c r="A21" s="684" t="s">
        <v>597</v>
      </c>
      <c r="B21" s="676" t="s">
        <v>588</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592</v>
      </c>
      <c r="B24" s="678"/>
      <c r="C24" s="678"/>
      <c r="D24" s="678"/>
      <c r="E24" s="679"/>
    </row>
    <row r="25" spans="1:10">
      <c r="A25" s="704" t="s">
        <v>394</v>
      </c>
      <c r="B25" s="682" t="s">
        <v>653</v>
      </c>
      <c r="C25" s="682"/>
      <c r="D25" s="682"/>
      <c r="E25" s="683"/>
    </row>
    <row r="26" spans="1:10">
      <c r="A26" s="44"/>
      <c r="B26" s="43"/>
      <c r="C26" s="43"/>
      <c r="D26" s="43"/>
      <c r="E26" s="96"/>
    </row>
    <row r="27" spans="1:10" s="334" customFormat="1">
      <c r="A27" s="681" t="s">
        <v>595</v>
      </c>
      <c r="B27" s="689" t="s">
        <v>584</v>
      </c>
      <c r="C27" s="697"/>
      <c r="D27" s="696"/>
      <c r="E27" s="712" t="s">
        <v>599</v>
      </c>
    </row>
    <row r="28" spans="1:10">
      <c r="A28" s="684" t="s">
        <v>202</v>
      </c>
      <c r="B28" s="676" t="s">
        <v>586</v>
      </c>
      <c r="C28" s="698"/>
      <c r="D28" s="699"/>
      <c r="E28" s="706">
        <f>E29*0.853</f>
        <v>1.0116343055555555E-2</v>
      </c>
      <c r="G28" s="680"/>
      <c r="H28" s="852"/>
      <c r="I28" s="852"/>
      <c r="J28" s="852"/>
    </row>
    <row r="29" spans="1:10">
      <c r="A29" s="684" t="s">
        <v>202</v>
      </c>
      <c r="B29" s="676" t="s">
        <v>587</v>
      </c>
      <c r="C29" s="698"/>
      <c r="D29" s="699"/>
      <c r="E29" s="706">
        <f>0.042695/3.6</f>
        <v>1.1859722222222221E-2</v>
      </c>
      <c r="F29" s="984"/>
      <c r="G29" s="680"/>
      <c r="H29" s="852"/>
      <c r="I29" s="852"/>
      <c r="J29" s="852"/>
    </row>
    <row r="30" spans="1:10">
      <c r="A30" s="684" t="s">
        <v>120</v>
      </c>
      <c r="B30" s="676" t="s">
        <v>586</v>
      </c>
      <c r="C30" s="698"/>
      <c r="D30" s="699"/>
      <c r="E30" s="706">
        <f>E31*0.755</f>
        <v>9.1803805555555566E-3</v>
      </c>
      <c r="H30" s="852"/>
      <c r="I30" s="852"/>
      <c r="J30" s="852"/>
    </row>
    <row r="31" spans="1:10">
      <c r="A31" s="684" t="s">
        <v>120</v>
      </c>
      <c r="B31" s="676" t="s">
        <v>587</v>
      </c>
      <c r="C31" s="698"/>
      <c r="D31" s="699"/>
      <c r="E31" s="706">
        <f>0.043774/3.6</f>
        <v>1.2159444444444445E-2</v>
      </c>
      <c r="H31" s="852"/>
      <c r="I31" s="852"/>
      <c r="J31" s="852"/>
    </row>
    <row r="32" spans="1:10">
      <c r="A32" s="684" t="s">
        <v>597</v>
      </c>
      <c r="B32" s="676" t="s">
        <v>586</v>
      </c>
      <c r="C32" s="698"/>
      <c r="D32" s="699"/>
      <c r="E32" s="706">
        <f>E33*0.55</f>
        <v>7.1139444444444453E-3</v>
      </c>
      <c r="H32" s="852"/>
    </row>
    <row r="33" spans="1:8">
      <c r="A33" s="684" t="s">
        <v>597</v>
      </c>
      <c r="B33" s="676" t="s">
        <v>587</v>
      </c>
      <c r="C33" s="698"/>
      <c r="D33" s="699"/>
      <c r="E33" s="706">
        <f>0.046564/3.6</f>
        <v>1.2934444444444445E-2</v>
      </c>
      <c r="H33" s="852"/>
    </row>
    <row r="34" spans="1:8">
      <c r="A34" s="684" t="s">
        <v>598</v>
      </c>
      <c r="B34" s="676" t="s">
        <v>586</v>
      </c>
      <c r="C34" s="698"/>
      <c r="D34" s="699"/>
      <c r="E34" s="706">
        <f>E35*0.0007</f>
        <v>9.3333333333333326E-6</v>
      </c>
      <c r="H34" s="852"/>
    </row>
    <row r="35" spans="1:8">
      <c r="A35" s="684" t="s">
        <v>598</v>
      </c>
      <c r="B35" s="676" t="s">
        <v>587</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611</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735</v>
      </c>
      <c r="C21" s="131" t="s">
        <v>579</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71022</v>
      </c>
      <c r="B1" s="332"/>
      <c r="C1" s="332"/>
      <c r="D1" s="332"/>
      <c r="E1" s="332"/>
      <c r="F1" s="333"/>
    </row>
    <row r="3" spans="1:6" ht="19.5">
      <c r="A3" s="335" t="s">
        <v>0</v>
      </c>
    </row>
    <row r="4" spans="1:6" ht="22.5">
      <c r="A4" s="1270" t="s">
        <v>548</v>
      </c>
    </row>
    <row r="5" spans="1:6" ht="22.5">
      <c r="A5" s="1270" t="s">
        <v>549</v>
      </c>
    </row>
    <row r="6" spans="1:6" ht="15.75" thickBot="1"/>
    <row r="7" spans="1:6" ht="20.25" thickBot="1">
      <c r="A7" s="336" t="s">
        <v>1</v>
      </c>
      <c r="B7" s="337" t="s">
        <v>394</v>
      </c>
      <c r="C7" s="337" t="s">
        <v>736</v>
      </c>
      <c r="D7" s="337"/>
      <c r="E7" s="337"/>
      <c r="F7" s="338"/>
    </row>
    <row r="8" spans="1:6" ht="16.5" thickTop="1" thickBot="1">
      <c r="A8" s="339" t="s">
        <v>4</v>
      </c>
      <c r="B8" s="340">
        <v>2016</v>
      </c>
      <c r="C8" s="340">
        <v>2020</v>
      </c>
      <c r="D8" s="332"/>
      <c r="E8" s="332"/>
      <c r="F8" s="333"/>
    </row>
    <row r="9" spans="1:6">
      <c r="A9" s="341" t="s">
        <v>2</v>
      </c>
      <c r="B9" s="342">
        <v>34807</v>
      </c>
      <c r="C9" s="342">
        <v>36094</v>
      </c>
      <c r="D9" s="342"/>
      <c r="E9" s="342"/>
      <c r="F9" s="342"/>
    </row>
    <row r="10" spans="1:6">
      <c r="A10" s="343"/>
    </row>
    <row r="11" spans="1:6" ht="15.75" thickBot="1">
      <c r="A11" s="343"/>
    </row>
    <row r="12" spans="1:6" ht="20.25" thickBot="1">
      <c r="A12" s="336" t="s">
        <v>3</v>
      </c>
      <c r="B12" s="337" t="s">
        <v>394</v>
      </c>
      <c r="C12" s="337" t="s">
        <v>795</v>
      </c>
      <c r="D12" s="337"/>
      <c r="E12" s="337"/>
      <c r="F12" s="344"/>
    </row>
    <row r="13" spans="1:6" ht="16.5" thickTop="1" thickBot="1">
      <c r="A13" s="345" t="s">
        <v>4</v>
      </c>
      <c r="B13" s="346" t="s">
        <v>5</v>
      </c>
      <c r="C13" s="346"/>
      <c r="D13" s="346"/>
      <c r="E13" s="346"/>
      <c r="F13" s="347"/>
    </row>
    <row r="14" spans="1:6">
      <c r="A14" s="348" t="s">
        <v>678</v>
      </c>
      <c r="B14" s="334">
        <v>3100.65</v>
      </c>
    </row>
    <row r="15" spans="1:6">
      <c r="A15" s="348" t="s">
        <v>184</v>
      </c>
      <c r="B15" s="334">
        <v>3920</v>
      </c>
    </row>
    <row r="16" spans="1:6">
      <c r="A16" s="348" t="s">
        <v>6</v>
      </c>
      <c r="B16" s="334">
        <v>570</v>
      </c>
    </row>
    <row r="17" spans="1:6">
      <c r="A17" s="348" t="s">
        <v>7</v>
      </c>
      <c r="B17" s="334">
        <v>383</v>
      </c>
    </row>
    <row r="18" spans="1:6">
      <c r="A18" s="348" t="s">
        <v>8</v>
      </c>
      <c r="B18" s="334">
        <v>627</v>
      </c>
    </row>
    <row r="19" spans="1:6">
      <c r="A19" s="348" t="s">
        <v>9</v>
      </c>
      <c r="B19" s="334">
        <v>573</v>
      </c>
    </row>
    <row r="20" spans="1:6">
      <c r="A20" s="348" t="s">
        <v>10</v>
      </c>
      <c r="B20" s="334">
        <v>497</v>
      </c>
    </row>
    <row r="21" spans="1:6">
      <c r="A21" s="348" t="s">
        <v>11</v>
      </c>
      <c r="B21" s="334">
        <v>1088</v>
      </c>
    </row>
    <row r="22" spans="1:6">
      <c r="A22" s="348" t="s">
        <v>12</v>
      </c>
      <c r="B22" s="334">
        <v>4095</v>
      </c>
    </row>
    <row r="23" spans="1:6">
      <c r="A23" s="348" t="s">
        <v>13</v>
      </c>
      <c r="B23" s="334">
        <v>47</v>
      </c>
    </row>
    <row r="24" spans="1:6">
      <c r="A24" s="348" t="s">
        <v>14</v>
      </c>
      <c r="B24" s="334">
        <v>3</v>
      </c>
    </row>
    <row r="25" spans="1:6">
      <c r="A25" s="348" t="s">
        <v>15</v>
      </c>
      <c r="B25" s="334">
        <v>328</v>
      </c>
    </row>
    <row r="26" spans="1:6">
      <c r="A26" s="348" t="s">
        <v>16</v>
      </c>
      <c r="B26" s="334">
        <v>775</v>
      </c>
    </row>
    <row r="27" spans="1:6">
      <c r="A27" s="348" t="s">
        <v>17</v>
      </c>
      <c r="B27" s="334">
        <v>316</v>
      </c>
    </row>
    <row r="28" spans="1:6" s="356" customFormat="1">
      <c r="A28" s="355" t="s">
        <v>18</v>
      </c>
      <c r="B28" s="355">
        <v>50247</v>
      </c>
    </row>
    <row r="29" spans="1:6">
      <c r="A29" s="355" t="s">
        <v>746</v>
      </c>
      <c r="B29" s="355">
        <v>445</v>
      </c>
      <c r="C29" s="356"/>
      <c r="D29" s="356"/>
      <c r="E29" s="356"/>
      <c r="F29" s="356"/>
    </row>
    <row r="30" spans="1:6">
      <c r="A30" s="341" t="s">
        <v>747</v>
      </c>
      <c r="B30" s="341">
        <v>134</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64</v>
      </c>
      <c r="D36" s="334">
        <v>12645402.995999999</v>
      </c>
      <c r="E36" s="334">
        <v>254</v>
      </c>
      <c r="F36" s="334">
        <v>8747329.1610000003</v>
      </c>
    </row>
    <row r="37" spans="1:6">
      <c r="A37" s="348" t="s">
        <v>25</v>
      </c>
      <c r="B37" s="348" t="s">
        <v>28</v>
      </c>
      <c r="C37" s="334">
        <v>0</v>
      </c>
      <c r="D37" s="334">
        <v>0</v>
      </c>
      <c r="E37" s="334">
        <v>0</v>
      </c>
      <c r="F37" s="334">
        <v>0</v>
      </c>
    </row>
    <row r="38" spans="1:6">
      <c r="A38" s="348" t="s">
        <v>25</v>
      </c>
      <c r="B38" s="348" t="s">
        <v>29</v>
      </c>
      <c r="C38" s="334">
        <v>2</v>
      </c>
      <c r="D38" s="334">
        <v>3323960</v>
      </c>
      <c r="E38" s="334">
        <v>2</v>
      </c>
      <c r="F38" s="334">
        <v>530166</v>
      </c>
    </row>
    <row r="39" spans="1:6">
      <c r="A39" s="348" t="s">
        <v>30</v>
      </c>
      <c r="B39" s="348" t="s">
        <v>31</v>
      </c>
      <c r="C39" s="334">
        <v>23366</v>
      </c>
      <c r="D39" s="334">
        <v>322156268.25</v>
      </c>
      <c r="E39" s="334">
        <v>35089</v>
      </c>
      <c r="F39" s="334">
        <v>109962459.683</v>
      </c>
    </row>
    <row r="40" spans="1:6">
      <c r="A40" s="348" t="s">
        <v>30</v>
      </c>
      <c r="B40" s="348" t="s">
        <v>29</v>
      </c>
      <c r="C40" s="334">
        <v>1</v>
      </c>
      <c r="D40" s="334">
        <v>61567</v>
      </c>
      <c r="E40" s="334">
        <v>0</v>
      </c>
      <c r="F40" s="334">
        <v>0</v>
      </c>
    </row>
    <row r="41" spans="1:6">
      <c r="A41" s="348" t="s">
        <v>32</v>
      </c>
      <c r="B41" s="348" t="s">
        <v>33</v>
      </c>
      <c r="C41" s="334">
        <v>370</v>
      </c>
      <c r="D41" s="334">
        <v>29894749.190000001</v>
      </c>
      <c r="E41" s="334">
        <v>703</v>
      </c>
      <c r="F41" s="334">
        <v>25075994.859999999</v>
      </c>
    </row>
    <row r="42" spans="1:6">
      <c r="A42" s="348" t="s">
        <v>32</v>
      </c>
      <c r="B42" s="348" t="s">
        <v>34</v>
      </c>
      <c r="C42" s="334">
        <v>5</v>
      </c>
      <c r="D42" s="334">
        <v>508231</v>
      </c>
      <c r="E42" s="334">
        <v>7</v>
      </c>
      <c r="F42" s="334">
        <v>1641004</v>
      </c>
    </row>
    <row r="43" spans="1:6">
      <c r="A43" s="348" t="s">
        <v>32</v>
      </c>
      <c r="B43" s="348" t="s">
        <v>35</v>
      </c>
      <c r="C43" s="334">
        <v>0</v>
      </c>
      <c r="D43" s="334">
        <v>0</v>
      </c>
      <c r="E43" s="334">
        <v>0</v>
      </c>
      <c r="F43" s="334">
        <v>0</v>
      </c>
    </row>
    <row r="44" spans="1:6">
      <c r="A44" s="348" t="s">
        <v>32</v>
      </c>
      <c r="B44" s="348" t="s">
        <v>36</v>
      </c>
      <c r="C44" s="334">
        <v>34</v>
      </c>
      <c r="D44" s="334">
        <v>4379430.7719999999</v>
      </c>
      <c r="E44" s="334">
        <v>107</v>
      </c>
      <c r="F44" s="334">
        <v>4045476.4449999998</v>
      </c>
    </row>
    <row r="45" spans="1:6">
      <c r="A45" s="348" t="s">
        <v>32</v>
      </c>
      <c r="B45" s="348" t="s">
        <v>37</v>
      </c>
      <c r="C45" s="334">
        <v>7</v>
      </c>
      <c r="D45" s="334">
        <v>63383030</v>
      </c>
      <c r="E45" s="334">
        <v>16</v>
      </c>
      <c r="F45" s="334">
        <v>12602013</v>
      </c>
    </row>
    <row r="46" spans="1:6">
      <c r="A46" s="348" t="s">
        <v>32</v>
      </c>
      <c r="B46" s="348" t="s">
        <v>38</v>
      </c>
      <c r="C46" s="334">
        <v>0</v>
      </c>
      <c r="D46" s="334">
        <v>0</v>
      </c>
      <c r="E46" s="334">
        <v>0</v>
      </c>
      <c r="F46" s="334">
        <v>0</v>
      </c>
    </row>
    <row r="47" spans="1:6">
      <c r="A47" s="348" t="s">
        <v>32</v>
      </c>
      <c r="B47" s="348" t="s">
        <v>39</v>
      </c>
      <c r="C47" s="334">
        <v>19</v>
      </c>
      <c r="D47" s="334">
        <v>1246153.128</v>
      </c>
      <c r="E47" s="334">
        <v>23</v>
      </c>
      <c r="F47" s="334">
        <v>1472229</v>
      </c>
    </row>
    <row r="48" spans="1:6">
      <c r="A48" s="348" t="s">
        <v>32</v>
      </c>
      <c r="B48" s="348" t="s">
        <v>29</v>
      </c>
      <c r="C48" s="334">
        <v>1</v>
      </c>
      <c r="D48" s="334">
        <v>28731</v>
      </c>
      <c r="E48" s="334">
        <v>2</v>
      </c>
      <c r="F48" s="334">
        <v>86022</v>
      </c>
    </row>
    <row r="49" spans="1:6">
      <c r="A49" s="348" t="s">
        <v>32</v>
      </c>
      <c r="B49" s="348" t="s">
        <v>40</v>
      </c>
      <c r="C49" s="334">
        <v>13</v>
      </c>
      <c r="D49" s="334">
        <v>314607</v>
      </c>
      <c r="E49" s="334">
        <v>20</v>
      </c>
      <c r="F49" s="334">
        <v>169873.55</v>
      </c>
    </row>
    <row r="50" spans="1:6">
      <c r="A50" s="348" t="s">
        <v>32</v>
      </c>
      <c r="B50" s="348" t="s">
        <v>41</v>
      </c>
      <c r="C50" s="334">
        <v>43</v>
      </c>
      <c r="D50" s="334">
        <v>10669044.529999999</v>
      </c>
      <c r="E50" s="334">
        <v>63</v>
      </c>
      <c r="F50" s="334">
        <v>11800773.463</v>
      </c>
    </row>
    <row r="51" spans="1:6">
      <c r="A51" s="348" t="s">
        <v>42</v>
      </c>
      <c r="B51" s="348" t="s">
        <v>43</v>
      </c>
      <c r="C51" s="334">
        <v>14</v>
      </c>
      <c r="D51" s="334">
        <v>1059766</v>
      </c>
      <c r="E51" s="334">
        <v>103</v>
      </c>
      <c r="F51" s="334">
        <v>1656029.706</v>
      </c>
    </row>
    <row r="52" spans="1:6">
      <c r="A52" s="348" t="s">
        <v>42</v>
      </c>
      <c r="B52" s="348" t="s">
        <v>29</v>
      </c>
      <c r="C52" s="334">
        <v>0</v>
      </c>
      <c r="D52" s="334">
        <v>0</v>
      </c>
      <c r="E52" s="334">
        <v>0</v>
      </c>
      <c r="F52" s="334">
        <v>0</v>
      </c>
    </row>
    <row r="53" spans="1:6">
      <c r="A53" s="348" t="s">
        <v>44</v>
      </c>
      <c r="B53" s="348" t="s">
        <v>45</v>
      </c>
      <c r="C53" s="334">
        <v>440</v>
      </c>
      <c r="D53" s="334">
        <v>21708259.901999999</v>
      </c>
      <c r="E53" s="334">
        <v>1155</v>
      </c>
      <c r="F53" s="334">
        <v>8675144.0580000002</v>
      </c>
    </row>
    <row r="54" spans="1:6">
      <c r="A54" s="348" t="s">
        <v>46</v>
      </c>
      <c r="B54" s="348" t="s">
        <v>47</v>
      </c>
      <c r="C54" s="334">
        <v>0</v>
      </c>
      <c r="D54" s="334">
        <v>0</v>
      </c>
      <c r="E54" s="334">
        <v>3</v>
      </c>
      <c r="F54" s="334">
        <v>5279595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317</v>
      </c>
      <c r="D57" s="334">
        <v>19562204.493999999</v>
      </c>
      <c r="E57" s="334">
        <v>574</v>
      </c>
      <c r="F57" s="334">
        <v>17037781.528999999</v>
      </c>
    </row>
    <row r="58" spans="1:6">
      <c r="A58" s="348" t="s">
        <v>49</v>
      </c>
      <c r="B58" s="348" t="s">
        <v>51</v>
      </c>
      <c r="C58" s="334">
        <v>292</v>
      </c>
      <c r="D58" s="334">
        <v>41769390.700999998</v>
      </c>
      <c r="E58" s="334">
        <v>434</v>
      </c>
      <c r="F58" s="334">
        <v>18091102.739</v>
      </c>
    </row>
    <row r="59" spans="1:6">
      <c r="A59" s="348" t="s">
        <v>49</v>
      </c>
      <c r="B59" s="348" t="s">
        <v>52</v>
      </c>
      <c r="C59" s="334">
        <v>784</v>
      </c>
      <c r="D59" s="334">
        <v>41671272.210000001</v>
      </c>
      <c r="E59" s="334">
        <v>1434</v>
      </c>
      <c r="F59" s="334">
        <v>63750856.927000001</v>
      </c>
    </row>
    <row r="60" spans="1:6">
      <c r="A60" s="348" t="s">
        <v>49</v>
      </c>
      <c r="B60" s="348" t="s">
        <v>53</v>
      </c>
      <c r="C60" s="334">
        <v>367</v>
      </c>
      <c r="D60" s="334">
        <v>23849109.412999999</v>
      </c>
      <c r="E60" s="334">
        <v>501</v>
      </c>
      <c r="F60" s="334">
        <v>20219359.460999999</v>
      </c>
    </row>
    <row r="61" spans="1:6">
      <c r="A61" s="348" t="s">
        <v>49</v>
      </c>
      <c r="B61" s="348" t="s">
        <v>54</v>
      </c>
      <c r="C61" s="334">
        <v>1149</v>
      </c>
      <c r="D61" s="334">
        <v>74127320.353</v>
      </c>
      <c r="E61" s="334">
        <v>2154</v>
      </c>
      <c r="F61" s="334">
        <v>69847180.996999994</v>
      </c>
    </row>
    <row r="62" spans="1:6">
      <c r="A62" s="348" t="s">
        <v>49</v>
      </c>
      <c r="B62" s="348" t="s">
        <v>55</v>
      </c>
      <c r="C62" s="334">
        <v>135</v>
      </c>
      <c r="D62" s="334">
        <v>35836349.505999997</v>
      </c>
      <c r="E62" s="334">
        <v>126</v>
      </c>
      <c r="F62" s="334">
        <v>11556576.244999999</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1</v>
      </c>
      <c r="D65" s="334">
        <v>16876</v>
      </c>
      <c r="E65" s="334">
        <v>2</v>
      </c>
      <c r="F65" s="334">
        <v>45103.862999999998</v>
      </c>
    </row>
    <row r="66" spans="1:6">
      <c r="A66" s="348" t="s">
        <v>56</v>
      </c>
      <c r="B66" s="348" t="s">
        <v>58</v>
      </c>
      <c r="C66" s="334">
        <v>3</v>
      </c>
      <c r="D66" s="334">
        <v>1728585.59</v>
      </c>
      <c r="E66" s="334">
        <v>88</v>
      </c>
      <c r="F66" s="334">
        <v>3591374.2439999999</v>
      </c>
    </row>
    <row r="67" spans="1:6">
      <c r="A67" s="355" t="s">
        <v>56</v>
      </c>
      <c r="B67" s="355" t="s">
        <v>59</v>
      </c>
      <c r="C67" s="334">
        <v>0</v>
      </c>
      <c r="D67" s="334">
        <v>0</v>
      </c>
      <c r="E67" s="334">
        <v>0</v>
      </c>
      <c r="F67" s="334">
        <v>0</v>
      </c>
    </row>
    <row r="68" spans="1:6">
      <c r="A68" s="341" t="s">
        <v>56</v>
      </c>
      <c r="B68" s="341" t="s">
        <v>60</v>
      </c>
      <c r="C68" s="334">
        <v>15</v>
      </c>
      <c r="D68" s="334">
        <v>1784691.051</v>
      </c>
      <c r="E68" s="334">
        <v>40</v>
      </c>
      <c r="F68" s="334">
        <v>1096680.5859999999</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676</v>
      </c>
      <c r="D72" s="361">
        <v>2016</v>
      </c>
      <c r="E72" s="361">
        <v>2020</v>
      </c>
      <c r="F72" s="347"/>
    </row>
    <row r="73" spans="1:6">
      <c r="A73" s="348" t="s">
        <v>64</v>
      </c>
      <c r="B73" s="348" t="s">
        <v>658</v>
      </c>
      <c r="C73" s="1272" t="s">
        <v>660</v>
      </c>
      <c r="D73" s="476">
        <v>386456377</v>
      </c>
      <c r="E73" s="476">
        <v>465643721.14458215</v>
      </c>
    </row>
    <row r="74" spans="1:6">
      <c r="A74" s="348" t="s">
        <v>64</v>
      </c>
      <c r="B74" s="348" t="s">
        <v>659</v>
      </c>
      <c r="C74" s="1272" t="s">
        <v>661</v>
      </c>
      <c r="D74" s="476">
        <v>27545822.404875528</v>
      </c>
      <c r="E74" s="476">
        <v>31153518.472615205</v>
      </c>
    </row>
    <row r="75" spans="1:6">
      <c r="A75" s="348" t="s">
        <v>65</v>
      </c>
      <c r="B75" s="348" t="s">
        <v>658</v>
      </c>
      <c r="C75" s="1272" t="s">
        <v>662</v>
      </c>
      <c r="D75" s="476">
        <v>107510524</v>
      </c>
      <c r="E75" s="476">
        <v>132782186.18107045</v>
      </c>
    </row>
    <row r="76" spans="1:6">
      <c r="A76" s="348" t="s">
        <v>65</v>
      </c>
      <c r="B76" s="348" t="s">
        <v>659</v>
      </c>
      <c r="C76" s="1272" t="s">
        <v>663</v>
      </c>
      <c r="D76" s="476">
        <v>443515.40487552714</v>
      </c>
      <c r="E76" s="476">
        <v>781028.01626734482</v>
      </c>
    </row>
    <row r="77" spans="1:6">
      <c r="A77" s="348" t="s">
        <v>66</v>
      </c>
      <c r="B77" s="348" t="s">
        <v>658</v>
      </c>
      <c r="C77" s="1272" t="s">
        <v>664</v>
      </c>
      <c r="D77" s="476">
        <v>236145299</v>
      </c>
      <c r="E77" s="476">
        <v>229387139.12407723</v>
      </c>
    </row>
    <row r="78" spans="1:6">
      <c r="A78" s="341" t="s">
        <v>66</v>
      </c>
      <c r="B78" s="341" t="s">
        <v>659</v>
      </c>
      <c r="C78" s="341" t="s">
        <v>665</v>
      </c>
      <c r="D78" s="1273">
        <v>24363427</v>
      </c>
      <c r="E78" s="1273">
        <v>24059922.493268732</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4655469.1902489457</v>
      </c>
      <c r="C83" s="476">
        <v>4760445.0188903017</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550</v>
      </c>
      <c r="B89" s="334">
        <v>0</v>
      </c>
    </row>
    <row r="90" spans="1:6">
      <c r="A90" s="348" t="s">
        <v>551</v>
      </c>
      <c r="B90" s="1274">
        <v>14812.240500484781</v>
      </c>
    </row>
    <row r="91" spans="1:6">
      <c r="A91" s="348" t="s">
        <v>68</v>
      </c>
      <c r="B91" s="334">
        <v>14944.55848655959</v>
      </c>
    </row>
    <row r="92" spans="1:6">
      <c r="A92" s="341" t="s">
        <v>69</v>
      </c>
      <c r="B92" s="342">
        <v>10189.917847260609</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12607</v>
      </c>
    </row>
    <row r="98" spans="1:6">
      <c r="A98" s="348" t="s">
        <v>72</v>
      </c>
      <c r="B98" s="334">
        <v>2</v>
      </c>
    </row>
    <row r="99" spans="1:6">
      <c r="A99" s="348" t="s">
        <v>73</v>
      </c>
      <c r="B99" s="334">
        <v>137</v>
      </c>
    </row>
    <row r="100" spans="1:6">
      <c r="A100" s="348" t="s">
        <v>74</v>
      </c>
      <c r="B100" s="334">
        <v>1808</v>
      </c>
    </row>
    <row r="101" spans="1:6">
      <c r="A101" s="348" t="s">
        <v>75</v>
      </c>
      <c r="B101" s="334">
        <v>132</v>
      </c>
    </row>
    <row r="102" spans="1:6">
      <c r="A102" s="348" t="s">
        <v>76</v>
      </c>
      <c r="B102" s="334">
        <v>416</v>
      </c>
    </row>
    <row r="103" spans="1:6">
      <c r="A103" s="348" t="s">
        <v>77</v>
      </c>
      <c r="B103" s="334">
        <v>298</v>
      </c>
    </row>
    <row r="104" spans="1:6">
      <c r="A104" s="348" t="s">
        <v>78</v>
      </c>
      <c r="B104" s="334">
        <v>12509</v>
      </c>
    </row>
    <row r="105" spans="1:6">
      <c r="A105" s="341" t="s">
        <v>79</v>
      </c>
      <c r="B105" s="341">
        <v>11</v>
      </c>
      <c r="C105" s="342"/>
      <c r="D105" s="342"/>
      <c r="E105" s="342"/>
      <c r="F105" s="342"/>
    </row>
    <row r="106" spans="1:6">
      <c r="A106" s="343"/>
    </row>
    <row r="107" spans="1:6" ht="15.75" thickBot="1">
      <c r="A107" s="343"/>
    </row>
    <row r="108" spans="1:6" ht="20.25" thickBot="1">
      <c r="A108" s="336" t="s">
        <v>647</v>
      </c>
      <c r="B108" s="337" t="s">
        <v>394</v>
      </c>
      <c r="C108" s="337" t="s">
        <v>842</v>
      </c>
      <c r="D108" s="337"/>
      <c r="E108" s="337"/>
      <c r="F108" s="344"/>
    </row>
    <row r="109" spans="1:6" ht="16.5" thickTop="1" thickBot="1">
      <c r="A109" s="345" t="s">
        <v>4</v>
      </c>
      <c r="B109" s="346" t="s">
        <v>5</v>
      </c>
      <c r="C109" s="346"/>
      <c r="D109" s="346"/>
      <c r="E109" s="346"/>
      <c r="F109" s="347"/>
    </row>
    <row r="110" spans="1:6">
      <c r="A110" s="348" t="s">
        <v>648</v>
      </c>
      <c r="B110" s="334">
        <v>0</v>
      </c>
    </row>
    <row r="111" spans="1:6">
      <c r="A111" s="1275" t="s">
        <v>649</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2</v>
      </c>
      <c r="C121" s="334">
        <v>0</v>
      </c>
    </row>
    <row r="122" spans="1:6">
      <c r="A122" s="348" t="s">
        <v>87</v>
      </c>
      <c r="B122" s="334">
        <v>0</v>
      </c>
      <c r="C122" s="334">
        <v>0</v>
      </c>
    </row>
    <row r="123" spans="1:6">
      <c r="A123" s="348" t="s">
        <v>88</v>
      </c>
      <c r="B123" s="334">
        <v>109</v>
      </c>
      <c r="C123" s="334">
        <v>209</v>
      </c>
    </row>
    <row r="124" spans="1:6">
      <c r="A124" s="341" t="s">
        <v>89</v>
      </c>
      <c r="B124" s="334">
        <v>4</v>
      </c>
      <c r="C124" s="334">
        <v>16</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562</v>
      </c>
    </row>
    <row r="130" spans="1:6">
      <c r="A130" s="348" t="s">
        <v>295</v>
      </c>
      <c r="B130" s="334">
        <v>8</v>
      </c>
    </row>
    <row r="131" spans="1:6">
      <c r="A131" s="348" t="s">
        <v>296</v>
      </c>
      <c r="B131" s="334">
        <v>10</v>
      </c>
    </row>
    <row r="132" spans="1:6">
      <c r="A132" s="341" t="s">
        <v>297</v>
      </c>
      <c r="B132" s="342">
        <v>99</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737</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737</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738</v>
      </c>
      <c r="B44" s="536"/>
      <c r="E44" s="680"/>
      <c r="F44" s="680"/>
    </row>
    <row r="45" spans="1:14">
      <c r="A45" s="44"/>
      <c r="B45" s="536"/>
      <c r="E45" s="680"/>
      <c r="F45" s="680"/>
    </row>
    <row r="46" spans="1:14" ht="18">
      <c r="A46" s="137" t="s">
        <v>190</v>
      </c>
      <c r="B46" s="537" t="s">
        <v>577</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628</v>
      </c>
      <c r="B1" s="550"/>
      <c r="C1" s="551"/>
    </row>
    <row r="2" spans="1:3" s="334" customFormat="1">
      <c r="A2" s="395"/>
      <c r="B2" s="516"/>
      <c r="C2" s="553"/>
    </row>
    <row r="3" spans="1:3" s="334" customFormat="1">
      <c r="A3" s="393"/>
      <c r="B3" s="554">
        <v>2015</v>
      </c>
      <c r="C3" s="396" t="s">
        <v>182</v>
      </c>
    </row>
    <row r="4" spans="1:3">
      <c r="A4" s="120" t="s">
        <v>301</v>
      </c>
      <c r="B4" s="555">
        <v>4382.187123964326</v>
      </c>
      <c r="C4" s="139" t="s">
        <v>739</v>
      </c>
    </row>
    <row r="5" spans="1:3" ht="15.75" thickBot="1">
      <c r="A5" s="1003" t="s">
        <v>627</v>
      </c>
      <c r="B5" s="1012">
        <v>673536</v>
      </c>
      <c r="C5" s="1013" t="s">
        <v>677</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393046.01565024495</v>
      </c>
      <c r="C3" s="43" t="s">
        <v>170</v>
      </c>
      <c r="D3" s="43"/>
      <c r="E3" s="154"/>
      <c r="F3" s="43"/>
      <c r="G3" s="43"/>
      <c r="H3" s="43"/>
      <c r="I3" s="43"/>
      <c r="J3" s="43"/>
      <c r="K3" s="96"/>
    </row>
    <row r="4" spans="1:11">
      <c r="A4" s="383" t="s">
        <v>171</v>
      </c>
      <c r="B4" s="49">
        <f>IF(ISERROR('SEAP template'!B69),0,'SEAP template'!B69)</f>
        <v>43466.616834304979</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725</v>
      </c>
      <c r="G6" s="43" t="s">
        <v>730</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542.40564705882366</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0.19793980777714332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774.86521008403395</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3260.5714285714289</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0.23764705882352949</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676</v>
      </c>
      <c r="B1" s="959" t="s">
        <v>308</v>
      </c>
      <c r="C1" s="959" t="s">
        <v>312</v>
      </c>
      <c r="D1" s="959" t="s">
        <v>313</v>
      </c>
      <c r="E1" s="959" t="s">
        <v>314</v>
      </c>
      <c r="F1" s="959" t="s">
        <v>315</v>
      </c>
      <c r="H1" s="1002" t="s">
        <v>760</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674</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674</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674</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674</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658</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658</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658</v>
      </c>
      <c r="C9" s="316" t="s">
        <v>64</v>
      </c>
      <c r="D9" s="316" t="s">
        <v>650</v>
      </c>
      <c r="E9" s="316" t="s">
        <v>650</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658</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658</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658</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658</v>
      </c>
      <c r="C13" s="316" t="s">
        <v>64</v>
      </c>
      <c r="D13" s="316" t="s">
        <v>679</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658</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658</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658</v>
      </c>
      <c r="C16" s="316" t="s">
        <v>65</v>
      </c>
      <c r="D16" s="316" t="s">
        <v>650</v>
      </c>
      <c r="E16" s="316" t="s">
        <v>650</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658</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658</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658</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658</v>
      </c>
      <c r="C20" s="316" t="s">
        <v>65</v>
      </c>
      <c r="D20" s="316" t="s">
        <v>679</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658</v>
      </c>
      <c r="C21" s="316" t="s">
        <v>675</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658</v>
      </c>
      <c r="C22" s="316" t="s">
        <v>675</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658</v>
      </c>
      <c r="C23" s="316" t="s">
        <v>675</v>
      </c>
      <c r="D23" s="316" t="s">
        <v>650</v>
      </c>
      <c r="E23" s="316" t="s">
        <v>650</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658</v>
      </c>
      <c r="C24" s="316" t="s">
        <v>675</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658</v>
      </c>
      <c r="C25" s="316" t="s">
        <v>675</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658</v>
      </c>
      <c r="C26" s="316" t="s">
        <v>675</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658</v>
      </c>
      <c r="C27" s="316" t="s">
        <v>675</v>
      </c>
      <c r="D27" s="316" t="s">
        <v>679</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659</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659</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659</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659</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659</v>
      </c>
      <c r="C32" s="316" t="s">
        <v>675</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659</v>
      </c>
      <c r="C33" s="316" t="s">
        <v>675</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657</v>
      </c>
      <c r="B6" s="439" t="s">
        <v>734</v>
      </c>
      <c r="C6" s="440" t="s">
        <v>358</v>
      </c>
    </row>
    <row r="7" spans="1:3" s="334" customFormat="1">
      <c r="A7" s="995" t="s">
        <v>733</v>
      </c>
      <c r="B7" s="441" t="s">
        <v>604</v>
      </c>
      <c r="C7" s="442" t="s">
        <v>603</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656</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5279.5950000000003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5279.5950000000003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0.19793980777714332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1045.042019441167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109962.45968299999</v>
      </c>
      <c r="C5" s="17">
        <f>IF(ISERROR('Eigen informatie GS &amp; warmtenet'!B57),0,'Eigen informatie GS &amp; warmtenet'!B57)</f>
        <v>0</v>
      </c>
      <c r="D5" s="30">
        <f>(SUM(HH_hh_gas_kWh,HH_rest_gas_kWh)/1000)*0.902</f>
        <v>290640.48739550001</v>
      </c>
      <c r="E5" s="17">
        <f>B46*B57</f>
        <v>11735.720066430598</v>
      </c>
      <c r="F5" s="17">
        <f>B51*B62</f>
        <v>73134.409762219817</v>
      </c>
      <c r="G5" s="18"/>
      <c r="H5" s="17"/>
      <c r="I5" s="17"/>
      <c r="J5" s="17">
        <f>B50*B61+C50*C61</f>
        <v>0</v>
      </c>
      <c r="K5" s="17"/>
      <c r="L5" s="17"/>
      <c r="M5" s="17"/>
      <c r="N5" s="17">
        <f>B48*B59+C48*C59</f>
        <v>38535.036423265847</v>
      </c>
      <c r="O5" s="17">
        <f>B69*B70*B71</f>
        <v>1230.3433333333335</v>
      </c>
      <c r="P5" s="17">
        <f>B77*B78*B79/1000-B77*B78*B79/1000/B80</f>
        <v>4042.1333333333332</v>
      </c>
    </row>
    <row r="6" spans="1:16">
      <c r="A6" s="16" t="s">
        <v>623</v>
      </c>
      <c r="B6" s="843">
        <f>kWh_PV_kleiner_dan_10kW</f>
        <v>14944.55848655959</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124907.01816955958</v>
      </c>
      <c r="C8" s="21">
        <f>C5</f>
        <v>0</v>
      </c>
      <c r="D8" s="21">
        <f>D5</f>
        <v>290640.48739550001</v>
      </c>
      <c r="E8" s="21">
        <f>E5</f>
        <v>11735.720066430598</v>
      </c>
      <c r="F8" s="21">
        <f>F5</f>
        <v>73134.409762219817</v>
      </c>
      <c r="G8" s="21"/>
      <c r="H8" s="21"/>
      <c r="I8" s="21"/>
      <c r="J8" s="21">
        <f>J5</f>
        <v>0</v>
      </c>
      <c r="K8" s="21"/>
      <c r="L8" s="21">
        <f>L5</f>
        <v>0</v>
      </c>
      <c r="M8" s="21">
        <f>M5</f>
        <v>0</v>
      </c>
      <c r="N8" s="21">
        <f>N5</f>
        <v>38535.036423265847</v>
      </c>
      <c r="O8" s="21">
        <f>O5</f>
        <v>1230.3433333333335</v>
      </c>
      <c r="P8" s="21">
        <f>P5</f>
        <v>4042.1333333333332</v>
      </c>
    </row>
    <row r="9" spans="1:16">
      <c r="B9" s="19"/>
      <c r="C9" s="19"/>
      <c r="D9" s="258"/>
      <c r="E9" s="19"/>
      <c r="F9" s="19"/>
      <c r="G9" s="19"/>
      <c r="H9" s="19"/>
      <c r="I9" s="19"/>
      <c r="J9" s="19"/>
      <c r="K9" s="19"/>
      <c r="L9" s="19"/>
      <c r="M9" s="19"/>
      <c r="N9" s="19"/>
      <c r="O9" s="19"/>
      <c r="P9" s="19"/>
    </row>
    <row r="10" spans="1:16">
      <c r="A10" s="24" t="s">
        <v>214</v>
      </c>
      <c r="B10" s="25">
        <f ca="1">'EF ele_warmte'!B12</f>
        <v>0.19793980777714332</v>
      </c>
      <c r="C10" s="25">
        <f ca="1">'EF ele_warmte'!B22</f>
        <v>0.23764705882352949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24724.071166498772</v>
      </c>
      <c r="C12" s="23">
        <f ca="1">C10*C8</f>
        <v>0</v>
      </c>
      <c r="D12" s="23">
        <f>D8*D10</f>
        <v>58709.378453891004</v>
      </c>
      <c r="E12" s="23">
        <f>E10*E8</f>
        <v>2664.008455079746</v>
      </c>
      <c r="F12" s="23">
        <f>F10*F8</f>
        <v>19526.887406512691</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12607</v>
      </c>
      <c r="C18" s="166" t="s">
        <v>111</v>
      </c>
      <c r="D18" s="228"/>
      <c r="E18" s="15"/>
    </row>
    <row r="19" spans="1:7">
      <c r="A19" s="171" t="s">
        <v>72</v>
      </c>
      <c r="B19" s="37">
        <f>aantalw2001_ander</f>
        <v>2</v>
      </c>
      <c r="C19" s="166" t="s">
        <v>111</v>
      </c>
      <c r="D19" s="229"/>
      <c r="E19" s="15"/>
    </row>
    <row r="20" spans="1:7">
      <c r="A20" s="171" t="s">
        <v>73</v>
      </c>
      <c r="B20" s="37">
        <f>aantalw2001_propaan</f>
        <v>137</v>
      </c>
      <c r="C20" s="167">
        <f>IF(ISERROR(B20/SUM($B$20,$B$21,$B$22)*100),0,B20/SUM($B$20,$B$21,$B$22)*100)</f>
        <v>6.5960519980741452</v>
      </c>
      <c r="D20" s="229"/>
      <c r="E20" s="15"/>
    </row>
    <row r="21" spans="1:7">
      <c r="A21" s="171" t="s">
        <v>74</v>
      </c>
      <c r="B21" s="37">
        <f>aantalw2001_elektriciteit</f>
        <v>1808</v>
      </c>
      <c r="C21" s="167">
        <f>IF(ISERROR(B21/SUM($B$20,$B$21,$B$22)*100),0,B21/SUM($B$20,$B$21,$B$22)*100)</f>
        <v>87.048627828598939</v>
      </c>
      <c r="D21" s="229"/>
      <c r="E21" s="15"/>
    </row>
    <row r="22" spans="1:7">
      <c r="A22" s="171" t="s">
        <v>75</v>
      </c>
      <c r="B22" s="37">
        <f>aantalw2001_hout</f>
        <v>132</v>
      </c>
      <c r="C22" s="167">
        <f>IF(ISERROR(B22/SUM($B$20,$B$21,$B$22)*100),0,B22/SUM($B$20,$B$21,$B$22)*100)</f>
        <v>6.3553201733269145</v>
      </c>
      <c r="D22" s="229"/>
      <c r="E22" s="15"/>
    </row>
    <row r="23" spans="1:7">
      <c r="A23" s="171" t="s">
        <v>76</v>
      </c>
      <c r="B23" s="37">
        <f>aantalw2001_niet_gespec</f>
        <v>416</v>
      </c>
      <c r="C23" s="166" t="s">
        <v>111</v>
      </c>
      <c r="D23" s="228"/>
      <c r="E23" s="15"/>
    </row>
    <row r="24" spans="1:7">
      <c r="A24" s="171" t="s">
        <v>77</v>
      </c>
      <c r="B24" s="37">
        <f>aantalw2001_steenkool</f>
        <v>298</v>
      </c>
      <c r="C24" s="166" t="s">
        <v>111</v>
      </c>
      <c r="D24" s="229"/>
      <c r="E24" s="15"/>
    </row>
    <row r="25" spans="1:7">
      <c r="A25" s="171" t="s">
        <v>78</v>
      </c>
      <c r="B25" s="37">
        <f>aantalw2001_stookolie</f>
        <v>12509</v>
      </c>
      <c r="C25" s="166" t="s">
        <v>111</v>
      </c>
      <c r="D25" s="228"/>
      <c r="E25" s="52"/>
    </row>
    <row r="26" spans="1:7">
      <c r="A26" s="171" t="s">
        <v>79</v>
      </c>
      <c r="B26" s="37">
        <f>aantalw2001_WP</f>
        <v>11</v>
      </c>
      <c r="C26" s="166" t="s">
        <v>111</v>
      </c>
      <c r="D26" s="228"/>
      <c r="E26" s="15"/>
    </row>
    <row r="27" spans="1:7" s="15" customFormat="1">
      <c r="A27" s="171"/>
      <c r="B27" s="29"/>
      <c r="C27" s="36"/>
      <c r="D27" s="228"/>
    </row>
    <row r="28" spans="1:7" s="15" customFormat="1">
      <c r="A28" s="230" t="s">
        <v>796</v>
      </c>
      <c r="B28" s="37">
        <f>aantalHuishoudens2011</f>
        <v>34807</v>
      </c>
      <c r="C28" s="36"/>
      <c r="D28" s="228"/>
    </row>
    <row r="29" spans="1:7" s="15" customFormat="1">
      <c r="A29" s="230" t="s">
        <v>797</v>
      </c>
      <c r="B29" s="37">
        <f>SUM(HH_hh_gas_aantal,HH_rest_gas_aantal)</f>
        <v>23367</v>
      </c>
      <c r="C29" s="36"/>
      <c r="D29" s="228"/>
    </row>
    <row r="30" spans="1:7" s="15" customFormat="1">
      <c r="A30" s="231"/>
      <c r="B30" s="29"/>
      <c r="C30" s="36"/>
      <c r="D30" s="232"/>
    </row>
    <row r="31" spans="1:7">
      <c r="A31" s="172" t="s">
        <v>798</v>
      </c>
      <c r="B31" s="168" t="s">
        <v>216</v>
      </c>
      <c r="C31" s="165" t="s">
        <v>217</v>
      </c>
      <c r="D31" s="174"/>
      <c r="G31" s="15"/>
    </row>
    <row r="32" spans="1:7">
      <c r="A32" s="171" t="s">
        <v>71</v>
      </c>
      <c r="B32" s="37">
        <f>B29</f>
        <v>23367</v>
      </c>
      <c r="C32" s="167">
        <f>IF(ISERROR(B32/SUM($B$32,$B$34,$B$35,$B$36,$B$38,$B$39)*100),0,B32/SUM($B$32,$B$34,$B$35,$B$36,$B$38,$B$39)*100)</f>
        <v>67.544442838560485</v>
      </c>
      <c r="D32" s="233"/>
      <c r="G32" s="15"/>
    </row>
    <row r="33" spans="1:7">
      <c r="A33" s="171" t="s">
        <v>72</v>
      </c>
      <c r="B33" s="34" t="s">
        <v>111</v>
      </c>
      <c r="C33" s="167"/>
      <c r="D33" s="233"/>
      <c r="G33" s="15"/>
    </row>
    <row r="34" spans="1:7">
      <c r="A34" s="171" t="s">
        <v>73</v>
      </c>
      <c r="B34" s="33">
        <f>IF((($B$28-$B$32-$B$39-$B$77-$B$38)*C20/100)&lt;0,0,($B$28-$B$32-$B$39-$B$77-$B$38)*C20/100)</f>
        <v>554.26624939817043</v>
      </c>
      <c r="C34" s="167">
        <f>IF(ISERROR(B34/SUM($B$32,$B$34,$B$35,$B$36,$B$38,$B$39)*100),0,B34/SUM($B$32,$B$34,$B$35,$B$36,$B$38,$B$39)*100)</f>
        <v>1.6021571018880485</v>
      </c>
      <c r="D34" s="233"/>
      <c r="G34" s="15"/>
    </row>
    <row r="35" spans="1:7">
      <c r="A35" s="171" t="s">
        <v>74</v>
      </c>
      <c r="B35" s="33">
        <f>IF((($B$28-$B$32-$B$39-$B$77-$B$38)*C21/100)&lt;0,0,($B$28-$B$32-$B$39-$B$77-$B$38)*C21/100)</f>
        <v>7314.6961964371685</v>
      </c>
      <c r="C35" s="167">
        <f>IF(ISERROR(B35/SUM($B$32,$B$34,$B$35,$B$36,$B$38,$B$39)*100),0,B35/SUM($B$32,$B$34,$B$35,$B$36,$B$38,$B$39)*100)</f>
        <v>21.143795913967821</v>
      </c>
      <c r="D35" s="233"/>
      <c r="G35" s="15"/>
    </row>
    <row r="36" spans="1:7">
      <c r="A36" s="171" t="s">
        <v>75</v>
      </c>
      <c r="B36" s="33">
        <f>IF((($B$28-$B$32-$B$39-$B$77-$B$38)*C22/100)&lt;0,0,($B$28-$B$32-$B$39-$B$77-$B$38)*C22/100)</f>
        <v>534.03755416466061</v>
      </c>
      <c r="C36" s="167">
        <f>IF(ISERROR(B36/SUM($B$32,$B$34,$B$35,$B$36,$B$38,$B$39)*100),0,B36/SUM($B$32,$B$34,$B$35,$B$36,$B$38,$B$39)*100)</f>
        <v>1.543684214957828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2825</v>
      </c>
      <c r="C39" s="167">
        <f>IF(ISERROR(B39/SUM($B$32,$B$34,$B$35,$B$36,$B$38,$B$39)*100),0,B39/SUM($B$32,$B$34,$B$35,$B$36,$B$38,$B$39)*100)</f>
        <v>8.1659199306258134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793</v>
      </c>
      <c r="C43" s="169" t="s">
        <v>794</v>
      </c>
      <c r="D43" s="174"/>
    </row>
    <row r="44" spans="1:7">
      <c r="A44" s="171" t="s">
        <v>71</v>
      </c>
      <c r="B44" s="33">
        <f t="shared" ref="B44:B52" si="0">B32</f>
        <v>23367</v>
      </c>
      <c r="C44" s="34" t="s">
        <v>111</v>
      </c>
      <c r="D44" s="174"/>
    </row>
    <row r="45" spans="1:7">
      <c r="A45" s="171" t="s">
        <v>72</v>
      </c>
      <c r="B45" s="33" t="str">
        <f t="shared" si="0"/>
        <v>-</v>
      </c>
      <c r="C45" s="34" t="s">
        <v>111</v>
      </c>
      <c r="D45" s="174"/>
    </row>
    <row r="46" spans="1:7">
      <c r="A46" s="171" t="s">
        <v>73</v>
      </c>
      <c r="B46" s="33">
        <f t="shared" si="0"/>
        <v>554.26624939817043</v>
      </c>
      <c r="C46" s="34" t="s">
        <v>111</v>
      </c>
      <c r="D46" s="174"/>
    </row>
    <row r="47" spans="1:7">
      <c r="A47" s="171" t="s">
        <v>74</v>
      </c>
      <c r="B47" s="33">
        <f t="shared" si="0"/>
        <v>7314.6961964371685</v>
      </c>
      <c r="C47" s="34" t="s">
        <v>111</v>
      </c>
      <c r="D47" s="174"/>
    </row>
    <row r="48" spans="1:7">
      <c r="A48" s="171" t="s">
        <v>75</v>
      </c>
      <c r="B48" s="33">
        <f t="shared" si="0"/>
        <v>534.03755416466061</v>
      </c>
      <c r="C48" s="33">
        <f>B48*10</f>
        <v>5340.3755416466065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2825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748</v>
      </c>
      <c r="C54" s="165" t="s">
        <v>749</v>
      </c>
      <c r="D54" s="301" t="s">
        <v>753</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787</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212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200502.85789799999</v>
      </c>
      <c r="C5" s="17">
        <f>IF(ISERROR('Eigen informatie GS &amp; warmtenet'!B58),0,'Eigen informatie GS &amp; warmtenet'!B58)</f>
        <v>0</v>
      </c>
      <c r="D5" s="30">
        <f>SUM(D6:D12)</f>
        <v>213607.71330265401</v>
      </c>
      <c r="E5" s="17">
        <f>SUM(E6:E12)</f>
        <v>2798.0225881226615</v>
      </c>
      <c r="F5" s="17">
        <f>SUM(F6:F12)</f>
        <v>34505.804180229803</v>
      </c>
      <c r="G5" s="18"/>
      <c r="H5" s="17"/>
      <c r="I5" s="17"/>
      <c r="J5" s="17">
        <f>SUM(J6:J12)</f>
        <v>0.36982345073509576</v>
      </c>
      <c r="K5" s="17"/>
      <c r="L5" s="17"/>
      <c r="M5" s="17"/>
      <c r="N5" s="17">
        <f>SUM(N6:N12)</f>
        <v>14941.343870658904</v>
      </c>
      <c r="O5" s="17">
        <f>B38*B39*B40</f>
        <v>12.506666666666668</v>
      </c>
      <c r="P5" s="17">
        <f>B46*B47*B48/1000-B46*B47*B48/1000/B49</f>
        <v>228.8</v>
      </c>
      <c r="R5" s="32"/>
    </row>
    <row r="6" spans="1:18">
      <c r="A6" s="32" t="s">
        <v>54</v>
      </c>
      <c r="B6" s="37">
        <f>B26</f>
        <v>69847.180996999989</v>
      </c>
      <c r="C6" s="33"/>
      <c r="D6" s="37">
        <f>IF(ISERROR(TER_kantoor_gas_kWh/1000),0,TER_kantoor_gas_kWh/1000)*0.902</f>
        <v>66862.842958406007</v>
      </c>
      <c r="E6" s="33">
        <f>$C$26*'E Balans VL '!I12/100/3.6*1000000</f>
        <v>0.43777889968073974</v>
      </c>
      <c r="F6" s="33">
        <f>$C$26*('E Balans VL '!L12+'E Balans VL '!N12)/100/3.6*1000000</f>
        <v>10496.079587469509</v>
      </c>
      <c r="G6" s="34"/>
      <c r="H6" s="33"/>
      <c r="I6" s="33"/>
      <c r="J6" s="33">
        <f>$C$26*('E Balans VL '!D12+'E Balans VL '!E12)/100/3.6*1000000</f>
        <v>0</v>
      </c>
      <c r="K6" s="33"/>
      <c r="L6" s="33"/>
      <c r="M6" s="33"/>
      <c r="N6" s="33">
        <f>$C$26*'E Balans VL '!Y12/100/3.6*1000000</f>
        <v>66.798472642539195</v>
      </c>
      <c r="O6" s="33"/>
      <c r="P6" s="33"/>
      <c r="R6" s="32"/>
    </row>
    <row r="7" spans="1:18">
      <c r="A7" s="32" t="s">
        <v>53</v>
      </c>
      <c r="B7" s="37">
        <f t="shared" ref="B7:B12" si="0">B27</f>
        <v>20219.359461</v>
      </c>
      <c r="C7" s="33"/>
      <c r="D7" s="37">
        <f>IF(ISERROR(TER_horeca_gas_kWh/1000),0,TER_horeca_gas_kWh/1000)*0.902</f>
        <v>21511.896690525999</v>
      </c>
      <c r="E7" s="33">
        <f>$C$27*'E Balans VL '!I9/100/3.6*1000000</f>
        <v>289.53785957916006</v>
      </c>
      <c r="F7" s="33">
        <f>$C$27*('E Balans VL '!L9+'E Balans VL '!N9)/100/3.6*1000000</f>
        <v>2560.4377679289883</v>
      </c>
      <c r="G7" s="34"/>
      <c r="H7" s="33"/>
      <c r="I7" s="33"/>
      <c r="J7" s="33">
        <f>$C$27*('E Balans VL '!D9+'E Balans VL '!E9)/100/3.6*1000000</f>
        <v>0</v>
      </c>
      <c r="K7" s="33"/>
      <c r="L7" s="33"/>
      <c r="M7" s="33"/>
      <c r="N7" s="33">
        <f>$C$27*'E Balans VL '!Y9/100/3.6*1000000</f>
        <v>5.8126200464285889</v>
      </c>
      <c r="O7" s="33"/>
      <c r="P7" s="33"/>
      <c r="R7" s="32"/>
    </row>
    <row r="8" spans="1:18">
      <c r="A8" s="6" t="s">
        <v>52</v>
      </c>
      <c r="B8" s="37">
        <f t="shared" si="0"/>
        <v>63750.856927000001</v>
      </c>
      <c r="C8" s="33"/>
      <c r="D8" s="37">
        <f>IF(ISERROR(TER_handel_gas_kWh/1000),0,TER_handel_gas_kWh/1000)*0.902</f>
        <v>37587.487533420004</v>
      </c>
      <c r="E8" s="33">
        <f>$C$28*'E Balans VL '!I13/100/3.6*1000000</f>
        <v>2312.235719338817</v>
      </c>
      <c r="F8" s="33">
        <f>$C$28*('E Balans VL '!L13+'E Balans VL '!N13)/100/3.6*1000000</f>
        <v>12279.060562607368</v>
      </c>
      <c r="G8" s="34"/>
      <c r="H8" s="33"/>
      <c r="I8" s="33"/>
      <c r="J8" s="33">
        <f>$C$28*('E Balans VL '!D13+'E Balans VL '!E13)/100/3.6*1000000</f>
        <v>0</v>
      </c>
      <c r="K8" s="33"/>
      <c r="L8" s="33"/>
      <c r="M8" s="33"/>
      <c r="N8" s="33">
        <f>$C$28*'E Balans VL '!Y13/100/3.6*1000000</f>
        <v>88.309605261882055</v>
      </c>
      <c r="O8" s="33"/>
      <c r="P8" s="33"/>
      <c r="R8" s="32"/>
    </row>
    <row r="9" spans="1:18">
      <c r="A9" s="32" t="s">
        <v>51</v>
      </c>
      <c r="B9" s="37">
        <f t="shared" si="0"/>
        <v>18091.102739000002</v>
      </c>
      <c r="C9" s="33"/>
      <c r="D9" s="37">
        <f>IF(ISERROR(TER_gezond_gas_kWh/1000),0,TER_gezond_gas_kWh/1000)*0.902</f>
        <v>37675.990412301995</v>
      </c>
      <c r="E9" s="33">
        <f>$C$29*'E Balans VL '!I10/100/3.6*1000000</f>
        <v>1.1326816488318538</v>
      </c>
      <c r="F9" s="33">
        <f>$C$29*('E Balans VL '!L10+'E Balans VL '!N10)/100/3.6*1000000</f>
        <v>2687.4883940405425</v>
      </c>
      <c r="G9" s="34"/>
      <c r="H9" s="33"/>
      <c r="I9" s="33"/>
      <c r="J9" s="33">
        <f>$C$29*('E Balans VL '!D10+'E Balans VL '!E10)/100/3.6*1000000</f>
        <v>0</v>
      </c>
      <c r="K9" s="33"/>
      <c r="L9" s="33"/>
      <c r="M9" s="33"/>
      <c r="N9" s="33">
        <f>$C$29*'E Balans VL '!Y10/100/3.6*1000000</f>
        <v>279.83492280904846</v>
      </c>
      <c r="O9" s="33"/>
      <c r="P9" s="33"/>
      <c r="R9" s="32"/>
    </row>
    <row r="10" spans="1:18">
      <c r="A10" s="32" t="s">
        <v>50</v>
      </c>
      <c r="B10" s="37">
        <f t="shared" si="0"/>
        <v>17037.781529</v>
      </c>
      <c r="C10" s="33"/>
      <c r="D10" s="37">
        <f>IF(ISERROR(TER_ander_gas_kWh/1000),0,TER_ander_gas_kWh/1000)*0.902</f>
        <v>17645.108453588</v>
      </c>
      <c r="E10" s="33">
        <f>$C$30*'E Balans VL '!I14/100/3.6*1000000</f>
        <v>20.308426755129911</v>
      </c>
      <c r="F10" s="33">
        <f>$C$30*('E Balans VL '!L14+'E Balans VL '!N14)/100/3.6*1000000</f>
        <v>4457.8410882614398</v>
      </c>
      <c r="G10" s="34"/>
      <c r="H10" s="33"/>
      <c r="I10" s="33"/>
      <c r="J10" s="33">
        <f>$C$30*('E Balans VL '!D14+'E Balans VL '!E14)/100/3.6*1000000</f>
        <v>0.36982345073509576</v>
      </c>
      <c r="K10" s="33"/>
      <c r="L10" s="33"/>
      <c r="M10" s="33"/>
      <c r="N10" s="33">
        <f>$C$30*'E Balans VL '!Y14/100/3.6*1000000</f>
        <v>14468.067165781191</v>
      </c>
      <c r="O10" s="33"/>
      <c r="P10" s="33"/>
      <c r="R10" s="32"/>
    </row>
    <row r="11" spans="1:18">
      <c r="A11" s="32" t="s">
        <v>55</v>
      </c>
      <c r="B11" s="37">
        <f t="shared" si="0"/>
        <v>11556.576244999998</v>
      </c>
      <c r="C11" s="33"/>
      <c r="D11" s="37">
        <f>IF(ISERROR(TER_onderwijs_gas_kWh/1000),0,TER_onderwijs_gas_kWh/1000)*0.902</f>
        <v>32324.387254411999</v>
      </c>
      <c r="E11" s="33">
        <f>$C$31*'E Balans VL '!I11/100/3.6*1000000</f>
        <v>174.37012190104247</v>
      </c>
      <c r="F11" s="33">
        <f>$C$31*('E Balans VL '!L11+'E Balans VL '!N11)/100/3.6*1000000</f>
        <v>2024.8967799219504</v>
      </c>
      <c r="G11" s="34"/>
      <c r="H11" s="33"/>
      <c r="I11" s="33"/>
      <c r="J11" s="33">
        <f>$C$31*('E Balans VL '!D11+'E Balans VL '!E11)/100/3.6*1000000</f>
        <v>0</v>
      </c>
      <c r="K11" s="33"/>
      <c r="L11" s="33"/>
      <c r="M11" s="33"/>
      <c r="N11" s="33">
        <f>$C$31*'E Balans VL '!Y11/100/3.6*1000000</f>
        <v>32.521084117813515</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3294.9</v>
      </c>
      <c r="C13" s="247">
        <f ca="1">'lokale energieproductie'!O90+'lokale energieproductie'!O59</f>
        <v>2939.1428571428573</v>
      </c>
      <c r="D13" s="310">
        <f ca="1">('lokale energieproductie'!P59+'lokale energieproductie'!P90)*(-1)</f>
        <v>-5878.2857142857156</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-3535.7142857142858</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203797.75789799998</v>
      </c>
      <c r="C16" s="21">
        <f t="shared" ca="1" si="1"/>
        <v>2939.1428571428573</v>
      </c>
      <c r="D16" s="21">
        <f t="shared" ca="1" si="1"/>
        <v>207729.4275883683</v>
      </c>
      <c r="E16" s="21">
        <f t="shared" si="1"/>
        <v>2798.0225881226615</v>
      </c>
      <c r="F16" s="21">
        <f t="shared" ca="1" si="1"/>
        <v>34505.804180229803</v>
      </c>
      <c r="G16" s="21">
        <f t="shared" si="1"/>
        <v>0</v>
      </c>
      <c r="H16" s="21">
        <f t="shared" si="1"/>
        <v>0</v>
      </c>
      <c r="I16" s="21">
        <f t="shared" si="1"/>
        <v>0</v>
      </c>
      <c r="J16" s="21">
        <f t="shared" si="1"/>
        <v>0.36982345073509576</v>
      </c>
      <c r="K16" s="21">
        <f t="shared" si="1"/>
        <v>0</v>
      </c>
      <c r="L16" s="21">
        <f t="shared" ca="1" si="1"/>
        <v>0</v>
      </c>
      <c r="M16" s="21">
        <f t="shared" si="1"/>
        <v>0</v>
      </c>
      <c r="N16" s="21">
        <f t="shared" ca="1" si="1"/>
        <v>11405.629584944618</v>
      </c>
      <c r="O16" s="21">
        <f>O5</f>
        <v>12.506666666666668</v>
      </c>
      <c r="P16" s="21">
        <f>P5</f>
        <v>228.8</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0.19793980777714332</v>
      </c>
      <c r="C18" s="25">
        <f ca="1">'EF ele_warmte'!B22</f>
        <v>0.23764705882352949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40339.689023742911</v>
      </c>
      <c r="C20" s="23">
        <f t="shared" ref="C20:P20" ca="1" si="2">C16*C18</f>
        <v>698.4786554621852</v>
      </c>
      <c r="D20" s="23">
        <f t="shared" ca="1" si="2"/>
        <v>41961.344372850399</v>
      </c>
      <c r="E20" s="23">
        <f t="shared" si="2"/>
        <v>635.15112750384424</v>
      </c>
      <c r="F20" s="23">
        <f t="shared" ca="1" si="2"/>
        <v>9213.0497161213571</v>
      </c>
      <c r="G20" s="23">
        <f t="shared" si="2"/>
        <v>0</v>
      </c>
      <c r="H20" s="23">
        <f t="shared" si="2"/>
        <v>0</v>
      </c>
      <c r="I20" s="23">
        <f t="shared" si="2"/>
        <v>0</v>
      </c>
      <c r="J20" s="23">
        <f t="shared" si="2"/>
        <v>0.13091750156022389</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69847.180996999989</v>
      </c>
      <c r="C26" s="39">
        <f>IF(ISERROR(B26*3.6/1000000/'E Balans VL '!Z12*100),0,B26*3.6/1000000/'E Balans VL '!Z12*100)</f>
        <v>1.4764587594043719</v>
      </c>
      <c r="D26" s="237" t="s">
        <v>756</v>
      </c>
      <c r="F26" s="6"/>
    </row>
    <row r="27" spans="1:18">
      <c r="A27" s="231" t="s">
        <v>53</v>
      </c>
      <c r="B27" s="33">
        <f>IF(ISERROR(TER_horeca_ele_kWh/1000),0,TER_horeca_ele_kWh/1000)</f>
        <v>20219.359461</v>
      </c>
      <c r="C27" s="39">
        <f>IF(ISERROR(B27*3.6/1000000/'E Balans VL '!Z9*100),0,B27*3.6/1000000/'E Balans VL '!Z9*100)</f>
        <v>1.5938845701706252</v>
      </c>
      <c r="D27" s="237" t="s">
        <v>756</v>
      </c>
      <c r="F27" s="6"/>
    </row>
    <row r="28" spans="1:18">
      <c r="A28" s="171" t="s">
        <v>52</v>
      </c>
      <c r="B28" s="33">
        <f>IF(ISERROR(TER_handel_ele_kWh/1000),0,TER_handel_ele_kWh/1000)</f>
        <v>63750.856927000001</v>
      </c>
      <c r="C28" s="39">
        <f>IF(ISERROR(B28*3.6/1000000/'E Balans VL '!Z13*100),0,B28*3.6/1000000/'E Balans VL '!Z13*100)</f>
        <v>1.850307450347197</v>
      </c>
      <c r="D28" s="237" t="s">
        <v>756</v>
      </c>
      <c r="F28" s="6"/>
    </row>
    <row r="29" spans="1:18">
      <c r="A29" s="231" t="s">
        <v>51</v>
      </c>
      <c r="B29" s="33">
        <f>IF(ISERROR(TER_gezond_ele_kWh/1000),0,TER_gezond_ele_kWh/1000)</f>
        <v>18091.102739000002</v>
      </c>
      <c r="C29" s="39">
        <f>IF(ISERROR(B29*3.6/1000000/'E Balans VL '!Z10*100),0,B29*3.6/1000000/'E Balans VL '!Z10*100)</f>
        <v>1.9052901821650092</v>
      </c>
      <c r="D29" s="237" t="s">
        <v>756</v>
      </c>
      <c r="F29" s="6"/>
    </row>
    <row r="30" spans="1:18">
      <c r="A30" s="231" t="s">
        <v>50</v>
      </c>
      <c r="B30" s="33">
        <f>IF(ISERROR(TER_ander_ele_kWh/1000),0,TER_ander_ele_kWh/1000)</f>
        <v>17037.781529</v>
      </c>
      <c r="C30" s="39">
        <f>IF(ISERROR(B30*3.6/1000000/'E Balans VL '!Z14*100),0,B30*3.6/1000000/'E Balans VL '!Z14*100)</f>
        <v>1.2567104661667798</v>
      </c>
      <c r="D30" s="237" t="s">
        <v>756</v>
      </c>
      <c r="F30" s="6"/>
    </row>
    <row r="31" spans="1:18">
      <c r="A31" s="231" t="s">
        <v>55</v>
      </c>
      <c r="B31" s="33">
        <f>IF(ISERROR(TER_onderwijs_ele_kWh/1000),0,TER_onderwijs_ele_kWh/1000)</f>
        <v>11556.576244999998</v>
      </c>
      <c r="C31" s="39">
        <f>IF(ISERROR(B31*3.6/1000000/'E Balans VL '!Z11*100),0,B31*3.6/1000000/'E Balans VL '!Z11*100)</f>
        <v>2.8700392235455556</v>
      </c>
      <c r="D31" s="237" t="s">
        <v>756</v>
      </c>
    </row>
    <row r="32" spans="1:18">
      <c r="A32" s="231" t="s">
        <v>260</v>
      </c>
      <c r="B32" s="33">
        <f>IF(ISERROR(TER_rest_ele_kWh/1000),0,TER_rest_ele_kWh/1000)</f>
        <v>0</v>
      </c>
      <c r="C32" s="39">
        <f>IF(ISERROR(B32*3.6/1000000/'E Balans VL '!Z8*100),0,B32*3.6/1000000/'E Balans VL '!Z8*100)</f>
        <v>0</v>
      </c>
      <c r="D32" s="237" t="s">
        <v>756</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8</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56893.38631799999</v>
      </c>
      <c r="C5" s="17">
        <f>IF(ISERROR('Eigen informatie GS &amp; warmtenet'!B59),0,'Eigen informatie GS &amp; warmtenet'!B59)</f>
        <v>0</v>
      </c>
      <c r="D5" s="30">
        <f>SUM(D6:D15)</f>
        <v>99602.426911240007</v>
      </c>
      <c r="E5" s="17">
        <f>SUM(E6:E15)</f>
        <v>7769.02363704037</v>
      </c>
      <c r="F5" s="17">
        <f>SUM(F6:F15)</f>
        <v>25700.525373136777</v>
      </c>
      <c r="G5" s="18"/>
      <c r="H5" s="17"/>
      <c r="I5" s="17"/>
      <c r="J5" s="17">
        <f>SUM(J6:J15)</f>
        <v>21.244556080187763</v>
      </c>
      <c r="K5" s="17"/>
      <c r="L5" s="17"/>
      <c r="M5" s="17"/>
      <c r="N5" s="17">
        <f>SUM(N6:N15)</f>
        <v>16261.104595742214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4045.4764449999998</v>
      </c>
      <c r="C8" s="33"/>
      <c r="D8" s="37">
        <f>IF( ISERROR(IND_metaal_Gas_kWH/1000),0,IND_metaal_Gas_kWH/1000)*0.902</f>
        <v>3950.2465563440001</v>
      </c>
      <c r="E8" s="33">
        <f>C30*'E Balans VL '!I18/100/3.6*1000000</f>
        <v>37.194248753467221</v>
      </c>
      <c r="F8" s="33">
        <f>C30*'E Balans VL '!L18/100/3.6*1000000+C30*'E Balans VL '!N18/100/3.6*1000000</f>
        <v>379.3310029964552</v>
      </c>
      <c r="G8" s="34"/>
      <c r="H8" s="33"/>
      <c r="I8" s="33"/>
      <c r="J8" s="40">
        <f>C30*'E Balans VL '!D18/100/3.6*1000000+C30*'E Balans VL '!E18/100/3.6*1000000</f>
        <v>0</v>
      </c>
      <c r="K8" s="33"/>
      <c r="L8" s="33"/>
      <c r="M8" s="33"/>
      <c r="N8" s="33">
        <f>C30*'E Balans VL '!Y18/100/3.6*1000000</f>
        <v>57.715406919280881</v>
      </c>
      <c r="O8" s="33"/>
      <c r="P8" s="33"/>
      <c r="R8" s="32"/>
    </row>
    <row r="9" spans="1:18">
      <c r="A9" s="6" t="s">
        <v>33</v>
      </c>
      <c r="B9" s="37">
        <f t="shared" si="0"/>
        <v>25075.994859999999</v>
      </c>
      <c r="C9" s="33"/>
      <c r="D9" s="37">
        <f>IF( ISERROR(IND_andere_gas_kWh/1000),0,IND_andere_gas_kWh/1000)*0.902</f>
        <v>26965.063769380002</v>
      </c>
      <c r="E9" s="33">
        <f>C31*'E Balans VL '!I19/100/3.6*1000000</f>
        <v>7330.2014696183642</v>
      </c>
      <c r="F9" s="33">
        <f>C31*'E Balans VL '!L19/100/3.6*1000000+C31*'E Balans VL '!N19/100/3.6*1000000</f>
        <v>20150.459948414213</v>
      </c>
      <c r="G9" s="34"/>
      <c r="H9" s="33"/>
      <c r="I9" s="33"/>
      <c r="J9" s="40">
        <f>C31*'E Balans VL '!D19/100/3.6*1000000+C31*'E Balans VL '!E19/100/3.6*1000000</f>
        <v>0</v>
      </c>
      <c r="K9" s="33"/>
      <c r="L9" s="33"/>
      <c r="M9" s="33"/>
      <c r="N9" s="33">
        <f>C31*'E Balans VL '!Y19/100/3.6*1000000</f>
        <v>8285.4976028511683</v>
      </c>
      <c r="O9" s="33"/>
      <c r="P9" s="33"/>
      <c r="R9" s="32"/>
    </row>
    <row r="10" spans="1:18">
      <c r="A10" s="6" t="s">
        <v>41</v>
      </c>
      <c r="B10" s="37">
        <f t="shared" si="0"/>
        <v>11800.773463</v>
      </c>
      <c r="C10" s="33"/>
      <c r="D10" s="37">
        <f>IF( ISERROR(IND_voed_gas_kWh/1000),0,IND_voed_gas_kWh/1000)*0.902</f>
        <v>9623.4781660600001</v>
      </c>
      <c r="E10" s="33">
        <f>C32*'E Balans VL '!I20/100/3.6*1000000</f>
        <v>24.964719234136151</v>
      </c>
      <c r="F10" s="33">
        <f>C32*'E Balans VL '!L20/100/3.6*1000000+C32*'E Balans VL '!N20/100/3.6*1000000</f>
        <v>750.30523091415023</v>
      </c>
      <c r="G10" s="34"/>
      <c r="H10" s="33"/>
      <c r="I10" s="33"/>
      <c r="J10" s="40">
        <f>C32*'E Balans VL '!D20/100/3.6*1000000+C32*'E Balans VL '!E20/100/3.6*1000000</f>
        <v>0</v>
      </c>
      <c r="K10" s="33"/>
      <c r="L10" s="33"/>
      <c r="M10" s="33"/>
      <c r="N10" s="33">
        <f>C32*'E Balans VL '!Y20/100/3.6*1000000</f>
        <v>814.36982182501004</v>
      </c>
      <c r="O10" s="33"/>
      <c r="P10" s="33"/>
      <c r="R10" s="32"/>
    </row>
    <row r="11" spans="1:18">
      <c r="A11" s="6" t="s">
        <v>40</v>
      </c>
      <c r="B11" s="37">
        <f t="shared" si="0"/>
        <v>169.87354999999999</v>
      </c>
      <c r="C11" s="33"/>
      <c r="D11" s="37">
        <f>IF( ISERROR(IND_textiel_gas_kWh/1000),0,IND_textiel_gas_kWh/1000)*0.902</f>
        <v>283.77551400000004</v>
      </c>
      <c r="E11" s="33">
        <f>C33*'E Balans VL '!I21/100/3.6*1000000</f>
        <v>0.50450979758442149</v>
      </c>
      <c r="F11" s="33">
        <f>C33*'E Balans VL '!L21/100/3.6*1000000+C33*'E Balans VL '!N21/100/3.6*1000000</f>
        <v>17.161892278251148</v>
      </c>
      <c r="G11" s="34"/>
      <c r="H11" s="33"/>
      <c r="I11" s="33"/>
      <c r="J11" s="40">
        <f>C33*'E Balans VL '!D21/100/3.6*1000000+C33*'E Balans VL '!E21/100/3.6*1000000</f>
        <v>0</v>
      </c>
      <c r="K11" s="33"/>
      <c r="L11" s="33"/>
      <c r="M11" s="33"/>
      <c r="N11" s="33">
        <f>C33*'E Balans VL '!Y21/100/3.6*1000000</f>
        <v>9.3690684091759717</v>
      </c>
      <c r="O11" s="33"/>
      <c r="P11" s="33"/>
      <c r="R11" s="32"/>
    </row>
    <row r="12" spans="1:18">
      <c r="A12" s="6" t="s">
        <v>37</v>
      </c>
      <c r="B12" s="37">
        <f t="shared" si="0"/>
        <v>12602.013000000001</v>
      </c>
      <c r="C12" s="33"/>
      <c r="D12" s="37">
        <f>IF( ISERROR(IND_min_gas_kWh/1000),0,IND_min_gas_kWh/1000)*0.902</f>
        <v>57171.493060000001</v>
      </c>
      <c r="E12" s="33">
        <f>C34*'E Balans VL '!I22/100/3.6*1000000</f>
        <v>365.28046601309114</v>
      </c>
      <c r="F12" s="33">
        <f>C34*'E Balans VL '!L22/100/3.6*1000000+C34*'E Balans VL '!N22/100/3.6*1000000</f>
        <v>4332.7144753207149</v>
      </c>
      <c r="G12" s="34"/>
      <c r="H12" s="33"/>
      <c r="I12" s="33"/>
      <c r="J12" s="40">
        <f>C34*'E Balans VL '!D22/100/3.6*1000000+C34*'E Balans VL '!E22/100/3.6*1000000</f>
        <v>20.70890491897196</v>
      </c>
      <c r="K12" s="33"/>
      <c r="L12" s="33"/>
      <c r="M12" s="33"/>
      <c r="N12" s="33">
        <f>C34*'E Balans VL '!Y22/100/3.6*1000000</f>
        <v>2758.7877382504016</v>
      </c>
      <c r="O12" s="33"/>
      <c r="P12" s="33"/>
      <c r="R12" s="32"/>
    </row>
    <row r="13" spans="1:18">
      <c r="A13" s="6" t="s">
        <v>39</v>
      </c>
      <c r="B13" s="37">
        <f t="shared" si="0"/>
        <v>1472.229</v>
      </c>
      <c r="C13" s="33"/>
      <c r="D13" s="37">
        <f>IF( ISERROR(IND_papier_gas_kWh/1000),0,IND_papier_gas_kWh/1000)*0.902</f>
        <v>1124.030121456</v>
      </c>
      <c r="E13" s="33">
        <f>C35*'E Balans VL '!I23/100/3.6*1000000</f>
        <v>2.0887562548414658</v>
      </c>
      <c r="F13" s="33">
        <f>C35*'E Balans VL '!L23/100/3.6*1000000+C35*'E Balans VL '!N23/100/3.6*1000000</f>
        <v>35.942645827966338</v>
      </c>
      <c r="G13" s="34"/>
      <c r="H13" s="33"/>
      <c r="I13" s="33"/>
      <c r="J13" s="40">
        <f>C35*'E Balans VL '!D23/100/3.6*1000000+C35*'E Balans VL '!E23/100/3.6*1000000</f>
        <v>0.22769403697813734</v>
      </c>
      <c r="K13" s="33"/>
      <c r="L13" s="33"/>
      <c r="M13" s="33"/>
      <c r="N13" s="33">
        <f>C35*'E Balans VL '!Y23/100/3.6*1000000</f>
        <v>4279.4212024583976</v>
      </c>
      <c r="O13" s="33"/>
      <c r="P13" s="33"/>
      <c r="R13" s="32"/>
    </row>
    <row r="14" spans="1:18">
      <c r="A14" s="6" t="s">
        <v>34</v>
      </c>
      <c r="B14" s="37">
        <f t="shared" si="0"/>
        <v>1641.0039999999999</v>
      </c>
      <c r="C14" s="33"/>
      <c r="D14" s="37">
        <f>IF( ISERROR(IND_chemie_gas_kWh/1000),0,IND_chemie_gas_kWh/1000)*0.902</f>
        <v>458.42436200000003</v>
      </c>
      <c r="E14" s="33">
        <f>C36*'E Balans VL '!I24/100/3.6*1000000</f>
        <v>4.0396816694933539</v>
      </c>
      <c r="F14" s="33">
        <f>C36*'E Balans VL '!L24/100/3.6*1000000+C36*'E Balans VL '!N24/100/3.6*1000000</f>
        <v>17.571793867457718</v>
      </c>
      <c r="G14" s="34"/>
      <c r="H14" s="33"/>
      <c r="I14" s="33"/>
      <c r="J14" s="40">
        <f>C36*'E Balans VL '!D24/100/3.6*1000000+C36*'E Balans VL '!E24/100/3.6*1000000</f>
        <v>0</v>
      </c>
      <c r="K14" s="33"/>
      <c r="L14" s="33"/>
      <c r="M14" s="33"/>
      <c r="N14" s="33">
        <f>C36*'E Balans VL '!Y24/100/3.6*1000000</f>
        <v>36.647670176473568</v>
      </c>
      <c r="O14" s="33"/>
      <c r="P14" s="33"/>
      <c r="R14" s="32"/>
    </row>
    <row r="15" spans="1:18">
      <c r="A15" s="6" t="s">
        <v>270</v>
      </c>
      <c r="B15" s="37">
        <f t="shared" si="0"/>
        <v>86.022000000000006</v>
      </c>
      <c r="C15" s="33"/>
      <c r="D15" s="37">
        <f>IF( ISERROR(IND_rest_gas_kWh/1000),0,IND_rest_gas_kWh/1000)*0.902</f>
        <v>25.915362000000002</v>
      </c>
      <c r="E15" s="33">
        <f>C37*'E Balans VL '!I15/100/3.6*1000000</f>
        <v>4.7497856993910483</v>
      </c>
      <c r="F15" s="33">
        <f>C37*'E Balans VL '!L15/100/3.6*1000000+C37*'E Balans VL '!N15/100/3.6*1000000</f>
        <v>17.038383517571674</v>
      </c>
      <c r="G15" s="34"/>
      <c r="H15" s="33"/>
      <c r="I15" s="33"/>
      <c r="J15" s="40">
        <f>C37*'E Balans VL '!D15/100/3.6*1000000+C37*'E Balans VL '!E15/100/3.6*1000000</f>
        <v>0.30795712423766841</v>
      </c>
      <c r="K15" s="33"/>
      <c r="L15" s="33"/>
      <c r="M15" s="33"/>
      <c r="N15" s="33">
        <f>C37*'E Balans VL '!Y15/100/3.6*1000000</f>
        <v>19.296084852306855</v>
      </c>
      <c r="O15" s="33"/>
      <c r="P15" s="33"/>
      <c r="R15" s="32"/>
    </row>
    <row r="16" spans="1:18">
      <c r="A16" s="16" t="s">
        <v>488</v>
      </c>
      <c r="B16" s="247">
        <f>'lokale energieproductie'!N89+'lokale energieproductie'!N58</f>
        <v>225</v>
      </c>
      <c r="C16" s="247">
        <f>'lokale energieproductie'!O89+'lokale energieproductie'!O58</f>
        <v>321.42857142857144</v>
      </c>
      <c r="D16" s="310">
        <f>('lokale energieproductie'!P58+'lokale energieproductie'!P89)*(-1)</f>
        <v>-642.85714285714289</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57118.38631799999</v>
      </c>
      <c r="C18" s="21">
        <f>C5+C16</f>
        <v>321.42857142857144</v>
      </c>
      <c r="D18" s="21">
        <f>MAX((D5+D16),0)</f>
        <v>98959.569768382862</v>
      </c>
      <c r="E18" s="21">
        <f>MAX((E5+E16),0)</f>
        <v>7769.02363704037</v>
      </c>
      <c r="F18" s="21">
        <f>MAX((F5+F16),0)</f>
        <v>25700.525373136777</v>
      </c>
      <c r="G18" s="21"/>
      <c r="H18" s="21"/>
      <c r="I18" s="21"/>
      <c r="J18" s="21">
        <f>MAX((J5+J16),0)</f>
        <v>21.244556080187763</v>
      </c>
      <c r="K18" s="21"/>
      <c r="L18" s="21">
        <f>MAX((L5+L16),0)</f>
        <v>0</v>
      </c>
      <c r="M18" s="21"/>
      <c r="N18" s="21">
        <f>MAX((N5+N16),0)</f>
        <v>16261.104595742214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0.19793980777714332</v>
      </c>
      <c r="C20" s="25">
        <f ca="1">'EF ele_warmte'!B22</f>
        <v>0.23764705882352949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11306.00240832553</v>
      </c>
      <c r="C22" s="23">
        <f ca="1">C18*C20</f>
        <v>76.386554621848774</v>
      </c>
      <c r="D22" s="23">
        <f>D18*D20</f>
        <v>19989.833093213339</v>
      </c>
      <c r="E22" s="23">
        <f>E18*E20</f>
        <v>1763.568365608164</v>
      </c>
      <c r="F22" s="23">
        <f>F18*F20</f>
        <v>6862.0402746275204</v>
      </c>
      <c r="G22" s="23"/>
      <c r="H22" s="23"/>
      <c r="I22" s="23"/>
      <c r="J22" s="23">
        <f>J18*J20</f>
        <v>7.5205728523864677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756</v>
      </c>
    </row>
    <row r="29" spans="1:18">
      <c r="A29" s="171" t="s">
        <v>38</v>
      </c>
      <c r="B29" s="37">
        <f>IF( ISERROR(IND_nonf_ele_kWh/1000),0,IND_nonf_ele_kWh/1000)</f>
        <v>0</v>
      </c>
      <c r="C29" s="39">
        <f>IF(ISERROR(B29*3.6/1000000/'E Balans VL '!Z17*100),0,B29*3.6/1000000/'E Balans VL '!Z17*100)</f>
        <v>0</v>
      </c>
      <c r="D29" s="237" t="s">
        <v>756</v>
      </c>
    </row>
    <row r="30" spans="1:18">
      <c r="A30" s="171" t="s">
        <v>36</v>
      </c>
      <c r="B30" s="37">
        <f>IF( ISERROR(IND_metaal_ele_kWh/1000),0,IND_metaal_ele_kWh/1000)</f>
        <v>4045.4764449999998</v>
      </c>
      <c r="C30" s="39">
        <f>IF(ISERROR(B30*3.6/1000000/'E Balans VL '!Z18*100),0,B30*3.6/1000000/'E Balans VL '!Z18*100)</f>
        <v>0.22926752341821768</v>
      </c>
      <c r="D30" s="237" t="s">
        <v>756</v>
      </c>
    </row>
    <row r="31" spans="1:18">
      <c r="A31" s="6" t="s">
        <v>33</v>
      </c>
      <c r="B31" s="37">
        <f>IF( ISERROR(IND_ander_ele_kWh/1000),0,IND_ander_ele_kWh/1000)</f>
        <v>25075.994859999999</v>
      </c>
      <c r="C31" s="39">
        <f>IF(ISERROR(B31*3.6/1000000/'E Balans VL '!Z19*100),0,B31*3.6/1000000/'E Balans VL '!Z19*100)</f>
        <v>1.1373427122243076</v>
      </c>
      <c r="D31" s="237" t="s">
        <v>756</v>
      </c>
    </row>
    <row r="32" spans="1:18">
      <c r="A32" s="171" t="s">
        <v>41</v>
      </c>
      <c r="B32" s="37">
        <f>IF( ISERROR(IND_voed_ele_kWh/1000),0,IND_voed_ele_kWh/1000)</f>
        <v>11800.773463</v>
      </c>
      <c r="C32" s="39">
        <f>IF(ISERROR(B32*3.6/1000000/'E Balans VL '!Z20*100),0,B32*3.6/1000000/'E Balans VL '!Z20*100)</f>
        <v>0.36505149419881916</v>
      </c>
      <c r="D32" s="237" t="s">
        <v>756</v>
      </c>
    </row>
    <row r="33" spans="1:5">
      <c r="A33" s="171" t="s">
        <v>40</v>
      </c>
      <c r="B33" s="37">
        <f>IF( ISERROR(IND_textiel_ele_kWh/1000),0,IND_textiel_ele_kWh/1000)</f>
        <v>169.87354999999999</v>
      </c>
      <c r="C33" s="39">
        <f>IF(ISERROR(B33*3.6/1000000/'E Balans VL '!Z21*100),0,B33*3.6/1000000/'E Balans VL '!Z21*100)</f>
        <v>2.2149622679342274E-2</v>
      </c>
      <c r="D33" s="237" t="s">
        <v>756</v>
      </c>
    </row>
    <row r="34" spans="1:5">
      <c r="A34" s="171" t="s">
        <v>37</v>
      </c>
      <c r="B34" s="37">
        <f>IF( ISERROR(IND_min_ele_kWh/1000),0,IND_min_ele_kWh/1000)</f>
        <v>12602.013000000001</v>
      </c>
      <c r="C34" s="39">
        <f>IF(ISERROR(B34*3.6/1000000/'E Balans VL '!Z22*100),0,B34*3.6/1000000/'E Balans VL '!Z22*100)</f>
        <v>2.2667089604226014</v>
      </c>
      <c r="D34" s="237" t="s">
        <v>756</v>
      </c>
    </row>
    <row r="35" spans="1:5">
      <c r="A35" s="171" t="s">
        <v>39</v>
      </c>
      <c r="B35" s="37">
        <f>IF( ISERROR(IND_papier_ele_kWh/1000),0,IND_papier_ele_kWh/1000)</f>
        <v>1472.229</v>
      </c>
      <c r="C35" s="39">
        <f>IF(ISERROR(B35*3.6/1000000/'E Balans VL '!Z22*100),0,B35*3.6/1000000/'E Balans VL '!Z22*100)</f>
        <v>0.26480806408420671</v>
      </c>
      <c r="D35" s="237" t="s">
        <v>756</v>
      </c>
    </row>
    <row r="36" spans="1:5">
      <c r="A36" s="171" t="s">
        <v>34</v>
      </c>
      <c r="B36" s="37">
        <f>IF( ISERROR(IND_chemie_ele_kWh/1000),0,IND_chemie_ele_kWh/1000)</f>
        <v>1641.0039999999999</v>
      </c>
      <c r="C36" s="39">
        <f>IF(ISERROR(B36*3.6/1000000/'E Balans VL '!Z24*100),0,B36*3.6/1000000/'E Balans VL '!Z24*100)</f>
        <v>5.0040816784236886E-2</v>
      </c>
      <c r="D36" s="237" t="s">
        <v>756</v>
      </c>
    </row>
    <row r="37" spans="1:5">
      <c r="A37" s="171" t="s">
        <v>270</v>
      </c>
      <c r="B37" s="37">
        <f>IF( ISERROR(IND_rest_ele_kWh/1000),0,IND_rest_ele_kWh/1000)</f>
        <v>86.022000000000006</v>
      </c>
      <c r="C37" s="39">
        <f>IF(ISERROR(B37*3.6/1000000/'E Balans VL '!Z15*100),0,B37*3.6/1000000/'E Balans VL '!Z15*100)</f>
        <v>6.818299950633541E-4</v>
      </c>
      <c r="D37" s="237" t="s">
        <v>756</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1656.029706</v>
      </c>
      <c r="C5" s="17">
        <f>'Eigen informatie GS &amp; warmtenet'!B60</f>
        <v>0</v>
      </c>
      <c r="D5" s="30">
        <f>IF(ISERROR(SUM(LB_lb_gas_kWh,LB_rest_gas_kWh,onbekend_gas_kWh)/1000),0,SUM(LB_lb_gas_kWh,LB_rest_gas_kWh,onbekend_gas_kWh)/1000)*0.902</f>
        <v>20536.759363604</v>
      </c>
      <c r="E5" s="17">
        <f>B17*'E Balans VL '!I25/3.6*1000000/100</f>
        <v>48.675771157875445</v>
      </c>
      <c r="F5" s="17">
        <f>B17*('E Balans VL '!L25/3.6*1000000+'E Balans VL '!N25/3.6*1000000)/100</f>
        <v>6898.9302680476594</v>
      </c>
      <c r="G5" s="18"/>
      <c r="H5" s="17"/>
      <c r="I5" s="17"/>
      <c r="J5" s="17">
        <f>('E Balans VL '!D25+'E Balans VL '!E25)/3.6*1000000*landbouw!B17/100</f>
        <v>239.92314075437062</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1656.029706</v>
      </c>
      <c r="C8" s="21">
        <f>C5+C6</f>
        <v>0</v>
      </c>
      <c r="D8" s="21">
        <f>MAX((D5+D6),0)</f>
        <v>20536.759363604</v>
      </c>
      <c r="E8" s="21">
        <f>MAX((E5+E6),0)</f>
        <v>48.675771157875445</v>
      </c>
      <c r="F8" s="21">
        <f>MAX((F5+F6),0)</f>
        <v>6898.9302680476594</v>
      </c>
      <c r="G8" s="21"/>
      <c r="H8" s="21"/>
      <c r="I8" s="21"/>
      <c r="J8" s="21">
        <f>MAX((J5+J6),0)</f>
        <v>239.92314075437062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0.19793980777714332</v>
      </c>
      <c r="C10" s="31">
        <f ca="1">'EF ele_warmte'!B22</f>
        <v>0.23764705882352949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327.79420167887918</v>
      </c>
      <c r="C12" s="23">
        <f ca="1">C8*C10</f>
        <v>0</v>
      </c>
      <c r="D12" s="23">
        <f>D8*D10</f>
        <v>4148.4253914480087</v>
      </c>
      <c r="E12" s="23">
        <f>E8*E10</f>
        <v>11.049400052837726</v>
      </c>
      <c r="F12" s="23">
        <f>F8*F10</f>
        <v>1842.0143815687252</v>
      </c>
      <c r="G12" s="23"/>
      <c r="H12" s="23"/>
      <c r="I12" s="23"/>
      <c r="J12" s="23">
        <f>J8*J10</f>
        <v>84.932791827047197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0.23499581091615188</v>
      </c>
      <c r="C17" s="237" t="s">
        <v>753</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233.6980100908828</v>
      </c>
      <c r="C26" s="247">
        <f>B26*'GWP N2O_CH4'!B5</f>
        <v>4907.6582119085388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72.281136434199212</v>
      </c>
      <c r="C27" s="247">
        <f>B27*'GWP N2O_CH4'!B5</f>
        <v>1517.9038651181834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6.1500758746853457</v>
      </c>
      <c r="C28" s="247">
        <f>B28*'GWP N2O_CH4'!B4</f>
        <v>1906.5235211524571</v>
      </c>
      <c r="D28" s="50"/>
    </row>
    <row r="29" spans="1:4">
      <c r="A29" s="41" t="s">
        <v>277</v>
      </c>
      <c r="B29" s="247">
        <f>B34*'ha_N2O bodem landbouw'!B4</f>
        <v>20.173574249809942</v>
      </c>
      <c r="C29" s="247">
        <f>B29*'GWP N2O_CH4'!B4</f>
        <v>6253.8080174410816</v>
      </c>
      <c r="D29" s="50"/>
    </row>
    <row r="31" spans="1:4">
      <c r="A31" s="193" t="s">
        <v>495</v>
      </c>
      <c r="B31" s="203"/>
      <c r="C31" s="225"/>
    </row>
    <row r="32" spans="1:4">
      <c r="A32" s="236"/>
      <c r="B32" s="32"/>
      <c r="C32" s="237"/>
    </row>
    <row r="33" spans="1:5">
      <c r="A33" s="238"/>
      <c r="B33" s="224" t="s">
        <v>626</v>
      </c>
      <c r="C33" s="239" t="s">
        <v>182</v>
      </c>
    </row>
    <row r="34" spans="1:5">
      <c r="A34" s="257" t="s">
        <v>112</v>
      </c>
      <c r="B34" s="35">
        <f>IF(ISERROR(aantalCultuurgronden/'ha_N2O bodem landbouw'!B5),0,aantalCultuurgronden/'ha_N2O bodem landbouw'!B5)</f>
        <v>4.6035401225769674E-3</v>
      </c>
      <c r="C34" s="1014" t="s">
        <v>795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1.034022811267445E-3</v>
      </c>
      <c r="C5" s="463" t="s">
        <v>211</v>
      </c>
      <c r="D5" s="448">
        <f>SUM(D6:D11)</f>
        <v>3.5029786333108512E-3</v>
      </c>
      <c r="E5" s="448">
        <f>SUM(E6:E11)</f>
        <v>5.0553610284230907E-3</v>
      </c>
      <c r="F5" s="461" t="s">
        <v>211</v>
      </c>
      <c r="G5" s="448">
        <f>SUM(G6:G11)</f>
        <v>1.7206333652428372</v>
      </c>
      <c r="H5" s="448">
        <f>SUM(H6:H11)</f>
        <v>0.40087485737418943</v>
      </c>
      <c r="I5" s="463" t="s">
        <v>211</v>
      </c>
      <c r="J5" s="463" t="s">
        <v>211</v>
      </c>
      <c r="K5" s="463" t="s">
        <v>211</v>
      </c>
      <c r="L5" s="463" t="s">
        <v>211</v>
      </c>
      <c r="M5" s="448">
        <f>SUM(M6:M11)</f>
        <v>0.11242657885798425</v>
      </c>
      <c r="N5" s="463" t="s">
        <v>211</v>
      </c>
      <c r="O5" s="463" t="s">
        <v>211</v>
      </c>
      <c r="P5" s="464" t="s">
        <v>211</v>
      </c>
    </row>
    <row r="6" spans="1:18">
      <c r="A6" s="261" t="s">
        <v>660</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5.4731958920529143E-4</v>
      </c>
      <c r="C6" s="449"/>
      <c r="D6" s="962">
        <f>vkm_2011_GW_PW*SUMIFS(TableVerdeelsleutelVkm[CNG],TableVerdeelsleutelVkm[Voertuigtype],"Lichte voertuigen")*SUMIFS(TableECFTransport[EnergieConsumptieFactor (PJ per km)],TableECFTransport[Index],CONCATENATE($A6,"_CNG_CNG"))</f>
        <v>1.6416446347455064E-3</v>
      </c>
      <c r="E6" s="962">
        <f>vkm_2011_GW_PW*SUMIFS(TableVerdeelsleutelVkm[LPG],TableVerdeelsleutelVkm[Voertuigtype],"Lichte voertuigen")*SUMIFS(TableECFTransport[EnergieConsumptieFactor (PJ per km)],TableECFTransport[Index],CONCATENATE($A6,"_LPG_LPG"))</f>
        <v>2.2427223816928635E-3</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0.5798651999138853</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0.18668552937048655</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3.9419150130866429E-2</v>
      </c>
      <c r="N6" s="449"/>
      <c r="O6" s="449"/>
      <c r="P6" s="450"/>
    </row>
    <row r="7" spans="1:18">
      <c r="A7" s="261" t="s">
        <v>661</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0.25849134960523873</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7.8769131160610399E-5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1.5105376150246486E-2</v>
      </c>
      <c r="N7" s="449"/>
      <c r="O7" s="449"/>
      <c r="P7" s="450"/>
      <c r="R7" s="958"/>
    </row>
    <row r="8" spans="1:18">
      <c r="A8" s="261" t="s">
        <v>662</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1.5226198694846645E-4</v>
      </c>
      <c r="C8" s="449"/>
      <c r="D8" s="451">
        <f>vkm_2011_NGW_PW*SUMIFS(TableVerdeelsleutelVkm[CNG],TableVerdeelsleutelVkm[Voertuigtype],"Lichte voertuigen")*SUMIFS(TableECFTransport[EnergieConsumptieFactor (PJ per km)],TableECFTransport[Index],CONCATENATE($A8,"_CNG_CNG"))</f>
        <v>8.1201517429766031E-4</v>
      </c>
      <c r="E8" s="451">
        <f>vkm_2011_NGW_PW*SUMIFS(TableVerdeelsleutelVkm[LPG],TableVerdeelsleutelVkm[Voertuigtype],"Lichte voertuigen")*SUMIFS(TableECFTransport[EnergieConsumptieFactor (PJ per km)],TableECFTransport[Index],CONCATENATE($A8,"_LPG_LPG"))</f>
        <v>1.0273648749170635E-3</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0.24753855224961704</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8.9735448944958052E-2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1.7125561223115773E-2</v>
      </c>
      <c r="N8" s="449"/>
      <c r="O8" s="449"/>
      <c r="P8" s="450"/>
      <c r="R8" s="958"/>
    </row>
    <row r="9" spans="1:18">
      <c r="A9" s="261" t="s">
        <v>663</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5.3366602303778557E-3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1.5309466131324091E-6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3.1185387666683994E-4</v>
      </c>
      <c r="N9" s="449"/>
      <c r="O9" s="449"/>
      <c r="P9" s="450"/>
      <c r="R9" s="958"/>
    </row>
    <row r="10" spans="1:18">
      <c r="A10" s="261" t="s">
        <v>664</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3.3444123511368714E-4</v>
      </c>
      <c r="C10" s="449"/>
      <c r="D10" s="451">
        <f>vkm_2011_SW_PW*SUMIFS(TableVerdeelsleutelVkm[CNG],TableVerdeelsleutelVkm[Voertuigtype],"Lichte voertuigen")*SUMIFS(TableECFTransport[EnergieConsumptieFactor (PJ per km)],TableECFTransport[Index],CONCATENATE($A10,"_CNG_CNG"))</f>
        <v>1.0493188242676847E-3</v>
      </c>
      <c r="E10" s="451">
        <f>vkm_2011_SW_PW*SUMIFS(TableVerdeelsleutelVkm[LPG],TableVerdeelsleutelVkm[Voertuigtype],"Lichte voertuigen")*SUMIFS(TableECFTransport[EnergieConsumptieFactor (PJ per km)],TableECFTransport[Index],CONCATENATE($A10,"_LPG_LPG"))</f>
        <v>1.7852737718131639E-3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0.41150964929341172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0.12430187706486305</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2.7731597813302707E-2</v>
      </c>
      <c r="N10" s="449"/>
      <c r="O10" s="449"/>
      <c r="P10" s="450"/>
      <c r="R10" s="958"/>
    </row>
    <row r="11" spans="1:18">
      <c r="A11" s="4" t="s">
        <v>665</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0.21789195395030658</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7.1701916107983862E-5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1.2733039663786019E-2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287.22855868540142</v>
      </c>
      <c r="C14" s="21"/>
      <c r="D14" s="21">
        <f t="shared" ref="D14:M14" si="0">((D5)*10^9/3600)+D12</f>
        <v>973.0496203641253</v>
      </c>
      <c r="E14" s="21">
        <f t="shared" si="0"/>
        <v>1404.2669523397474</v>
      </c>
      <c r="F14" s="21"/>
      <c r="G14" s="21">
        <f t="shared" si="0"/>
        <v>477953.71256745479</v>
      </c>
      <c r="H14" s="21">
        <f t="shared" si="0"/>
        <v>111354.12704838596</v>
      </c>
      <c r="I14" s="21"/>
      <c r="J14" s="21"/>
      <c r="K14" s="21"/>
      <c r="L14" s="21"/>
      <c r="M14" s="21">
        <f t="shared" si="0"/>
        <v>31229.605238328961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0.19793980777714332</v>
      </c>
      <c r="C16" s="56">
        <f ca="1">'EF ele_warmte'!B22</f>
        <v>0.23764705882352949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56.853965694294288</v>
      </c>
      <c r="C18" s="23"/>
      <c r="D18" s="23">
        <f t="shared" ref="D18:M18" si="1">D14*D16</f>
        <v>196.55602331355331</v>
      </c>
      <c r="E18" s="23">
        <f t="shared" si="1"/>
        <v>318.76859818112268</v>
      </c>
      <c r="F18" s="23"/>
      <c r="G18" s="23">
        <f t="shared" si="1"/>
        <v>127613.64125551043</v>
      </c>
      <c r="H18" s="23">
        <f t="shared" si="1"/>
        <v>27727.177635048101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666</v>
      </c>
      <c r="D23" s="999" t="s">
        <v>667</v>
      </c>
      <c r="E23" s="999" t="s">
        <v>668</v>
      </c>
      <c r="F23" s="999" t="s">
        <v>650</v>
      </c>
      <c r="G23" s="999" t="s">
        <v>669</v>
      </c>
      <c r="H23" s="999" t="s">
        <v>670</v>
      </c>
      <c r="I23" s="999" t="s">
        <v>119</v>
      </c>
      <c r="J23" s="999" t="s">
        <v>671</v>
      </c>
      <c r="K23" s="999" t="s">
        <v>672</v>
      </c>
      <c r="L23" s="1000" t="s">
        <v>673</v>
      </c>
      <c r="M23" s="129" t="s">
        <v>182</v>
      </c>
      <c r="N23" s="268" t="s">
        <v>316</v>
      </c>
    </row>
    <row r="24" spans="1:18">
      <c r="A24" s="32" t="s">
        <v>658</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761</v>
      </c>
      <c r="N24" s="961">
        <f>SUM(B24:K24)</f>
        <v>1.0016661787394054</v>
      </c>
      <c r="O24" s="958" t="s">
        <v>651</v>
      </c>
    </row>
    <row r="25" spans="1:18">
      <c r="A25" s="32" t="s">
        <v>659</v>
      </c>
      <c r="B25" s="960" t="s">
        <v>680</v>
      </c>
      <c r="C25" s="986">
        <v>0.99953633237026762</v>
      </c>
      <c r="D25" s="960"/>
      <c r="E25" s="960"/>
      <c r="F25" s="986" t="s">
        <v>680</v>
      </c>
      <c r="G25" s="960" t="s">
        <v>680</v>
      </c>
      <c r="H25" s="960"/>
      <c r="I25" s="960" t="s">
        <v>680</v>
      </c>
      <c r="J25" s="960">
        <v>4.6366762973236767E-4</v>
      </c>
      <c r="K25" s="960" t="s">
        <v>680</v>
      </c>
      <c r="M25" s="269" t="s">
        <v>761</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708</v>
      </c>
      <c r="F31" s="53"/>
      <c r="G31" s="43"/>
      <c r="H31" s="43"/>
      <c r="I31" s="43"/>
      <c r="J31" s="43"/>
      <c r="K31" s="43"/>
      <c r="L31" s="174"/>
    </row>
    <row r="32" spans="1:18">
      <c r="A32" s="278" t="s">
        <v>321</v>
      </c>
      <c r="B32" s="279"/>
      <c r="C32" s="280"/>
      <c r="D32" s="279">
        <v>3.73E-2</v>
      </c>
      <c r="E32" s="997" t="s">
        <v>708</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762</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708</v>
      </c>
      <c r="F38" s="282"/>
      <c r="G38" s="58"/>
      <c r="H38" s="58"/>
      <c r="I38" s="58"/>
      <c r="J38" s="58"/>
      <c r="K38" s="58"/>
      <c r="L38" s="284"/>
    </row>
    <row r="39" spans="1:16">
      <c r="A39" s="278" t="s">
        <v>326</v>
      </c>
      <c r="B39" s="279"/>
      <c r="C39" s="280"/>
      <c r="D39" s="279">
        <v>2.8799999999999999E-2</v>
      </c>
      <c r="E39" s="997" t="s">
        <v>708</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762</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5.8473423189598292E-2</v>
      </c>
      <c r="H50" s="321">
        <f t="shared" si="2"/>
        <v>0</v>
      </c>
      <c r="I50" s="321">
        <f t="shared" si="2"/>
        <v>0</v>
      </c>
      <c r="J50" s="321">
        <f t="shared" si="2"/>
        <v>0</v>
      </c>
      <c r="K50" s="321">
        <f t="shared" si="2"/>
        <v>0</v>
      </c>
      <c r="L50" s="321">
        <f t="shared" si="2"/>
        <v>0</v>
      </c>
      <c r="M50" s="321">
        <f t="shared" si="2"/>
        <v>3.3210323017760454E-3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5.8473423189598292E-2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3.3210323017760454E-3</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16242.617552666192</v>
      </c>
      <c r="H54" s="21">
        <f t="shared" si="3"/>
        <v>0</v>
      </c>
      <c r="I54" s="21">
        <f t="shared" si="3"/>
        <v>0</v>
      </c>
      <c r="J54" s="21">
        <f t="shared" si="3"/>
        <v>0</v>
      </c>
      <c r="K54" s="21">
        <f t="shared" si="3"/>
        <v>0</v>
      </c>
      <c r="L54" s="21">
        <f t="shared" si="3"/>
        <v>0</v>
      </c>
      <c r="M54" s="21">
        <f t="shared" si="3"/>
        <v>922.50897271556823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0.19793980777714332</v>
      </c>
      <c r="C56" s="56">
        <f ca="1">'EF ele_warmte'!B22</f>
        <v>0.23764705882352949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4336.7788865618732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763</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562</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3"/>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14812.240500484781</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25134.476333820199</v>
      </c>
      <c r="C6" s="1263"/>
      <c r="D6" s="1248"/>
      <c r="E6" s="1248"/>
      <c r="F6" s="1266"/>
      <c r="G6" s="1269"/>
      <c r="H6" s="1260"/>
      <c r="I6" s="1248"/>
      <c r="J6" s="1248"/>
      <c r="K6" s="1248"/>
      <c r="L6" s="1252"/>
      <c r="M6" s="575"/>
      <c r="N6" s="1226"/>
      <c r="O6" s="1227"/>
      <c r="Q6" s="573"/>
      <c r="R6" s="1214"/>
      <c r="S6" s="1214"/>
    </row>
    <row r="7" spans="1:19" s="563" customFormat="1">
      <c r="A7" s="576" t="s">
        <v>252</v>
      </c>
      <c r="B7" s="577">
        <f>N57</f>
        <v>2282.4</v>
      </c>
      <c r="C7" s="578">
        <f>B100</f>
        <v>2685.1764705882356</v>
      </c>
      <c r="D7" s="579"/>
      <c r="E7" s="579">
        <f>E100</f>
        <v>0</v>
      </c>
      <c r="F7" s="580"/>
      <c r="G7" s="581"/>
      <c r="H7" s="579">
        <f>I100</f>
        <v>0</v>
      </c>
      <c r="I7" s="579">
        <f>G100+F100</f>
        <v>0</v>
      </c>
      <c r="J7" s="579">
        <f>H100+D100+C100</f>
        <v>0</v>
      </c>
      <c r="K7" s="579"/>
      <c r="L7" s="582"/>
      <c r="M7" s="583">
        <f>C7*$C$11+D7*$D$11+E7*$E$11+F7*$F$11+G7*$G$11+H7*$H$11+I7*$I$11+J7*$J$11</f>
        <v>542.40564705882366</v>
      </c>
      <c r="N7" s="1226"/>
      <c r="O7" s="1227"/>
      <c r="Q7" s="573"/>
      <c r="R7" s="1214"/>
      <c r="S7" s="1214"/>
    </row>
    <row r="8" spans="1:19" s="563" customFormat="1" ht="17.45" customHeight="1" thickBot="1">
      <c r="A8" s="584" t="s">
        <v>248</v>
      </c>
      <c r="B8" s="585">
        <f>N88+'Eigen informatie GS &amp; warmtenet'!B12</f>
        <v>1237.5</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3535.7142857142858</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43466.616834304979</v>
      </c>
      <c r="C9" s="594">
        <f t="shared" ref="C9:L9" si="0">SUM(C7:C8)</f>
        <v>2685.1764705882356</v>
      </c>
      <c r="D9" s="594">
        <f t="shared" si="0"/>
        <v>0</v>
      </c>
      <c r="E9" s="594">
        <f t="shared" si="0"/>
        <v>0</v>
      </c>
      <c r="F9" s="594">
        <f t="shared" si="0"/>
        <v>0</v>
      </c>
      <c r="G9" s="594">
        <f t="shared" si="0"/>
        <v>0</v>
      </c>
      <c r="H9" s="594">
        <f t="shared" si="0"/>
        <v>0</v>
      </c>
      <c r="I9" s="594">
        <f t="shared" si="0"/>
        <v>0</v>
      </c>
      <c r="J9" s="594">
        <f t="shared" si="0"/>
        <v>3535.7142857142858</v>
      </c>
      <c r="K9" s="594">
        <f t="shared" si="0"/>
        <v>0</v>
      </c>
      <c r="L9" s="594">
        <f t="shared" si="0"/>
        <v>0</v>
      </c>
      <c r="M9" s="595">
        <f>SUM(M4:M8)</f>
        <v>542.40564705882366</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3260.5714285714289</v>
      </c>
      <c r="C16" s="610">
        <f>B101</f>
        <v>3835.9663865546231</v>
      </c>
      <c r="D16" s="611"/>
      <c r="E16" s="611">
        <f>E101</f>
        <v>0</v>
      </c>
      <c r="F16" s="612"/>
      <c r="G16" s="613"/>
      <c r="H16" s="610">
        <f>I101</f>
        <v>0</v>
      </c>
      <c r="I16" s="611">
        <f>G101+F101</f>
        <v>0</v>
      </c>
      <c r="J16" s="611">
        <f>H101+D101+C101</f>
        <v>0</v>
      </c>
      <c r="K16" s="611"/>
      <c r="L16" s="614"/>
      <c r="M16" s="615">
        <f>C16*$C$21+E16*$E$21+H16*$H$21+I16*$I$21+J16*$J$21+D16*$D$21+F16*$F$21+G16*$G$21+K16*$K$21+L16*$L$21</f>
        <v>774.86521008403395</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3260.5714285714289</v>
      </c>
      <c r="C19" s="593">
        <f>SUM(C16:C18)</f>
        <v>3835.9663865546231</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774.86521008403395</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38.25">
      <c r="A27" s="624"/>
      <c r="B27" s="851">
        <v>71022</v>
      </c>
      <c r="C27" s="851">
        <v>3500</v>
      </c>
      <c r="D27" s="672" t="s">
        <v>844</v>
      </c>
      <c r="E27" s="671" t="s">
        <v>845</v>
      </c>
      <c r="F27" s="671" t="s">
        <v>846</v>
      </c>
      <c r="G27" s="671" t="s">
        <v>847</v>
      </c>
      <c r="H27" s="671" t="s">
        <v>848</v>
      </c>
      <c r="I27" s="671" t="s">
        <v>845</v>
      </c>
      <c r="J27" s="850">
        <v>39365</v>
      </c>
      <c r="K27" s="850">
        <v>39471</v>
      </c>
      <c r="L27" s="671" t="s">
        <v>849</v>
      </c>
      <c r="M27" s="671">
        <v>220</v>
      </c>
      <c r="N27" s="671">
        <v>990</v>
      </c>
      <c r="O27" s="671">
        <v>1414.2857142857142</v>
      </c>
      <c r="P27" s="671">
        <v>2828.5714285714289</v>
      </c>
      <c r="Q27" s="671">
        <v>0</v>
      </c>
      <c r="R27" s="671">
        <v>0</v>
      </c>
      <c r="S27" s="671">
        <v>0</v>
      </c>
      <c r="T27" s="671">
        <v>0</v>
      </c>
      <c r="U27" s="671">
        <v>0</v>
      </c>
      <c r="V27" s="671">
        <v>0</v>
      </c>
      <c r="W27" s="671">
        <v>0</v>
      </c>
      <c r="X27" s="671">
        <v>1500</v>
      </c>
      <c r="Y27" s="671" t="s">
        <v>51</v>
      </c>
      <c r="Z27" s="673" t="s">
        <v>156</v>
      </c>
    </row>
    <row r="28" spans="1:26" s="625" customFormat="1" ht="63.75">
      <c r="A28" s="624"/>
      <c r="B28" s="851">
        <v>71022</v>
      </c>
      <c r="C28" s="851">
        <v>3500</v>
      </c>
      <c r="D28" s="672" t="s">
        <v>850</v>
      </c>
      <c r="E28" s="671" t="s">
        <v>851</v>
      </c>
      <c r="F28" s="671" t="s">
        <v>852</v>
      </c>
      <c r="G28" s="671" t="s">
        <v>847</v>
      </c>
      <c r="H28" s="671" t="s">
        <v>848</v>
      </c>
      <c r="I28" s="671" t="s">
        <v>851</v>
      </c>
      <c r="J28" s="850">
        <v>39310</v>
      </c>
      <c r="K28" s="850">
        <v>39508</v>
      </c>
      <c r="L28" s="671" t="s">
        <v>849</v>
      </c>
      <c r="M28" s="671">
        <v>4.7</v>
      </c>
      <c r="N28" s="671">
        <v>21.150000000000002</v>
      </c>
      <c r="O28" s="671">
        <v>30.214285714285719</v>
      </c>
      <c r="P28" s="671">
        <v>60.428571428571438</v>
      </c>
      <c r="Q28" s="671">
        <v>0</v>
      </c>
      <c r="R28" s="671">
        <v>0</v>
      </c>
      <c r="S28" s="671">
        <v>0</v>
      </c>
      <c r="T28" s="671">
        <v>0</v>
      </c>
      <c r="U28" s="671">
        <v>0</v>
      </c>
      <c r="V28" s="671">
        <v>0</v>
      </c>
      <c r="W28" s="671">
        <v>0</v>
      </c>
      <c r="X28" s="671">
        <v>1600</v>
      </c>
      <c r="Y28" s="671" t="s">
        <v>50</v>
      </c>
      <c r="Z28" s="673" t="s">
        <v>156</v>
      </c>
    </row>
    <row r="29" spans="1:26" s="625" customFormat="1" ht="38.25">
      <c r="A29" s="624"/>
      <c r="B29" s="851">
        <v>71022</v>
      </c>
      <c r="C29" s="851">
        <v>3511</v>
      </c>
      <c r="D29" s="672" t="s">
        <v>853</v>
      </c>
      <c r="E29" s="671" t="s">
        <v>854</v>
      </c>
      <c r="F29" s="671" t="s">
        <v>855</v>
      </c>
      <c r="G29" s="671" t="s">
        <v>847</v>
      </c>
      <c r="H29" s="671" t="s">
        <v>848</v>
      </c>
      <c r="I29" s="671" t="s">
        <v>854</v>
      </c>
      <c r="J29" s="850">
        <v>40424</v>
      </c>
      <c r="K29" s="850">
        <v>40725</v>
      </c>
      <c r="L29" s="671" t="s">
        <v>849</v>
      </c>
      <c r="M29" s="671">
        <v>50</v>
      </c>
      <c r="N29" s="671">
        <v>225</v>
      </c>
      <c r="O29" s="671">
        <v>321.42857142857144</v>
      </c>
      <c r="P29" s="671">
        <v>642.85714285714289</v>
      </c>
      <c r="Q29" s="671">
        <v>0</v>
      </c>
      <c r="R29" s="671">
        <v>0</v>
      </c>
      <c r="S29" s="671">
        <v>0</v>
      </c>
      <c r="T29" s="671">
        <v>0</v>
      </c>
      <c r="U29" s="671">
        <v>0</v>
      </c>
      <c r="V29" s="671">
        <v>0</v>
      </c>
      <c r="W29" s="671">
        <v>0</v>
      </c>
      <c r="X29" s="671">
        <v>800</v>
      </c>
      <c r="Y29" s="671" t="s">
        <v>36</v>
      </c>
      <c r="Z29" s="673" t="s">
        <v>389</v>
      </c>
    </row>
    <row r="30" spans="1:26" s="625" customFormat="1" ht="38.25">
      <c r="A30" s="624"/>
      <c r="B30" s="851">
        <v>71022</v>
      </c>
      <c r="C30" s="851">
        <v>3500</v>
      </c>
      <c r="D30" s="672" t="s">
        <v>856</v>
      </c>
      <c r="E30" s="671" t="s">
        <v>857</v>
      </c>
      <c r="F30" s="671" t="s">
        <v>858</v>
      </c>
      <c r="G30" s="671" t="s">
        <v>847</v>
      </c>
      <c r="H30" s="671" t="s">
        <v>848</v>
      </c>
      <c r="I30" s="671" t="s">
        <v>857</v>
      </c>
      <c r="J30" s="850">
        <v>40904</v>
      </c>
      <c r="K30" s="850">
        <v>40904</v>
      </c>
      <c r="L30" s="671" t="s">
        <v>849</v>
      </c>
      <c r="M30" s="671">
        <v>220</v>
      </c>
      <c r="N30" s="671">
        <v>990</v>
      </c>
      <c r="O30" s="671">
        <v>1414.2857142857142</v>
      </c>
      <c r="P30" s="671">
        <v>2828.5714285714289</v>
      </c>
      <c r="Q30" s="671">
        <v>0</v>
      </c>
      <c r="R30" s="671">
        <v>0</v>
      </c>
      <c r="S30" s="671">
        <v>0</v>
      </c>
      <c r="T30" s="671">
        <v>0</v>
      </c>
      <c r="U30" s="671">
        <v>0</v>
      </c>
      <c r="V30" s="671">
        <v>0</v>
      </c>
      <c r="W30" s="671">
        <v>0</v>
      </c>
      <c r="X30" s="671">
        <v>1500</v>
      </c>
      <c r="Y30" s="671" t="s">
        <v>51</v>
      </c>
      <c r="Z30" s="673" t="s">
        <v>156</v>
      </c>
    </row>
    <row r="31" spans="1:26" s="625" customFormat="1" ht="25.5">
      <c r="A31" s="624"/>
      <c r="B31" s="851">
        <v>71022</v>
      </c>
      <c r="C31" s="851">
        <v>3511</v>
      </c>
      <c r="D31" s="672" t="s">
        <v>859</v>
      </c>
      <c r="E31" s="671" t="s">
        <v>860</v>
      </c>
      <c r="F31" s="671" t="s">
        <v>861</v>
      </c>
      <c r="G31" s="671" t="s">
        <v>847</v>
      </c>
      <c r="H31" s="671" t="s">
        <v>848</v>
      </c>
      <c r="I31" s="671" t="s">
        <v>862</v>
      </c>
      <c r="J31" s="850">
        <v>41907</v>
      </c>
      <c r="K31" s="850">
        <v>41907</v>
      </c>
      <c r="L31" s="671" t="s">
        <v>849</v>
      </c>
      <c r="M31" s="671">
        <v>5</v>
      </c>
      <c r="N31" s="671">
        <v>22.5</v>
      </c>
      <c r="O31" s="671">
        <v>32.142857142857146</v>
      </c>
      <c r="P31" s="671">
        <v>64.285714285714292</v>
      </c>
      <c r="Q31" s="671">
        <v>0</v>
      </c>
      <c r="R31" s="671">
        <v>0</v>
      </c>
      <c r="S31" s="671">
        <v>0</v>
      </c>
      <c r="T31" s="671">
        <v>0</v>
      </c>
      <c r="U31" s="671">
        <v>0</v>
      </c>
      <c r="V31" s="671">
        <v>0</v>
      </c>
      <c r="W31" s="671">
        <v>0</v>
      </c>
      <c r="X31" s="671">
        <v>1300</v>
      </c>
      <c r="Y31" s="671" t="s">
        <v>54</v>
      </c>
      <c r="Z31" s="673" t="s">
        <v>156</v>
      </c>
    </row>
    <row r="32" spans="1:26" s="625" customFormat="1" ht="25.5">
      <c r="A32" s="624"/>
      <c r="B32" s="851">
        <v>71022</v>
      </c>
      <c r="C32" s="851">
        <v>3500</v>
      </c>
      <c r="D32" s="672"/>
      <c r="E32" s="671"/>
      <c r="F32" s="671" t="s">
        <v>863</v>
      </c>
      <c r="G32" s="671" t="s">
        <v>847</v>
      </c>
      <c r="H32" s="671" t="s">
        <v>848</v>
      </c>
      <c r="I32" s="671" t="s">
        <v>864</v>
      </c>
      <c r="J32" s="850">
        <v>41879</v>
      </c>
      <c r="K32" s="850">
        <v>42423</v>
      </c>
      <c r="L32" s="671" t="s">
        <v>849</v>
      </c>
      <c r="M32" s="671">
        <v>9</v>
      </c>
      <c r="N32" s="671">
        <v>33.75</v>
      </c>
      <c r="O32" s="671">
        <v>48.214285714285715</v>
      </c>
      <c r="P32" s="671">
        <v>96.428571428571431</v>
      </c>
      <c r="Q32" s="671">
        <v>0</v>
      </c>
      <c r="R32" s="671">
        <v>0</v>
      </c>
      <c r="S32" s="671">
        <v>0</v>
      </c>
      <c r="T32" s="671">
        <v>0</v>
      </c>
      <c r="U32" s="671">
        <v>0</v>
      </c>
      <c r="V32" s="671">
        <v>0</v>
      </c>
      <c r="W32" s="671">
        <v>0</v>
      </c>
      <c r="X32" s="671">
        <v>1100</v>
      </c>
      <c r="Y32" s="671" t="s">
        <v>52</v>
      </c>
      <c r="Z32" s="673" t="s">
        <v>156</v>
      </c>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508.7</v>
      </c>
      <c r="N57" s="629">
        <f>SUM(N27:N56)</f>
        <v>2282.4</v>
      </c>
      <c r="O57" s="629">
        <f t="shared" ref="O57:W57" si="2">SUM(O27:O56)</f>
        <v>3260.5714285714289</v>
      </c>
      <c r="P57" s="629">
        <f t="shared" si="2"/>
        <v>6521.1428571428587</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50</v>
      </c>
      <c r="N58" s="629">
        <f t="shared" ref="N58:W58" si="3">SUMIF($Z$27:$Z$56,"industrie",N27:N56)</f>
        <v>225</v>
      </c>
      <c r="O58" s="629">
        <f t="shared" si="3"/>
        <v>321.42857142857144</v>
      </c>
      <c r="P58" s="629">
        <f t="shared" si="3"/>
        <v>642.85714285714289</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458.7</v>
      </c>
      <c r="N59" s="629">
        <f ca="1">SUMIF($Z$27:AB56,"tertiair",N27:N56)</f>
        <v>2057.4</v>
      </c>
      <c r="O59" s="629">
        <f ca="1">SUMIF($Z$27:AC56,"tertiair",O27:O56)</f>
        <v>2939.1428571428573</v>
      </c>
      <c r="P59" s="629">
        <f ca="1">SUMIF($Z$27:AD56,"tertiair",P27:P56)</f>
        <v>5878.2857142857156</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63.75">
      <c r="A63" s="626"/>
      <c r="B63" s="851">
        <v>71022</v>
      </c>
      <c r="C63" s="851">
        <v>3511</v>
      </c>
      <c r="D63" s="674" t="s">
        <v>865</v>
      </c>
      <c r="E63" s="674" t="s">
        <v>866</v>
      </c>
      <c r="F63" s="674" t="s">
        <v>867</v>
      </c>
      <c r="G63" s="674" t="s">
        <v>868</v>
      </c>
      <c r="H63" s="674" t="s">
        <v>869</v>
      </c>
      <c r="I63" s="674" t="s">
        <v>870</v>
      </c>
      <c r="J63" s="850">
        <v>32143</v>
      </c>
      <c r="K63" s="850">
        <v>37316</v>
      </c>
      <c r="L63" s="674" t="s">
        <v>849</v>
      </c>
      <c r="M63" s="674">
        <v>275</v>
      </c>
      <c r="N63" s="674">
        <v>1237.5</v>
      </c>
      <c r="O63" s="674">
        <v>0</v>
      </c>
      <c r="P63" s="674">
        <v>0</v>
      </c>
      <c r="Q63" s="674">
        <v>3535.7142857142858</v>
      </c>
      <c r="R63" s="674">
        <v>0</v>
      </c>
      <c r="S63" s="674">
        <v>0</v>
      </c>
      <c r="T63" s="674">
        <v>0</v>
      </c>
      <c r="U63" s="674">
        <v>0</v>
      </c>
      <c r="V63" s="674">
        <v>0</v>
      </c>
      <c r="W63" s="674">
        <v>0</v>
      </c>
      <c r="X63" s="674">
        <v>1600</v>
      </c>
      <c r="Y63" s="674" t="s">
        <v>50</v>
      </c>
      <c r="Z63" s="675" t="s">
        <v>156</v>
      </c>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275</v>
      </c>
      <c r="N88" s="629">
        <f t="shared" ref="N88:W88" si="5">SUM(N63:N87)</f>
        <v>1237.5</v>
      </c>
      <c r="O88" s="629">
        <f t="shared" si="5"/>
        <v>0</v>
      </c>
      <c r="P88" s="629">
        <f t="shared" si="5"/>
        <v>0</v>
      </c>
      <c r="Q88" s="629">
        <f t="shared" si="5"/>
        <v>3535.7142857142858</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275</v>
      </c>
      <c r="N90" s="629">
        <f t="shared" ref="N90:W90" si="7">SUMIF($Z$63:$Z$88,"tertiair",N63:N88)</f>
        <v>1237.5</v>
      </c>
      <c r="O90" s="629">
        <f t="shared" si="7"/>
        <v>0</v>
      </c>
      <c r="P90" s="629">
        <f t="shared" si="7"/>
        <v>0</v>
      </c>
      <c r="Q90" s="629">
        <f t="shared" si="7"/>
        <v>3535.7142857142858</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2685.1764705882356</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3835.9663865546231</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772</v>
      </c>
      <c r="B2" s="1004" t="s">
        <v>752</v>
      </c>
      <c r="C2" s="373" t="s">
        <v>193</v>
      </c>
      <c r="D2" s="373" t="s">
        <v>701</v>
      </c>
      <c r="E2" s="374"/>
      <c r="F2" s="969" t="s">
        <v>706</v>
      </c>
      <c r="G2" s="969" t="s">
        <v>705</v>
      </c>
      <c r="H2" s="969" t="s">
        <v>707</v>
      </c>
    </row>
    <row r="3" spans="1:8" s="11" customFormat="1">
      <c r="A3" s="373" t="s">
        <v>708</v>
      </c>
      <c r="B3" s="1004" t="s">
        <v>711</v>
      </c>
      <c r="C3" s="373" t="s">
        <v>710</v>
      </c>
      <c r="D3" s="373" t="s">
        <v>712</v>
      </c>
      <c r="E3" s="374"/>
      <c r="F3" s="371" t="s">
        <v>715</v>
      </c>
      <c r="G3" s="371" t="s">
        <v>723</v>
      </c>
      <c r="H3" s="372" t="s">
        <v>724</v>
      </c>
    </row>
    <row r="4" spans="1:8" s="11" customFormat="1">
      <c r="A4" s="373" t="s">
        <v>681</v>
      </c>
      <c r="B4" s="1004" t="s">
        <v>682</v>
      </c>
      <c r="C4" s="373" t="s">
        <v>193</v>
      </c>
      <c r="D4" s="1005" t="s">
        <v>709</v>
      </c>
      <c r="E4" s="374"/>
      <c r="F4" s="969" t="s">
        <v>706</v>
      </c>
      <c r="G4" s="969" t="s">
        <v>705</v>
      </c>
      <c r="H4" s="969" t="s">
        <v>707</v>
      </c>
    </row>
    <row r="5" spans="1:8" s="11" customFormat="1">
      <c r="A5" s="373" t="s">
        <v>405</v>
      </c>
      <c r="B5" s="859" t="s">
        <v>759</v>
      </c>
      <c r="C5" s="373" t="s">
        <v>405</v>
      </c>
      <c r="D5" s="373" t="s">
        <v>718</v>
      </c>
      <c r="E5" s="374"/>
      <c r="F5" s="969" t="s">
        <v>702</v>
      </c>
      <c r="G5" s="969" t="s">
        <v>703</v>
      </c>
      <c r="H5" s="969" t="s">
        <v>704</v>
      </c>
    </row>
    <row r="6" spans="1:8">
      <c r="A6" s="368" t="s">
        <v>399</v>
      </c>
      <c r="B6" s="965" t="s">
        <v>740</v>
      </c>
      <c r="C6" s="368" t="s">
        <v>399</v>
      </c>
      <c r="D6" s="368" t="s">
        <v>719</v>
      </c>
      <c r="E6" s="370"/>
      <c r="F6" s="371" t="s">
        <v>400</v>
      </c>
      <c r="G6" s="371" t="s">
        <v>401</v>
      </c>
      <c r="H6" s="372" t="s">
        <v>402</v>
      </c>
    </row>
    <row r="7" spans="1:8">
      <c r="A7" s="368" t="s">
        <v>403</v>
      </c>
      <c r="B7" s="965" t="s">
        <v>774</v>
      </c>
      <c r="C7" s="368" t="s">
        <v>403</v>
      </c>
      <c r="D7" s="368" t="s">
        <v>720</v>
      </c>
      <c r="E7" s="370"/>
      <c r="F7" s="371" t="s">
        <v>687</v>
      </c>
      <c r="G7" s="371" t="s">
        <v>689</v>
      </c>
      <c r="H7" s="372" t="s">
        <v>688</v>
      </c>
    </row>
    <row r="8" spans="1:8">
      <c r="A8" s="373" t="s">
        <v>429</v>
      </c>
      <c r="B8" s="376" t="s">
        <v>430</v>
      </c>
      <c r="C8" s="373" t="s">
        <v>432</v>
      </c>
      <c r="D8" s="373" t="s">
        <v>428</v>
      </c>
      <c r="E8" s="370" t="s">
        <v>431</v>
      </c>
      <c r="F8" s="371"/>
      <c r="G8" s="371"/>
      <c r="H8" s="372"/>
    </row>
    <row r="9" spans="1:8" s="958" customFormat="1">
      <c r="A9" s="373" t="s">
        <v>713</v>
      </c>
      <c r="B9" s="859">
        <v>2016</v>
      </c>
      <c r="C9" s="373" t="s">
        <v>405</v>
      </c>
      <c r="D9" s="373" t="s">
        <v>721</v>
      </c>
      <c r="E9" s="370" t="s">
        <v>714</v>
      </c>
      <c r="F9" s="371"/>
      <c r="G9" s="371"/>
      <c r="H9" s="372"/>
    </row>
    <row r="10" spans="1:8" s="958" customFormat="1">
      <c r="A10" s="373" t="s">
        <v>727</v>
      </c>
      <c r="B10" s="859">
        <v>2017</v>
      </c>
      <c r="C10" s="373" t="s">
        <v>729</v>
      </c>
      <c r="D10" s="373" t="s">
        <v>728</v>
      </c>
      <c r="E10" s="375" t="s">
        <v>726</v>
      </c>
      <c r="F10" s="371"/>
      <c r="G10" s="371"/>
      <c r="H10" s="372"/>
    </row>
    <row r="11" spans="1:8" s="11" customFormat="1">
      <c r="A11" s="373" t="s">
        <v>629</v>
      </c>
      <c r="B11" s="1004" t="s">
        <v>757</v>
      </c>
      <c r="C11" s="373" t="s">
        <v>630</v>
      </c>
      <c r="D11" s="373" t="s">
        <v>631</v>
      </c>
      <c r="E11" s="374"/>
      <c r="F11" s="969" t="s">
        <v>690</v>
      </c>
      <c r="G11" s="969" t="s">
        <v>691</v>
      </c>
      <c r="H11" s="372" t="s">
        <v>692</v>
      </c>
    </row>
    <row r="12" spans="1:8">
      <c r="A12" s="368" t="s">
        <v>695</v>
      </c>
      <c r="B12" s="965" t="s">
        <v>773</v>
      </c>
      <c r="C12" s="368" t="s">
        <v>696</v>
      </c>
      <c r="D12" s="368" t="s">
        <v>722</v>
      </c>
      <c r="E12" s="717"/>
      <c r="F12" s="371" t="s">
        <v>699</v>
      </c>
      <c r="G12" s="371" t="s">
        <v>697</v>
      </c>
      <c r="H12" s="372" t="s">
        <v>698</v>
      </c>
    </row>
    <row r="13" spans="1:8" s="958" customFormat="1">
      <c r="A13" s="373" t="s">
        <v>717</v>
      </c>
      <c r="B13" s="859">
        <v>2017</v>
      </c>
      <c r="C13" s="373" t="s">
        <v>423</v>
      </c>
      <c r="D13" s="373" t="s">
        <v>716</v>
      </c>
      <c r="E13" s="370"/>
      <c r="F13" s="371" t="s">
        <v>715</v>
      </c>
      <c r="G13" s="371" t="s">
        <v>723</v>
      </c>
      <c r="H13" s="372" t="s">
        <v>724</v>
      </c>
    </row>
    <row r="14" spans="1:8" s="10" customFormat="1">
      <c r="A14" s="373" t="s">
        <v>407</v>
      </c>
      <c r="B14" s="369" t="s">
        <v>422</v>
      </c>
      <c r="C14" s="368"/>
      <c r="D14" s="377" t="s">
        <v>421</v>
      </c>
      <c r="E14" s="370"/>
      <c r="F14" s="371"/>
      <c r="G14" s="371"/>
      <c r="H14" s="372"/>
    </row>
    <row r="15" spans="1:8">
      <c r="A15" s="368" t="s">
        <v>395</v>
      </c>
      <c r="B15" s="369" t="s">
        <v>740</v>
      </c>
      <c r="C15" s="368" t="s">
        <v>683</v>
      </c>
      <c r="D15" s="368" t="s">
        <v>741</v>
      </c>
      <c r="E15" s="375" t="s">
        <v>396</v>
      </c>
      <c r="F15" s="371" t="s">
        <v>397</v>
      </c>
      <c r="G15" s="371" t="s">
        <v>791</v>
      </c>
      <c r="H15" s="371" t="s">
        <v>398</v>
      </c>
    </row>
    <row r="16" spans="1:8">
      <c r="A16" s="368" t="s">
        <v>406</v>
      </c>
      <c r="B16" s="965" t="s">
        <v>700</v>
      </c>
      <c r="C16" s="368" t="s">
        <v>406</v>
      </c>
      <c r="D16" s="368" t="s">
        <v>420</v>
      </c>
      <c r="E16" s="370"/>
      <c r="F16" s="371" t="s">
        <v>781</v>
      </c>
      <c r="G16" s="975" t="s">
        <v>790</v>
      </c>
      <c r="H16" s="975" t="s">
        <v>789</v>
      </c>
    </row>
    <row r="17" spans="1:8" s="966" customFormat="1">
      <c r="A17" s="971" t="s">
        <v>506</v>
      </c>
      <c r="B17" s="972" t="s">
        <v>380</v>
      </c>
      <c r="C17" s="971" t="s">
        <v>378</v>
      </c>
      <c r="D17" s="973" t="s">
        <v>379</v>
      </c>
      <c r="E17" s="974" t="s">
        <v>381</v>
      </c>
      <c r="F17" s="371" t="s">
        <v>685</v>
      </c>
      <c r="G17" s="975" t="s">
        <v>693</v>
      </c>
      <c r="H17" s="372" t="s">
        <v>694</v>
      </c>
    </row>
    <row r="18" spans="1:8" s="966" customFormat="1">
      <c r="A18" s="971" t="s">
        <v>506</v>
      </c>
      <c r="B18" s="972" t="s">
        <v>774</v>
      </c>
      <c r="C18" s="971" t="s">
        <v>775</v>
      </c>
      <c r="D18" s="973" t="s">
        <v>776</v>
      </c>
      <c r="E18" s="974"/>
      <c r="F18" s="371" t="s">
        <v>685</v>
      </c>
      <c r="G18" s="975" t="s">
        <v>693</v>
      </c>
      <c r="H18" s="372" t="s">
        <v>694</v>
      </c>
    </row>
    <row r="19" spans="1:8" s="11" customFormat="1">
      <c r="A19" s="373" t="s">
        <v>505</v>
      </c>
      <c r="B19" s="972" t="s">
        <v>752</v>
      </c>
      <c r="C19" s="373" t="s">
        <v>423</v>
      </c>
      <c r="D19" s="373" t="s">
        <v>751</v>
      </c>
      <c r="E19" s="374" t="s">
        <v>686</v>
      </c>
      <c r="F19" s="371" t="s">
        <v>685</v>
      </c>
      <c r="G19" s="975" t="s">
        <v>693</v>
      </c>
      <c r="H19" s="372" t="s">
        <v>694</v>
      </c>
    </row>
    <row r="20" spans="1:8">
      <c r="A20" s="373" t="s">
        <v>193</v>
      </c>
      <c r="B20" s="859" t="s">
        <v>740</v>
      </c>
      <c r="C20" s="373" t="s">
        <v>424</v>
      </c>
      <c r="D20" s="373" t="s">
        <v>684</v>
      </c>
      <c r="E20" s="370"/>
      <c r="F20" s="371" t="s">
        <v>425</v>
      </c>
      <c r="G20" s="371" t="s">
        <v>426</v>
      </c>
      <c r="H20" s="372" t="s">
        <v>427</v>
      </c>
    </row>
    <row r="21" spans="1:8" s="958" customFormat="1">
      <c r="A21" s="373" t="s">
        <v>406</v>
      </c>
      <c r="B21" s="859" t="s">
        <v>757</v>
      </c>
      <c r="C21" s="373" t="s">
        <v>406</v>
      </c>
      <c r="D21" s="373" t="s">
        <v>777</v>
      </c>
      <c r="E21" s="370"/>
      <c r="F21" s="371" t="s">
        <v>779</v>
      </c>
      <c r="G21" s="969" t="s">
        <v>788</v>
      </c>
      <c r="H21" s="970" t="s">
        <v>787</v>
      </c>
    </row>
    <row r="22" spans="1:8" s="958" customFormat="1">
      <c r="A22" s="373" t="s">
        <v>406</v>
      </c>
      <c r="B22" s="859" t="s">
        <v>774</v>
      </c>
      <c r="C22" s="373" t="s">
        <v>406</v>
      </c>
      <c r="D22" s="373" t="s">
        <v>778</v>
      </c>
      <c r="E22" s="370"/>
      <c r="F22" s="371" t="s">
        <v>780</v>
      </c>
      <c r="G22" s="969" t="s">
        <v>783</v>
      </c>
      <c r="H22" s="969" t="s">
        <v>782</v>
      </c>
    </row>
    <row r="23" spans="1:8" s="11" customFormat="1">
      <c r="A23" s="373" t="s">
        <v>406</v>
      </c>
      <c r="B23" s="1004" t="s">
        <v>758</v>
      </c>
      <c r="C23" s="373" t="s">
        <v>406</v>
      </c>
      <c r="D23" s="373" t="s">
        <v>655</v>
      </c>
      <c r="E23" s="374"/>
      <c r="F23" s="969" t="s">
        <v>786</v>
      </c>
      <c r="G23" s="969" t="s">
        <v>785</v>
      </c>
      <c r="H23" s="969" t="s">
        <v>784</v>
      </c>
    </row>
    <row r="24" spans="1:8" s="11" customFormat="1">
      <c r="A24" s="373" t="s">
        <v>406</v>
      </c>
      <c r="B24" s="1004" t="s">
        <v>758</v>
      </c>
      <c r="C24" s="373" t="s">
        <v>406</v>
      </c>
      <c r="D24" s="1005" t="s">
        <v>634</v>
      </c>
      <c r="E24" s="374"/>
      <c r="F24" s="969" t="s">
        <v>786</v>
      </c>
      <c r="G24" s="969" t="s">
        <v>785</v>
      </c>
      <c r="H24" s="970" t="s">
        <v>784</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209077.35289799998</v>
      </c>
      <c r="D10" s="718">
        <f ca="1">tertiair!C16</f>
        <v>2939.1428571428573</v>
      </c>
      <c r="E10" s="718">
        <f ca="1">tertiair!D16</f>
        <v>207729.4275883683</v>
      </c>
      <c r="F10" s="718">
        <f>tertiair!E16</f>
        <v>2798.0225881226615</v>
      </c>
      <c r="G10" s="718">
        <f ca="1">tertiair!F16</f>
        <v>34505.804180229803</v>
      </c>
      <c r="H10" s="718">
        <f>tertiair!G16</f>
        <v>0</v>
      </c>
      <c r="I10" s="718">
        <f>tertiair!H16</f>
        <v>0</v>
      </c>
      <c r="J10" s="718">
        <f>tertiair!I16</f>
        <v>0</v>
      </c>
      <c r="K10" s="718">
        <f>tertiair!J16</f>
        <v>0.36982345073509576</v>
      </c>
      <c r="L10" s="718">
        <f>tertiair!K16</f>
        <v>0</v>
      </c>
      <c r="M10" s="718">
        <f ca="1">tertiair!L16</f>
        <v>0</v>
      </c>
      <c r="N10" s="718">
        <f>tertiair!M16</f>
        <v>0</v>
      </c>
      <c r="O10" s="718">
        <f ca="1">tertiair!N16</f>
        <v>11405.629584944618</v>
      </c>
      <c r="P10" s="718">
        <f>tertiair!O16</f>
        <v>12.506666666666668</v>
      </c>
      <c r="Q10" s="719">
        <f>tertiair!P16</f>
        <v>228.8</v>
      </c>
      <c r="R10" s="721">
        <f ca="1">SUM(C10:Q10)</f>
        <v>468697.05618692562</v>
      </c>
      <c r="S10" s="67"/>
    </row>
    <row r="11" spans="1:19" s="474" customFormat="1">
      <c r="A11" s="870" t="s">
        <v>225</v>
      </c>
      <c r="B11" s="875"/>
      <c r="C11" s="718">
        <f>huishoudens!B8</f>
        <v>124907.01816955958</v>
      </c>
      <c r="D11" s="718">
        <f>huishoudens!C8</f>
        <v>0</v>
      </c>
      <c r="E11" s="718">
        <f>huishoudens!D8</f>
        <v>290640.48739550001</v>
      </c>
      <c r="F11" s="718">
        <f>huishoudens!E8</f>
        <v>11735.720066430598</v>
      </c>
      <c r="G11" s="718">
        <f>huishoudens!F8</f>
        <v>73134.409762219817</v>
      </c>
      <c r="H11" s="718">
        <f>huishoudens!G8</f>
        <v>0</v>
      </c>
      <c r="I11" s="718">
        <f>huishoudens!H8</f>
        <v>0</v>
      </c>
      <c r="J11" s="718">
        <f>huishoudens!I8</f>
        <v>0</v>
      </c>
      <c r="K11" s="718">
        <f>huishoudens!J8</f>
        <v>0</v>
      </c>
      <c r="L11" s="718">
        <f>huishoudens!K8</f>
        <v>0</v>
      </c>
      <c r="M11" s="718">
        <f>huishoudens!L8</f>
        <v>0</v>
      </c>
      <c r="N11" s="718">
        <f>huishoudens!M8</f>
        <v>0</v>
      </c>
      <c r="O11" s="718">
        <f>huishoudens!N8</f>
        <v>38535.036423265847</v>
      </c>
      <c r="P11" s="718">
        <f>huishoudens!O8</f>
        <v>1230.3433333333335</v>
      </c>
      <c r="Q11" s="719">
        <f>huishoudens!P8</f>
        <v>4042.1333333333332</v>
      </c>
      <c r="R11" s="721">
        <f>SUM(C11:Q11)</f>
        <v>544225.14848364249</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640</v>
      </c>
      <c r="B13" s="880" t="s">
        <v>638</v>
      </c>
      <c r="C13" s="718">
        <f>industrie!B18</f>
        <v>57118.38631799999</v>
      </c>
      <c r="D13" s="718">
        <f>industrie!C18</f>
        <v>321.42857142857144</v>
      </c>
      <c r="E13" s="718">
        <f>industrie!D18</f>
        <v>98959.569768382862</v>
      </c>
      <c r="F13" s="718">
        <f>industrie!E18</f>
        <v>7769.02363704037</v>
      </c>
      <c r="G13" s="718">
        <f>industrie!F18</f>
        <v>25700.525373136777</v>
      </c>
      <c r="H13" s="718">
        <f>industrie!G18</f>
        <v>0</v>
      </c>
      <c r="I13" s="718">
        <f>industrie!H18</f>
        <v>0</v>
      </c>
      <c r="J13" s="718">
        <f>industrie!I18</f>
        <v>0</v>
      </c>
      <c r="K13" s="718">
        <f>industrie!J18</f>
        <v>21.244556080187763</v>
      </c>
      <c r="L13" s="718">
        <f>industrie!K18</f>
        <v>0</v>
      </c>
      <c r="M13" s="718">
        <f>industrie!L18</f>
        <v>0</v>
      </c>
      <c r="N13" s="718">
        <f>industrie!M18</f>
        <v>0</v>
      </c>
      <c r="O13" s="718">
        <f>industrie!N18</f>
        <v>16261.104595742214</v>
      </c>
      <c r="P13" s="718">
        <f>industrie!O18</f>
        <v>0</v>
      </c>
      <c r="Q13" s="719">
        <f>industrie!P18</f>
        <v>0</v>
      </c>
      <c r="R13" s="721">
        <f>SUM(C13:Q13)</f>
        <v>206151.28281981099</v>
      </c>
      <c r="S13" s="67"/>
    </row>
    <row r="14" spans="1:19" s="474" customFormat="1" ht="15" thickBot="1">
      <c r="A14" s="870"/>
      <c r="B14" s="881" t="s">
        <v>639</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391102.75738555955</v>
      </c>
      <c r="D15" s="723">
        <f t="shared" ref="D15:Q15" ca="1" si="0">SUM(D9:D14)</f>
        <v>3260.5714285714289</v>
      </c>
      <c r="E15" s="723">
        <f t="shared" ca="1" si="0"/>
        <v>597329.48475225118</v>
      </c>
      <c r="F15" s="723">
        <f t="shared" si="0"/>
        <v>22302.766291593631</v>
      </c>
      <c r="G15" s="723">
        <f t="shared" ca="1" si="0"/>
        <v>133340.7393155864</v>
      </c>
      <c r="H15" s="723">
        <f t="shared" si="0"/>
        <v>0</v>
      </c>
      <c r="I15" s="723">
        <f t="shared" si="0"/>
        <v>0</v>
      </c>
      <c r="J15" s="723">
        <f t="shared" si="0"/>
        <v>0</v>
      </c>
      <c r="K15" s="723">
        <f t="shared" si="0"/>
        <v>21.614379530922861</v>
      </c>
      <c r="L15" s="723">
        <f t="shared" si="0"/>
        <v>0</v>
      </c>
      <c r="M15" s="723">
        <f t="shared" ca="1" si="0"/>
        <v>0</v>
      </c>
      <c r="N15" s="723">
        <f t="shared" si="0"/>
        <v>0</v>
      </c>
      <c r="O15" s="723">
        <f t="shared" ca="1" si="0"/>
        <v>66201.770603952682</v>
      </c>
      <c r="P15" s="723">
        <f t="shared" si="0"/>
        <v>1242.8500000000001</v>
      </c>
      <c r="Q15" s="724">
        <f t="shared" si="0"/>
        <v>4270.9333333333334</v>
      </c>
      <c r="R15" s="725">
        <f ca="1">SUM(R9:R14)</f>
        <v>1219073.487490379</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16242.617552666192</v>
      </c>
      <c r="I18" s="718">
        <f>transport!H54</f>
        <v>0</v>
      </c>
      <c r="J18" s="718">
        <f>transport!I54</f>
        <v>0</v>
      </c>
      <c r="K18" s="718">
        <f>transport!J54</f>
        <v>0</v>
      </c>
      <c r="L18" s="718">
        <f>transport!K54</f>
        <v>0</v>
      </c>
      <c r="M18" s="718">
        <f>transport!L54</f>
        <v>0</v>
      </c>
      <c r="N18" s="718">
        <f>transport!M54</f>
        <v>922.50897271556823</v>
      </c>
      <c r="O18" s="718">
        <f>transport!N54</f>
        <v>0</v>
      </c>
      <c r="P18" s="718">
        <f>transport!O54</f>
        <v>0</v>
      </c>
      <c r="Q18" s="719">
        <f>transport!P54</f>
        <v>0</v>
      </c>
      <c r="R18" s="721">
        <f>SUM(C18:Q18)</f>
        <v>17165.126525381762</v>
      </c>
      <c r="S18" s="67"/>
    </row>
    <row r="19" spans="1:19" s="474" customFormat="1" ht="15" thickBot="1">
      <c r="A19" s="870" t="s">
        <v>307</v>
      </c>
      <c r="B19" s="875"/>
      <c r="C19" s="727">
        <f>transport!B14</f>
        <v>287.22855868540142</v>
      </c>
      <c r="D19" s="727">
        <f>transport!C14</f>
        <v>0</v>
      </c>
      <c r="E19" s="727">
        <f>transport!D14</f>
        <v>973.0496203641253</v>
      </c>
      <c r="F19" s="727">
        <f>transport!E14</f>
        <v>1404.2669523397474</v>
      </c>
      <c r="G19" s="727">
        <f>transport!F14</f>
        <v>0</v>
      </c>
      <c r="H19" s="727">
        <f>transport!G14</f>
        <v>477953.71256745479</v>
      </c>
      <c r="I19" s="727">
        <f>transport!H14</f>
        <v>111354.12704838596</v>
      </c>
      <c r="J19" s="727">
        <f>transport!I14</f>
        <v>0</v>
      </c>
      <c r="K19" s="727">
        <f>transport!J14</f>
        <v>0</v>
      </c>
      <c r="L19" s="727">
        <f>transport!K14</f>
        <v>0</v>
      </c>
      <c r="M19" s="727">
        <f>transport!L14</f>
        <v>0</v>
      </c>
      <c r="N19" s="727">
        <f>transport!M14</f>
        <v>31229.605238328961</v>
      </c>
      <c r="O19" s="727">
        <f>transport!N14</f>
        <v>0</v>
      </c>
      <c r="P19" s="727">
        <f>transport!O14</f>
        <v>0</v>
      </c>
      <c r="Q19" s="728">
        <f>transport!P14</f>
        <v>0</v>
      </c>
      <c r="R19" s="729">
        <f>SUM(C19:Q19)</f>
        <v>623201.9899855589</v>
      </c>
      <c r="S19" s="67"/>
    </row>
    <row r="20" spans="1:19" s="474" customFormat="1" ht="15.75" thickBot="1">
      <c r="A20" s="730" t="s">
        <v>230</v>
      </c>
      <c r="B20" s="878"/>
      <c r="C20" s="873">
        <f>SUM(C17:C19)</f>
        <v>287.22855868540142</v>
      </c>
      <c r="D20" s="731">
        <f t="shared" ref="D20:R20" si="1">SUM(D17:D19)</f>
        <v>0</v>
      </c>
      <c r="E20" s="731">
        <f t="shared" si="1"/>
        <v>973.0496203641253</v>
      </c>
      <c r="F20" s="731">
        <f t="shared" si="1"/>
        <v>1404.2669523397474</v>
      </c>
      <c r="G20" s="731">
        <f t="shared" si="1"/>
        <v>0</v>
      </c>
      <c r="H20" s="731">
        <f t="shared" si="1"/>
        <v>494196.33012012095</v>
      </c>
      <c r="I20" s="731">
        <f t="shared" si="1"/>
        <v>111354.12704838596</v>
      </c>
      <c r="J20" s="731">
        <f t="shared" si="1"/>
        <v>0</v>
      </c>
      <c r="K20" s="731">
        <f t="shared" si="1"/>
        <v>0</v>
      </c>
      <c r="L20" s="731">
        <f t="shared" si="1"/>
        <v>0</v>
      </c>
      <c r="M20" s="731">
        <f t="shared" si="1"/>
        <v>0</v>
      </c>
      <c r="N20" s="731">
        <f t="shared" si="1"/>
        <v>32152.114211044529</v>
      </c>
      <c r="O20" s="731">
        <f t="shared" si="1"/>
        <v>0</v>
      </c>
      <c r="P20" s="731">
        <f t="shared" si="1"/>
        <v>0</v>
      </c>
      <c r="Q20" s="732">
        <f t="shared" si="1"/>
        <v>0</v>
      </c>
      <c r="R20" s="733">
        <f t="shared" si="1"/>
        <v>640367.11651094072</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635</v>
      </c>
      <c r="B22" s="879"/>
      <c r="C22" s="727">
        <f>+landbouw!B8</f>
        <v>1656.029706</v>
      </c>
      <c r="D22" s="727">
        <f>+landbouw!C8</f>
        <v>0</v>
      </c>
      <c r="E22" s="727">
        <f>+landbouw!D8</f>
        <v>20536.759363604</v>
      </c>
      <c r="F22" s="727">
        <f>+landbouw!E8</f>
        <v>48.675771157875445</v>
      </c>
      <c r="G22" s="727">
        <f>+landbouw!F8</f>
        <v>6898.9302680476594</v>
      </c>
      <c r="H22" s="727">
        <f>+landbouw!G8</f>
        <v>0</v>
      </c>
      <c r="I22" s="727">
        <f>+landbouw!H8</f>
        <v>0</v>
      </c>
      <c r="J22" s="727">
        <f>+landbouw!I8</f>
        <v>0</v>
      </c>
      <c r="K22" s="727">
        <f>+landbouw!J8</f>
        <v>239.92314075437062</v>
      </c>
      <c r="L22" s="727">
        <f>+landbouw!K8</f>
        <v>0</v>
      </c>
      <c r="M22" s="727">
        <f>+landbouw!L8</f>
        <v>0</v>
      </c>
      <c r="N22" s="727">
        <f>+landbouw!M8</f>
        <v>0</v>
      </c>
      <c r="O22" s="727">
        <f>+landbouw!N8</f>
        <v>0</v>
      </c>
      <c r="P22" s="727">
        <f>+landbouw!O8</f>
        <v>0</v>
      </c>
      <c r="Q22" s="728">
        <f>+landbouw!P8</f>
        <v>0</v>
      </c>
      <c r="R22" s="729">
        <f>SUM(C22:Q22)</f>
        <v>29380.318249563905</v>
      </c>
      <c r="S22" s="67"/>
    </row>
    <row r="23" spans="1:19" s="474" customFormat="1" ht="17.25" thickTop="1" thickBot="1">
      <c r="A23" s="734" t="s">
        <v>116</v>
      </c>
      <c r="B23" s="864"/>
      <c r="C23" s="735">
        <f ca="1">C20+C15+C22</f>
        <v>393046.01565024495</v>
      </c>
      <c r="D23" s="735">
        <f t="shared" ref="D23:Q23" ca="1" si="2">D20+D15+D22</f>
        <v>3260.5714285714289</v>
      </c>
      <c r="E23" s="735">
        <f t="shared" ca="1" si="2"/>
        <v>618839.29373621929</v>
      </c>
      <c r="F23" s="735">
        <f t="shared" si="2"/>
        <v>23755.709015091255</v>
      </c>
      <c r="G23" s="735">
        <f t="shared" ca="1" si="2"/>
        <v>140239.66958363407</v>
      </c>
      <c r="H23" s="735">
        <f t="shared" si="2"/>
        <v>494196.33012012095</v>
      </c>
      <c r="I23" s="735">
        <f t="shared" si="2"/>
        <v>111354.12704838596</v>
      </c>
      <c r="J23" s="735">
        <f t="shared" si="2"/>
        <v>0</v>
      </c>
      <c r="K23" s="735">
        <f t="shared" si="2"/>
        <v>261.53752028529345</v>
      </c>
      <c r="L23" s="735">
        <f t="shared" si="2"/>
        <v>0</v>
      </c>
      <c r="M23" s="735">
        <f t="shared" ca="1" si="2"/>
        <v>0</v>
      </c>
      <c r="N23" s="735">
        <f t="shared" si="2"/>
        <v>32152.114211044529</v>
      </c>
      <c r="O23" s="735">
        <f t="shared" ca="1" si="2"/>
        <v>66201.770603952682</v>
      </c>
      <c r="P23" s="735">
        <f t="shared" si="2"/>
        <v>1242.8500000000001</v>
      </c>
      <c r="Q23" s="736">
        <f t="shared" si="2"/>
        <v>4270.9333333333334</v>
      </c>
      <c r="R23" s="737">
        <f ca="1">R20+R15+R22</f>
        <v>1888820.9222508837</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41384.731043184074</v>
      </c>
      <c r="D36" s="718">
        <f ca="1">tertiair!C20</f>
        <v>698.4786554621852</v>
      </c>
      <c r="E36" s="718">
        <f ca="1">tertiair!D20</f>
        <v>41961.344372850399</v>
      </c>
      <c r="F36" s="718">
        <f>tertiair!E20</f>
        <v>635.15112750384424</v>
      </c>
      <c r="G36" s="718">
        <f ca="1">tertiair!F20</f>
        <v>9213.0497161213571</v>
      </c>
      <c r="H36" s="718">
        <f>tertiair!G20</f>
        <v>0</v>
      </c>
      <c r="I36" s="718">
        <f>tertiair!H20</f>
        <v>0</v>
      </c>
      <c r="J36" s="718">
        <f>tertiair!I20</f>
        <v>0</v>
      </c>
      <c r="K36" s="718">
        <f>tertiair!J20</f>
        <v>0.13091750156022389</v>
      </c>
      <c r="L36" s="718">
        <f>tertiair!K20</f>
        <v>0</v>
      </c>
      <c r="M36" s="718">
        <f ca="1">tertiair!L20</f>
        <v>0</v>
      </c>
      <c r="N36" s="718">
        <f>tertiair!M20</f>
        <v>0</v>
      </c>
      <c r="O36" s="718">
        <f ca="1">tertiair!N20</f>
        <v>0</v>
      </c>
      <c r="P36" s="718">
        <f>tertiair!O20</f>
        <v>0</v>
      </c>
      <c r="Q36" s="828">
        <f>tertiair!P20</f>
        <v>0</v>
      </c>
      <c r="R36" s="917">
        <f ca="1">SUM(C36:Q36)</f>
        <v>93892.885832623419</v>
      </c>
    </row>
    <row r="37" spans="1:18">
      <c r="A37" s="885" t="s">
        <v>225</v>
      </c>
      <c r="B37" s="892"/>
      <c r="C37" s="718">
        <f ca="1">huishoudens!B12</f>
        <v>24724.071166498772</v>
      </c>
      <c r="D37" s="718">
        <f ca="1">huishoudens!C12</f>
        <v>0</v>
      </c>
      <c r="E37" s="718">
        <f>huishoudens!D12</f>
        <v>58709.378453891004</v>
      </c>
      <c r="F37" s="718">
        <f>huishoudens!E12</f>
        <v>2664.008455079746</v>
      </c>
      <c r="G37" s="718">
        <f>huishoudens!F12</f>
        <v>19526.887406512691</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105624.34548198221</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641</v>
      </c>
      <c r="B39" s="900" t="s">
        <v>638</v>
      </c>
      <c r="C39" s="718">
        <f ca="1">industrie!B22</f>
        <v>11306.00240832553</v>
      </c>
      <c r="D39" s="718">
        <f ca="1">industrie!C22</f>
        <v>76.386554621848774</v>
      </c>
      <c r="E39" s="718">
        <f>industrie!D22</f>
        <v>19989.833093213339</v>
      </c>
      <c r="F39" s="718">
        <f>industrie!E22</f>
        <v>1763.568365608164</v>
      </c>
      <c r="G39" s="718">
        <f>industrie!F22</f>
        <v>6862.0402746275204</v>
      </c>
      <c r="H39" s="718">
        <f>industrie!G22</f>
        <v>0</v>
      </c>
      <c r="I39" s="718">
        <f>industrie!H22</f>
        <v>0</v>
      </c>
      <c r="J39" s="718">
        <f>industrie!I22</f>
        <v>0</v>
      </c>
      <c r="K39" s="718">
        <f>industrie!J22</f>
        <v>7.5205728523864677</v>
      </c>
      <c r="L39" s="718">
        <f>industrie!K22</f>
        <v>0</v>
      </c>
      <c r="M39" s="718">
        <f>industrie!L22</f>
        <v>0</v>
      </c>
      <c r="N39" s="718">
        <f>industrie!M22</f>
        <v>0</v>
      </c>
      <c r="O39" s="718">
        <f>industrie!N22</f>
        <v>0</v>
      </c>
      <c r="P39" s="718">
        <f>industrie!O22</f>
        <v>0</v>
      </c>
      <c r="Q39" s="828">
        <f>industrie!P22</f>
        <v>0</v>
      </c>
      <c r="R39" s="918">
        <f ca="1">SUM(C39:Q39)</f>
        <v>40005.351269248793</v>
      </c>
    </row>
    <row r="40" spans="1:18" ht="15" thickBot="1">
      <c r="A40" s="894"/>
      <c r="B40" s="901" t="s">
        <v>639</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77414.804618008377</v>
      </c>
      <c r="D41" s="763">
        <f t="shared" ref="D41:R41" ca="1" si="4">SUM(D35:D40)</f>
        <v>774.86521008403395</v>
      </c>
      <c r="E41" s="763">
        <f t="shared" ca="1" si="4"/>
        <v>120660.55591995474</v>
      </c>
      <c r="F41" s="763">
        <f t="shared" si="4"/>
        <v>5062.727948191754</v>
      </c>
      <c r="G41" s="763">
        <f t="shared" ca="1" si="4"/>
        <v>35601.977397261566</v>
      </c>
      <c r="H41" s="763">
        <f t="shared" si="4"/>
        <v>0</v>
      </c>
      <c r="I41" s="763">
        <f t="shared" si="4"/>
        <v>0</v>
      </c>
      <c r="J41" s="763">
        <f t="shared" si="4"/>
        <v>0</v>
      </c>
      <c r="K41" s="763">
        <f t="shared" si="4"/>
        <v>7.6514903539466914</v>
      </c>
      <c r="L41" s="763">
        <f t="shared" si="4"/>
        <v>0</v>
      </c>
      <c r="M41" s="763">
        <f t="shared" ca="1" si="4"/>
        <v>0</v>
      </c>
      <c r="N41" s="763">
        <f t="shared" si="4"/>
        <v>0</v>
      </c>
      <c r="O41" s="763">
        <f t="shared" ca="1" si="4"/>
        <v>0</v>
      </c>
      <c r="P41" s="763">
        <f t="shared" si="4"/>
        <v>0</v>
      </c>
      <c r="Q41" s="764">
        <f t="shared" si="4"/>
        <v>0</v>
      </c>
      <c r="R41" s="765">
        <f t="shared" ca="1" si="4"/>
        <v>239522.58258385441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4336.7788865618732</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4336.7788865618732</v>
      </c>
    </row>
    <row r="45" spans="1:18" ht="15" thickBot="1">
      <c r="A45" s="888" t="s">
        <v>307</v>
      </c>
      <c r="B45" s="898"/>
      <c r="C45" s="727">
        <f ca="1">transport!B18</f>
        <v>56.853965694294288</v>
      </c>
      <c r="D45" s="727">
        <f>transport!C18</f>
        <v>0</v>
      </c>
      <c r="E45" s="727">
        <f>transport!D18</f>
        <v>196.55602331355331</v>
      </c>
      <c r="F45" s="727">
        <f>transport!E18</f>
        <v>318.76859818112268</v>
      </c>
      <c r="G45" s="727">
        <f>transport!F18</f>
        <v>0</v>
      </c>
      <c r="H45" s="727">
        <f>transport!G18</f>
        <v>127613.64125551043</v>
      </c>
      <c r="I45" s="727">
        <f>transport!H18</f>
        <v>27727.177635048101</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155912.9974777475</v>
      </c>
    </row>
    <row r="46" spans="1:18" ht="15.75" thickBot="1">
      <c r="A46" s="886" t="s">
        <v>230</v>
      </c>
      <c r="B46" s="899"/>
      <c r="C46" s="763">
        <f t="shared" ref="C46:R46" ca="1" si="5">SUM(C43:C45)</f>
        <v>56.853965694294288</v>
      </c>
      <c r="D46" s="763">
        <f t="shared" ca="1" si="5"/>
        <v>0</v>
      </c>
      <c r="E46" s="763">
        <f t="shared" si="5"/>
        <v>196.55602331355331</v>
      </c>
      <c r="F46" s="763">
        <f t="shared" si="5"/>
        <v>318.76859818112268</v>
      </c>
      <c r="G46" s="763">
        <f t="shared" si="5"/>
        <v>0</v>
      </c>
      <c r="H46" s="763">
        <f t="shared" si="5"/>
        <v>131950.42014207231</v>
      </c>
      <c r="I46" s="763">
        <f t="shared" si="5"/>
        <v>27727.177635048101</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160249.77636430936</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635</v>
      </c>
      <c r="B48" s="904"/>
      <c r="C48" s="718">
        <f ca="1">+landbouw!B12</f>
        <v>327.79420167887918</v>
      </c>
      <c r="D48" s="718">
        <f ca="1">+landbouw!C12</f>
        <v>0</v>
      </c>
      <c r="E48" s="718">
        <f>+landbouw!D12</f>
        <v>4148.4253914480087</v>
      </c>
      <c r="F48" s="718">
        <f>+landbouw!E12</f>
        <v>11.049400052837726</v>
      </c>
      <c r="G48" s="718">
        <f>+landbouw!F12</f>
        <v>1842.0143815687252</v>
      </c>
      <c r="H48" s="718">
        <f>+landbouw!G12</f>
        <v>0</v>
      </c>
      <c r="I48" s="718">
        <f>+landbouw!H12</f>
        <v>0</v>
      </c>
      <c r="J48" s="718">
        <f>+landbouw!I12</f>
        <v>0</v>
      </c>
      <c r="K48" s="718">
        <f>+landbouw!J12</f>
        <v>84.932791827047197</v>
      </c>
      <c r="L48" s="718">
        <f>+landbouw!K12</f>
        <v>0</v>
      </c>
      <c r="M48" s="718">
        <f>+landbouw!L12</f>
        <v>0</v>
      </c>
      <c r="N48" s="718">
        <f>+landbouw!M12</f>
        <v>0</v>
      </c>
      <c r="O48" s="718">
        <f>+landbouw!N12</f>
        <v>0</v>
      </c>
      <c r="P48" s="718">
        <f>+landbouw!O12</f>
        <v>0</v>
      </c>
      <c r="Q48" s="719">
        <f>+landbouw!P12</f>
        <v>0</v>
      </c>
      <c r="R48" s="761">
        <f ca="1">SUM(C48:Q48)</f>
        <v>6414.2161665754984</v>
      </c>
    </row>
    <row r="49" spans="1:18" ht="15.75">
      <c r="A49" s="863" t="s">
        <v>636</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77799.452785381538</v>
      </c>
      <c r="D53" s="773">
        <f t="shared" ref="D53:Q53" ca="1" si="6">D41+D46+D48</f>
        <v>774.86521008403395</v>
      </c>
      <c r="E53" s="773">
        <f t="shared" ca="1" si="6"/>
        <v>125005.5373347163</v>
      </c>
      <c r="F53" s="773">
        <f t="shared" si="6"/>
        <v>5392.5459464257146</v>
      </c>
      <c r="G53" s="773">
        <f t="shared" ca="1" si="6"/>
        <v>37443.991778830292</v>
      </c>
      <c r="H53" s="773">
        <f t="shared" si="6"/>
        <v>131950.42014207231</v>
      </c>
      <c r="I53" s="773">
        <f t="shared" si="6"/>
        <v>27727.177635048101</v>
      </c>
      <c r="J53" s="773">
        <f t="shared" si="6"/>
        <v>0</v>
      </c>
      <c r="K53" s="773">
        <f t="shared" si="6"/>
        <v>92.584282180993881</v>
      </c>
      <c r="L53" s="773">
        <f t="shared" si="6"/>
        <v>0</v>
      </c>
      <c r="M53" s="773">
        <f t="shared" ca="1" si="6"/>
        <v>0</v>
      </c>
      <c r="N53" s="773">
        <f t="shared" si="6"/>
        <v>0</v>
      </c>
      <c r="O53" s="773">
        <f t="shared" ca="1" si="6"/>
        <v>0</v>
      </c>
      <c r="P53" s="773">
        <f>P41+P46+P48</f>
        <v>0</v>
      </c>
      <c r="Q53" s="774">
        <f t="shared" si="6"/>
        <v>0</v>
      </c>
      <c r="R53" s="775">
        <f ca="1">R41+R46+R48</f>
        <v>406186.5751147393</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0.19793980777714329</v>
      </c>
      <c r="D55" s="836">
        <f t="shared" ca="1" si="7"/>
        <v>0.23764705882352949</v>
      </c>
      <c r="E55" s="836">
        <f t="shared" ca="1" si="7"/>
        <v>0.20200000000000001</v>
      </c>
      <c r="F55" s="836">
        <f t="shared" si="7"/>
        <v>0.22699999999999998</v>
      </c>
      <c r="G55" s="836">
        <f t="shared" ca="1" si="7"/>
        <v>0.26699999999999996</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644</v>
      </c>
      <c r="O61" s="1110" t="s">
        <v>643</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557</v>
      </c>
      <c r="C63" s="854" t="s">
        <v>642</v>
      </c>
      <c r="D63" s="788" t="s">
        <v>199</v>
      </c>
      <c r="E63" s="789" t="s">
        <v>200</v>
      </c>
      <c r="F63" s="790" t="s">
        <v>201</v>
      </c>
      <c r="G63" s="791" t="s">
        <v>203</v>
      </c>
      <c r="H63" s="792" t="s">
        <v>204</v>
      </c>
      <c r="I63" s="793"/>
      <c r="J63" s="789"/>
      <c r="K63" s="789"/>
      <c r="L63" s="789"/>
      <c r="M63" s="1115"/>
      <c r="N63" s="1079"/>
      <c r="O63" s="857" t="s">
        <v>645</v>
      </c>
      <c r="P63" s="855" t="s">
        <v>646</v>
      </c>
      <c r="Q63" s="785"/>
      <c r="R63" s="742"/>
    </row>
    <row r="64" spans="1:18" ht="15.75" thickTop="1">
      <c r="A64" s="794" t="s">
        <v>249</v>
      </c>
      <c r="B64" s="908">
        <f>'lokale energieproductie'!B4</f>
        <v>14812.240500484781</v>
      </c>
      <c r="C64" s="795">
        <f>'lokale energieproductie'!B4</f>
        <v>14812.240500484781</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25134.476333820199</v>
      </c>
      <c r="C66" s="795">
        <f>'lokale energieproductie'!B6</f>
        <v>25134.476333820199</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2282.4</v>
      </c>
      <c r="C67" s="794">
        <f>B67*IFERROR(SUM(J67:L67)/SUM(D67:M67),0)</f>
        <v>0</v>
      </c>
      <c r="D67" s="826">
        <f>'lokale energieproductie'!C7</f>
        <v>2685.1764705882356</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542.40564705882366</v>
      </c>
      <c r="P67" s="922">
        <v>0</v>
      </c>
      <c r="Q67" s="785"/>
      <c r="R67" s="742"/>
    </row>
    <row r="68" spans="1:18" ht="30.75" thickBot="1">
      <c r="A68" s="801" t="s">
        <v>353</v>
      </c>
      <c r="B68" s="794">
        <f>'lokale energieproductie'!B8</f>
        <v>1237.5</v>
      </c>
      <c r="C68" s="794">
        <f>B68*IFERROR(SUM(J68:L68)/SUM(D68:M68),0)</f>
        <v>1237.5</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3535.7142857142858</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43466.616834304979</v>
      </c>
      <c r="C69" s="803">
        <f>SUM(C64:C68)</f>
        <v>41184.216834304978</v>
      </c>
      <c r="D69" s="804">
        <f t="shared" ref="D69:M69" si="8">SUM(D67:D68)</f>
        <v>2685.1764705882356</v>
      </c>
      <c r="E69" s="804">
        <f t="shared" si="8"/>
        <v>0</v>
      </c>
      <c r="F69" s="804">
        <f t="shared" si="8"/>
        <v>0</v>
      </c>
      <c r="G69" s="804">
        <f t="shared" si="8"/>
        <v>0</v>
      </c>
      <c r="H69" s="804">
        <f t="shared" si="8"/>
        <v>0</v>
      </c>
      <c r="I69" s="804">
        <f t="shared" si="8"/>
        <v>0</v>
      </c>
      <c r="J69" s="804">
        <f t="shared" si="8"/>
        <v>0</v>
      </c>
      <c r="K69" s="804">
        <f t="shared" si="8"/>
        <v>3535.7142857142858</v>
      </c>
      <c r="L69" s="804">
        <f t="shared" si="8"/>
        <v>0</v>
      </c>
      <c r="M69" s="930">
        <f t="shared" si="8"/>
        <v>0</v>
      </c>
      <c r="N69" s="805">
        <v>0</v>
      </c>
      <c r="O69" s="805">
        <f>SUM(O67:O68)</f>
        <v>542.40564705882366</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644</v>
      </c>
      <c r="O75" s="1085" t="s">
        <v>643</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557</v>
      </c>
      <c r="C77" s="909" t="s">
        <v>642</v>
      </c>
      <c r="D77" s="813" t="s">
        <v>199</v>
      </c>
      <c r="E77" s="789" t="s">
        <v>200</v>
      </c>
      <c r="F77" s="814" t="s">
        <v>201</v>
      </c>
      <c r="G77" s="789" t="s">
        <v>203</v>
      </c>
      <c r="H77" s="815" t="s">
        <v>204</v>
      </c>
      <c r="I77" s="1084"/>
      <c r="J77" s="1084"/>
      <c r="K77" s="1088"/>
      <c r="L77" s="1090"/>
      <c r="M77" s="1092"/>
      <c r="N77" s="1079"/>
      <c r="O77" s="857" t="s">
        <v>645</v>
      </c>
      <c r="P77" s="855" t="s">
        <v>646</v>
      </c>
      <c r="Q77" s="812"/>
      <c r="R77" s="742"/>
    </row>
    <row r="78" spans="1:18" ht="15.75" thickTop="1">
      <c r="A78" s="816" t="s">
        <v>252</v>
      </c>
      <c r="B78" s="817">
        <f>'lokale energieproductie'!B16</f>
        <v>3260.5714285714289</v>
      </c>
      <c r="C78" s="817">
        <f>B78*IFERROR(SUM(I78:L78)/SUM(D78:M78),0)</f>
        <v>0</v>
      </c>
      <c r="D78" s="832">
        <f>'lokale energieproductie'!C16</f>
        <v>3835.9663865546231</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774.86521008403395</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3260.5714285714289</v>
      </c>
      <c r="C81" s="803">
        <f>SUM(C78:C80)</f>
        <v>0</v>
      </c>
      <c r="D81" s="803">
        <f t="shared" ref="D81:P81" si="9">SUM(D78:D80)</f>
        <v>3835.9663865546231</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774.86521008403395</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619</v>
      </c>
      <c r="B1" s="976" t="s">
        <v>620</v>
      </c>
      <c r="C1" s="976" t="s">
        <v>622</v>
      </c>
      <c r="D1" s="976" t="s">
        <v>621</v>
      </c>
    </row>
    <row r="2" spans="1:4" s="959" customFormat="1">
      <c r="A2" s="959" t="s">
        <v>731</v>
      </c>
      <c r="B2" s="987">
        <v>43172</v>
      </c>
      <c r="C2" s="959" t="s">
        <v>743</v>
      </c>
      <c r="D2" s="988" t="s">
        <v>742</v>
      </c>
    </row>
    <row r="3" spans="1:4" s="959" customFormat="1">
      <c r="A3" s="959" t="s">
        <v>731</v>
      </c>
      <c r="B3" s="987">
        <v>43172</v>
      </c>
      <c r="C3" s="959" t="s">
        <v>744</v>
      </c>
      <c r="D3" s="988" t="s">
        <v>745</v>
      </c>
    </row>
    <row r="4" spans="1:4" s="959" customFormat="1">
      <c r="A4" s="959" t="s">
        <v>731</v>
      </c>
      <c r="B4" s="987">
        <v>43278</v>
      </c>
      <c r="C4" s="959" t="s">
        <v>754</v>
      </c>
      <c r="D4" s="988"/>
    </row>
    <row r="5" spans="1:4" s="959" customFormat="1">
      <c r="A5" s="959" t="s">
        <v>731</v>
      </c>
      <c r="B5" s="987">
        <v>42525</v>
      </c>
      <c r="C5" s="959" t="s">
        <v>755</v>
      </c>
      <c r="D5" s="1001"/>
    </row>
    <row r="6" spans="1:4" s="959" customFormat="1">
      <c r="A6" s="959" t="s">
        <v>731</v>
      </c>
      <c r="B6" s="1007">
        <v>43266</v>
      </c>
      <c r="C6" s="958" t="s">
        <v>768</v>
      </c>
      <c r="D6" s="1008" t="s">
        <v>764</v>
      </c>
    </row>
    <row r="7" spans="1:4" s="959" customFormat="1">
      <c r="A7" s="959" t="s">
        <v>731</v>
      </c>
      <c r="B7" s="1007">
        <v>43266</v>
      </c>
      <c r="C7" s="958" t="s">
        <v>769</v>
      </c>
      <c r="D7" s="1008" t="s">
        <v>765</v>
      </c>
    </row>
    <row r="8" spans="1:4" s="959" customFormat="1">
      <c r="A8" s="959" t="s">
        <v>731</v>
      </c>
      <c r="B8" s="1007">
        <v>43266</v>
      </c>
      <c r="C8" s="958" t="s">
        <v>770</v>
      </c>
      <c r="D8" s="1008" t="s">
        <v>766</v>
      </c>
    </row>
    <row r="9" spans="1:4" s="7" customFormat="1">
      <c r="A9" s="959" t="s">
        <v>731</v>
      </c>
      <c r="B9" s="1007">
        <v>43266</v>
      </c>
      <c r="C9" s="958" t="s">
        <v>771</v>
      </c>
      <c r="D9" s="1008" t="s">
        <v>767</v>
      </c>
    </row>
    <row r="10" spans="1:4" s="7" customFormat="1">
      <c r="A10" s="959" t="s">
        <v>731</v>
      </c>
      <c r="B10" s="987">
        <v>43278</v>
      </c>
      <c r="C10" s="987" t="s">
        <v>792</v>
      </c>
      <c r="D10" s="1008"/>
    </row>
    <row r="11" spans="1:4" s="7" customFormat="1">
      <c r="A11" s="959" t="s">
        <v>800</v>
      </c>
      <c r="B11" s="987">
        <v>43347</v>
      </c>
      <c r="C11" s="987" t="s">
        <v>801</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552</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124907.01816955958</v>
      </c>
      <c r="C4" s="478">
        <f>huishoudens!C8</f>
        <v>0</v>
      </c>
      <c r="D4" s="478">
        <f>huishoudens!D8</f>
        <v>290640.48739550001</v>
      </c>
      <c r="E4" s="478">
        <f>huishoudens!E8</f>
        <v>11735.720066430598</v>
      </c>
      <c r="F4" s="478">
        <f>huishoudens!F8</f>
        <v>73134.409762219817</v>
      </c>
      <c r="G4" s="478">
        <f>huishoudens!G8</f>
        <v>0</v>
      </c>
      <c r="H4" s="478">
        <f>huishoudens!H8</f>
        <v>0</v>
      </c>
      <c r="I4" s="478">
        <f>huishoudens!I8</f>
        <v>0</v>
      </c>
      <c r="J4" s="478">
        <f>huishoudens!J8</f>
        <v>0</v>
      </c>
      <c r="K4" s="478">
        <f>huishoudens!K8</f>
        <v>0</v>
      </c>
      <c r="L4" s="478">
        <f>huishoudens!L8</f>
        <v>0</v>
      </c>
      <c r="M4" s="478">
        <f>huishoudens!M8</f>
        <v>0</v>
      </c>
      <c r="N4" s="478">
        <f>huishoudens!N8</f>
        <v>38535.036423265847</v>
      </c>
      <c r="O4" s="478">
        <f>huishoudens!O8</f>
        <v>1230.3433333333335</v>
      </c>
      <c r="P4" s="479">
        <f>huishoudens!P8</f>
        <v>4042.1333333333332</v>
      </c>
      <c r="Q4" s="480">
        <f>SUM(B4:P4)</f>
        <v>544225.14848364249</v>
      </c>
    </row>
    <row r="5" spans="1:17">
      <c r="A5" s="477" t="s">
        <v>156</v>
      </c>
      <c r="B5" s="478">
        <f ca="1">tertiair!B16</f>
        <v>203797.75789799998</v>
      </c>
      <c r="C5" s="478">
        <f ca="1">tertiair!C16</f>
        <v>2939.1428571428573</v>
      </c>
      <c r="D5" s="478">
        <f ca="1">tertiair!D16</f>
        <v>207729.4275883683</v>
      </c>
      <c r="E5" s="478">
        <f>tertiair!E16</f>
        <v>2798.0225881226615</v>
      </c>
      <c r="F5" s="478">
        <f ca="1">tertiair!F16</f>
        <v>34505.804180229803</v>
      </c>
      <c r="G5" s="478">
        <f>tertiair!G16</f>
        <v>0</v>
      </c>
      <c r="H5" s="478">
        <f>tertiair!H16</f>
        <v>0</v>
      </c>
      <c r="I5" s="478">
        <f>tertiair!I16</f>
        <v>0</v>
      </c>
      <c r="J5" s="478">
        <f>tertiair!J16</f>
        <v>0.36982345073509576</v>
      </c>
      <c r="K5" s="478">
        <f>tertiair!K16</f>
        <v>0</v>
      </c>
      <c r="L5" s="478">
        <f ca="1">tertiair!L16</f>
        <v>0</v>
      </c>
      <c r="M5" s="478">
        <f>tertiair!M16</f>
        <v>0</v>
      </c>
      <c r="N5" s="478">
        <f ca="1">tertiair!N16</f>
        <v>11405.629584944618</v>
      </c>
      <c r="O5" s="478">
        <f>tertiair!O16</f>
        <v>12.506666666666668</v>
      </c>
      <c r="P5" s="479">
        <f>tertiair!P16</f>
        <v>228.8</v>
      </c>
      <c r="Q5" s="477">
        <f t="shared" ref="Q5:Q13" ca="1" si="0">SUM(B5:P5)</f>
        <v>463417.46118692559</v>
      </c>
    </row>
    <row r="6" spans="1:17">
      <c r="A6" s="477" t="s">
        <v>194</v>
      </c>
      <c r="B6" s="478">
        <f>'openbare verlichting'!B8</f>
        <v>5279.5950000000003</v>
      </c>
      <c r="C6" s="478"/>
      <c r="D6" s="478"/>
      <c r="E6" s="478"/>
      <c r="F6" s="478"/>
      <c r="G6" s="478"/>
      <c r="H6" s="478"/>
      <c r="I6" s="478"/>
      <c r="J6" s="478"/>
      <c r="K6" s="478"/>
      <c r="L6" s="478"/>
      <c r="M6" s="478"/>
      <c r="N6" s="478"/>
      <c r="O6" s="478"/>
      <c r="P6" s="479"/>
      <c r="Q6" s="477">
        <f t="shared" si="0"/>
        <v>5279.5950000000003</v>
      </c>
    </row>
    <row r="7" spans="1:17">
      <c r="A7" s="477" t="s">
        <v>112</v>
      </c>
      <c r="B7" s="478">
        <f>landbouw!B8</f>
        <v>1656.029706</v>
      </c>
      <c r="C7" s="478">
        <f>landbouw!C8</f>
        <v>0</v>
      </c>
      <c r="D7" s="478">
        <f>landbouw!D8</f>
        <v>20536.759363604</v>
      </c>
      <c r="E7" s="478">
        <f>landbouw!E8</f>
        <v>48.675771157875445</v>
      </c>
      <c r="F7" s="478">
        <f>landbouw!F8</f>
        <v>6898.9302680476594</v>
      </c>
      <c r="G7" s="478">
        <f>landbouw!G8</f>
        <v>0</v>
      </c>
      <c r="H7" s="478">
        <f>landbouw!H8</f>
        <v>0</v>
      </c>
      <c r="I7" s="478">
        <f>landbouw!I8</f>
        <v>0</v>
      </c>
      <c r="J7" s="478">
        <f>landbouw!J8</f>
        <v>239.92314075437062</v>
      </c>
      <c r="K7" s="478">
        <f>landbouw!K8</f>
        <v>0</v>
      </c>
      <c r="L7" s="478">
        <f>landbouw!L8</f>
        <v>0</v>
      </c>
      <c r="M7" s="478">
        <f>landbouw!M8</f>
        <v>0</v>
      </c>
      <c r="N7" s="478">
        <f>landbouw!N8</f>
        <v>0</v>
      </c>
      <c r="O7" s="478">
        <f>landbouw!O8</f>
        <v>0</v>
      </c>
      <c r="P7" s="479">
        <f>landbouw!P8</f>
        <v>0</v>
      </c>
      <c r="Q7" s="477">
        <f t="shared" si="0"/>
        <v>29380.318249563905</v>
      </c>
    </row>
    <row r="8" spans="1:17">
      <c r="A8" s="477" t="s">
        <v>637</v>
      </c>
      <c r="B8" s="478">
        <f>industrie!B18</f>
        <v>57118.38631799999</v>
      </c>
      <c r="C8" s="478">
        <f>industrie!C18</f>
        <v>321.42857142857144</v>
      </c>
      <c r="D8" s="478">
        <f>industrie!D18</f>
        <v>98959.569768382862</v>
      </c>
      <c r="E8" s="478">
        <f>industrie!E18</f>
        <v>7769.02363704037</v>
      </c>
      <c r="F8" s="478">
        <f>industrie!F18</f>
        <v>25700.525373136777</v>
      </c>
      <c r="G8" s="478">
        <f>industrie!G18</f>
        <v>0</v>
      </c>
      <c r="H8" s="478">
        <f>industrie!H18</f>
        <v>0</v>
      </c>
      <c r="I8" s="478">
        <f>industrie!I18</f>
        <v>0</v>
      </c>
      <c r="J8" s="478">
        <f>industrie!J18</f>
        <v>21.244556080187763</v>
      </c>
      <c r="K8" s="478">
        <f>industrie!K18</f>
        <v>0</v>
      </c>
      <c r="L8" s="478">
        <f>industrie!L18</f>
        <v>0</v>
      </c>
      <c r="M8" s="478">
        <f>industrie!M18</f>
        <v>0</v>
      </c>
      <c r="N8" s="478">
        <f>industrie!N18</f>
        <v>16261.104595742214</v>
      </c>
      <c r="O8" s="478">
        <f>industrie!O18</f>
        <v>0</v>
      </c>
      <c r="P8" s="479">
        <f>industrie!P18</f>
        <v>0</v>
      </c>
      <c r="Q8" s="477">
        <f t="shared" si="0"/>
        <v>206151.28281981099</v>
      </c>
    </row>
    <row r="9" spans="1:17" s="483" customFormat="1">
      <c r="A9" s="481" t="s">
        <v>563</v>
      </c>
      <c r="B9" s="482">
        <f>transport!B14</f>
        <v>287.22855868540142</v>
      </c>
      <c r="C9" s="482"/>
      <c r="D9" s="482">
        <f>transport!D14</f>
        <v>973.0496203641253</v>
      </c>
      <c r="E9" s="482">
        <f>transport!E14</f>
        <v>1404.2669523397474</v>
      </c>
      <c r="F9" s="482"/>
      <c r="G9" s="482">
        <f>transport!G14</f>
        <v>477953.71256745479</v>
      </c>
      <c r="H9" s="482">
        <f>transport!H14</f>
        <v>111354.12704838596</v>
      </c>
      <c r="I9" s="482"/>
      <c r="J9" s="482"/>
      <c r="K9" s="482"/>
      <c r="L9" s="482"/>
      <c r="M9" s="482">
        <f>transport!M14</f>
        <v>31229.605238328961</v>
      </c>
      <c r="N9" s="482"/>
      <c r="O9" s="482"/>
      <c r="P9" s="482"/>
      <c r="Q9" s="481">
        <f>SUM(B9:P9)</f>
        <v>623201.9899855589</v>
      </c>
    </row>
    <row r="10" spans="1:17">
      <c r="A10" s="477" t="s">
        <v>553</v>
      </c>
      <c r="B10" s="478">
        <f>transport!B54</f>
        <v>0</v>
      </c>
      <c r="C10" s="478"/>
      <c r="D10" s="478">
        <f>transport!D54</f>
        <v>0</v>
      </c>
      <c r="E10" s="478"/>
      <c r="F10" s="478"/>
      <c r="G10" s="478">
        <f>transport!G54</f>
        <v>16242.617552666192</v>
      </c>
      <c r="H10" s="478"/>
      <c r="I10" s="478"/>
      <c r="J10" s="478"/>
      <c r="K10" s="478"/>
      <c r="L10" s="478"/>
      <c r="M10" s="478">
        <f>transport!M54</f>
        <v>922.50897271556823</v>
      </c>
      <c r="N10" s="478"/>
      <c r="O10" s="478"/>
      <c r="P10" s="479"/>
      <c r="Q10" s="477">
        <f t="shared" si="0"/>
        <v>17165.126525381762</v>
      </c>
    </row>
    <row r="11" spans="1:17">
      <c r="A11" s="477" t="s">
        <v>554</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555</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556</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557</v>
      </c>
      <c r="B14" s="488">
        <f ca="1">SUM(B4:B13)</f>
        <v>393046.0156502449</v>
      </c>
      <c r="C14" s="488">
        <f t="shared" ref="C14:Q14" ca="1" si="1">SUM(C4:C13)</f>
        <v>3260.5714285714289</v>
      </c>
      <c r="D14" s="488">
        <f t="shared" ca="1" si="1"/>
        <v>618839.29373621929</v>
      </c>
      <c r="E14" s="488">
        <f t="shared" si="1"/>
        <v>23755.709015091255</v>
      </c>
      <c r="F14" s="488">
        <f t="shared" ca="1" si="1"/>
        <v>140239.66958363407</v>
      </c>
      <c r="G14" s="488">
        <f t="shared" si="1"/>
        <v>494196.33012012095</v>
      </c>
      <c r="H14" s="488">
        <f t="shared" si="1"/>
        <v>111354.12704838596</v>
      </c>
      <c r="I14" s="488">
        <f t="shared" si="1"/>
        <v>0</v>
      </c>
      <c r="J14" s="488">
        <f t="shared" si="1"/>
        <v>261.53752028529345</v>
      </c>
      <c r="K14" s="488">
        <f t="shared" si="1"/>
        <v>0</v>
      </c>
      <c r="L14" s="488">
        <f t="shared" ca="1" si="1"/>
        <v>0</v>
      </c>
      <c r="M14" s="488">
        <f t="shared" si="1"/>
        <v>32152.114211044529</v>
      </c>
      <c r="N14" s="488">
        <f t="shared" ca="1" si="1"/>
        <v>66201.770603952682</v>
      </c>
      <c r="O14" s="488">
        <f t="shared" si="1"/>
        <v>1242.8500000000001</v>
      </c>
      <c r="P14" s="489">
        <f t="shared" si="1"/>
        <v>4270.9333333333334</v>
      </c>
      <c r="Q14" s="489">
        <f t="shared" ca="1" si="1"/>
        <v>1888820.9222508837</v>
      </c>
    </row>
    <row r="16" spans="1:17">
      <c r="A16" s="491" t="s">
        <v>558</v>
      </c>
      <c r="B16" s="841">
        <f ca="1">huishoudens!B10</f>
        <v>0.19793980777714332</v>
      </c>
      <c r="C16" s="841">
        <f ca="1">huishoudens!C10</f>
        <v>0.23764705882352949</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560</v>
      </c>
      <c r="B18" s="1150" t="s">
        <v>559</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24724.071166498772</v>
      </c>
      <c r="C21" s="478">
        <f t="shared" ref="C21:C28" ca="1" si="3">C4*$C$16</f>
        <v>0</v>
      </c>
      <c r="D21" s="478">
        <f t="shared" ref="D21:D30" si="4">D4*$D$16</f>
        <v>58709.378453891004</v>
      </c>
      <c r="E21" s="478">
        <f t="shared" ref="E21:E30" si="5">E4*$E$16</f>
        <v>2664.008455079746</v>
      </c>
      <c r="F21" s="478">
        <f t="shared" ref="F21:F28" si="6">F4*$F$16</f>
        <v>19526.887406512691</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105624.34548198221</v>
      </c>
    </row>
    <row r="22" spans="1:17">
      <c r="A22" s="477" t="s">
        <v>156</v>
      </c>
      <c r="B22" s="478">
        <f t="shared" ca="1" si="2"/>
        <v>40339.689023742911</v>
      </c>
      <c r="C22" s="478">
        <f t="shared" ca="1" si="3"/>
        <v>698.4786554621852</v>
      </c>
      <c r="D22" s="478">
        <f t="shared" ca="1" si="4"/>
        <v>41961.344372850399</v>
      </c>
      <c r="E22" s="478">
        <f t="shared" si="5"/>
        <v>635.15112750384424</v>
      </c>
      <c r="F22" s="478">
        <f t="shared" ca="1" si="6"/>
        <v>9213.0497161213571</v>
      </c>
      <c r="G22" s="478">
        <f t="shared" si="7"/>
        <v>0</v>
      </c>
      <c r="H22" s="478">
        <f t="shared" si="8"/>
        <v>0</v>
      </c>
      <c r="I22" s="478">
        <f t="shared" si="9"/>
        <v>0</v>
      </c>
      <c r="J22" s="478">
        <f t="shared" si="10"/>
        <v>0.13091750156022389</v>
      </c>
      <c r="K22" s="478">
        <f t="shared" si="11"/>
        <v>0</v>
      </c>
      <c r="L22" s="478">
        <f t="shared" ca="1" si="12"/>
        <v>0</v>
      </c>
      <c r="M22" s="478">
        <f t="shared" si="13"/>
        <v>0</v>
      </c>
      <c r="N22" s="478">
        <f t="shared" ca="1" si="14"/>
        <v>0</v>
      </c>
      <c r="O22" s="478">
        <f t="shared" si="15"/>
        <v>0</v>
      </c>
      <c r="P22" s="479">
        <f t="shared" si="16"/>
        <v>0</v>
      </c>
      <c r="Q22" s="477">
        <f t="shared" ref="Q22:Q30" ca="1" si="17">SUM(B22:P22)</f>
        <v>92847.843813182262</v>
      </c>
    </row>
    <row r="23" spans="1:17">
      <c r="A23" s="477" t="s">
        <v>194</v>
      </c>
      <c r="B23" s="478">
        <f t="shared" ca="1" si="2"/>
        <v>1045.042019441167</v>
      </c>
      <c r="C23" s="478"/>
      <c r="D23" s="478"/>
      <c r="E23" s="478"/>
      <c r="F23" s="478"/>
      <c r="G23" s="478"/>
      <c r="H23" s="478"/>
      <c r="I23" s="478"/>
      <c r="J23" s="478"/>
      <c r="K23" s="478"/>
      <c r="L23" s="478"/>
      <c r="M23" s="478"/>
      <c r="N23" s="478"/>
      <c r="O23" s="478"/>
      <c r="P23" s="479"/>
      <c r="Q23" s="477">
        <f t="shared" ca="1" si="17"/>
        <v>1045.042019441167</v>
      </c>
    </row>
    <row r="24" spans="1:17">
      <c r="A24" s="477" t="s">
        <v>112</v>
      </c>
      <c r="B24" s="478">
        <f t="shared" ca="1" si="2"/>
        <v>327.79420167887918</v>
      </c>
      <c r="C24" s="478">
        <f t="shared" ca="1" si="3"/>
        <v>0</v>
      </c>
      <c r="D24" s="478">
        <f t="shared" si="4"/>
        <v>4148.4253914480087</v>
      </c>
      <c r="E24" s="478">
        <f t="shared" si="5"/>
        <v>11.049400052837726</v>
      </c>
      <c r="F24" s="478">
        <f t="shared" si="6"/>
        <v>1842.0143815687252</v>
      </c>
      <c r="G24" s="478">
        <f t="shared" si="7"/>
        <v>0</v>
      </c>
      <c r="H24" s="478">
        <f t="shared" si="8"/>
        <v>0</v>
      </c>
      <c r="I24" s="478">
        <f t="shared" si="9"/>
        <v>0</v>
      </c>
      <c r="J24" s="478">
        <f t="shared" si="10"/>
        <v>84.932791827047197</v>
      </c>
      <c r="K24" s="478">
        <f t="shared" si="11"/>
        <v>0</v>
      </c>
      <c r="L24" s="478">
        <f t="shared" si="12"/>
        <v>0</v>
      </c>
      <c r="M24" s="478">
        <f t="shared" si="13"/>
        <v>0</v>
      </c>
      <c r="N24" s="478">
        <f t="shared" si="14"/>
        <v>0</v>
      </c>
      <c r="O24" s="478">
        <f t="shared" si="15"/>
        <v>0</v>
      </c>
      <c r="P24" s="479">
        <f t="shared" si="16"/>
        <v>0</v>
      </c>
      <c r="Q24" s="477">
        <f t="shared" ca="1" si="17"/>
        <v>6414.2161665754984</v>
      </c>
    </row>
    <row r="25" spans="1:17">
      <c r="A25" s="477" t="s">
        <v>637</v>
      </c>
      <c r="B25" s="478">
        <f t="shared" ca="1" si="2"/>
        <v>11306.00240832553</v>
      </c>
      <c r="C25" s="478">
        <f t="shared" ca="1" si="3"/>
        <v>76.386554621848774</v>
      </c>
      <c r="D25" s="478">
        <f t="shared" si="4"/>
        <v>19989.833093213339</v>
      </c>
      <c r="E25" s="478">
        <f t="shared" si="5"/>
        <v>1763.568365608164</v>
      </c>
      <c r="F25" s="478">
        <f t="shared" si="6"/>
        <v>6862.0402746275204</v>
      </c>
      <c r="G25" s="478">
        <f t="shared" si="7"/>
        <v>0</v>
      </c>
      <c r="H25" s="478">
        <f t="shared" si="8"/>
        <v>0</v>
      </c>
      <c r="I25" s="478">
        <f t="shared" si="9"/>
        <v>0</v>
      </c>
      <c r="J25" s="478">
        <f t="shared" si="10"/>
        <v>7.5205728523864677</v>
      </c>
      <c r="K25" s="478">
        <f t="shared" si="11"/>
        <v>0</v>
      </c>
      <c r="L25" s="478">
        <f t="shared" si="12"/>
        <v>0</v>
      </c>
      <c r="M25" s="478">
        <f t="shared" si="13"/>
        <v>0</v>
      </c>
      <c r="N25" s="478">
        <f t="shared" si="14"/>
        <v>0</v>
      </c>
      <c r="O25" s="478">
        <f t="shared" si="15"/>
        <v>0</v>
      </c>
      <c r="P25" s="479">
        <f t="shared" si="16"/>
        <v>0</v>
      </c>
      <c r="Q25" s="477">
        <f t="shared" ca="1" si="17"/>
        <v>40005.351269248793</v>
      </c>
    </row>
    <row r="26" spans="1:17" s="483" customFormat="1">
      <c r="A26" s="481" t="s">
        <v>563</v>
      </c>
      <c r="B26" s="835">
        <f t="shared" ca="1" si="2"/>
        <v>56.853965694294288</v>
      </c>
      <c r="C26" s="482"/>
      <c r="D26" s="482">
        <f t="shared" si="4"/>
        <v>196.55602331355331</v>
      </c>
      <c r="E26" s="482">
        <f t="shared" si="5"/>
        <v>318.76859818112268</v>
      </c>
      <c r="F26" s="482"/>
      <c r="G26" s="482">
        <f t="shared" si="7"/>
        <v>127613.64125551043</v>
      </c>
      <c r="H26" s="482">
        <f t="shared" si="8"/>
        <v>27727.177635048101</v>
      </c>
      <c r="I26" s="482"/>
      <c r="J26" s="482"/>
      <c r="K26" s="482"/>
      <c r="L26" s="482"/>
      <c r="M26" s="482">
        <f t="shared" si="13"/>
        <v>0</v>
      </c>
      <c r="N26" s="482"/>
      <c r="O26" s="482"/>
      <c r="P26" s="493"/>
      <c r="Q26" s="481">
        <f t="shared" ca="1" si="17"/>
        <v>155912.9974777475</v>
      </c>
    </row>
    <row r="27" spans="1:17">
      <c r="A27" s="477" t="s">
        <v>553</v>
      </c>
      <c r="B27" s="478">
        <f t="shared" ca="1" si="2"/>
        <v>0</v>
      </c>
      <c r="C27" s="478"/>
      <c r="D27" s="482">
        <f t="shared" si="4"/>
        <v>0</v>
      </c>
      <c r="E27" s="478"/>
      <c r="F27" s="478"/>
      <c r="G27" s="478">
        <f t="shared" si="7"/>
        <v>4336.7788865618732</v>
      </c>
      <c r="H27" s="478"/>
      <c r="I27" s="478"/>
      <c r="J27" s="478"/>
      <c r="K27" s="478"/>
      <c r="L27" s="478"/>
      <c r="M27" s="478">
        <f t="shared" si="13"/>
        <v>0</v>
      </c>
      <c r="N27" s="478"/>
      <c r="O27" s="478"/>
      <c r="P27" s="479"/>
      <c r="Q27" s="477">
        <f t="shared" ca="1" si="17"/>
        <v>4336.7788865618732</v>
      </c>
    </row>
    <row r="28" spans="1:17">
      <c r="A28" s="477" t="s">
        <v>554</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555</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556</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557</v>
      </c>
      <c r="B31" s="488">
        <f t="shared" ref="B31:Q31" ca="1" si="18">SUM(B21:B30)</f>
        <v>77799.452785381538</v>
      </c>
      <c r="C31" s="488">
        <f t="shared" ca="1" si="18"/>
        <v>774.86521008403395</v>
      </c>
      <c r="D31" s="488">
        <f t="shared" ca="1" si="18"/>
        <v>125005.5373347163</v>
      </c>
      <c r="E31" s="488">
        <f t="shared" si="18"/>
        <v>5392.5459464257146</v>
      </c>
      <c r="F31" s="488">
        <f t="shared" ca="1" si="18"/>
        <v>37443.991778830292</v>
      </c>
      <c r="G31" s="488">
        <f t="shared" si="18"/>
        <v>131950.42014207231</v>
      </c>
      <c r="H31" s="488">
        <f t="shared" si="18"/>
        <v>27727.177635048101</v>
      </c>
      <c r="I31" s="488">
        <f t="shared" si="18"/>
        <v>0</v>
      </c>
      <c r="J31" s="488">
        <f t="shared" si="18"/>
        <v>92.584282180993881</v>
      </c>
      <c r="K31" s="488">
        <f t="shared" si="18"/>
        <v>0</v>
      </c>
      <c r="L31" s="488">
        <f t="shared" ca="1" si="18"/>
        <v>0</v>
      </c>
      <c r="M31" s="488">
        <f t="shared" si="18"/>
        <v>0</v>
      </c>
      <c r="N31" s="488">
        <f t="shared" ca="1" si="18"/>
        <v>0</v>
      </c>
      <c r="O31" s="488">
        <f t="shared" si="18"/>
        <v>0</v>
      </c>
      <c r="P31" s="489">
        <f t="shared" si="18"/>
        <v>0</v>
      </c>
      <c r="Q31" s="489">
        <f t="shared" ca="1" si="18"/>
        <v>406186.5751147393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552</v>
      </c>
      <c r="B1" s="1159" t="s">
        <v>821</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804</v>
      </c>
      <c r="C4" s="1043" t="s">
        <v>825</v>
      </c>
      <c r="D4" s="1044" t="s">
        <v>805</v>
      </c>
      <c r="E4" s="1045" t="s">
        <v>803</v>
      </c>
      <c r="F4" s="1045" t="s">
        <v>807</v>
      </c>
      <c r="G4" s="1046" t="s">
        <v>827</v>
      </c>
      <c r="H4" s="1046" t="s">
        <v>827</v>
      </c>
      <c r="I4" s="1046" t="s">
        <v>827</v>
      </c>
      <c r="J4" s="1045" t="s">
        <v>806</v>
      </c>
      <c r="K4" s="1046" t="s">
        <v>827</v>
      </c>
      <c r="L4" s="1046" t="s">
        <v>827</v>
      </c>
      <c r="M4" s="1046" t="s">
        <v>827</v>
      </c>
      <c r="N4" s="1045" t="s">
        <v>808</v>
      </c>
      <c r="O4" s="1047" t="s">
        <v>809</v>
      </c>
      <c r="P4" s="1048" t="s">
        <v>810</v>
      </c>
      <c r="Q4" s="1051"/>
    </row>
    <row r="5" spans="1:17" ht="124.15" customHeight="1">
      <c r="A5" s="1024" t="s">
        <v>156</v>
      </c>
      <c r="B5" s="1025" t="s">
        <v>816</v>
      </c>
      <c r="C5" s="1031" t="s">
        <v>826</v>
      </c>
      <c r="D5" s="1031" t="s">
        <v>817</v>
      </c>
      <c r="E5" s="1027" t="s">
        <v>815</v>
      </c>
      <c r="F5" s="1027" t="s">
        <v>814</v>
      </c>
      <c r="G5" s="1028" t="s">
        <v>827</v>
      </c>
      <c r="H5" s="1028" t="s">
        <v>827</v>
      </c>
      <c r="I5" s="1028" t="s">
        <v>827</v>
      </c>
      <c r="J5" s="1027" t="s">
        <v>813</v>
      </c>
      <c r="K5" s="1025" t="s">
        <v>812</v>
      </c>
      <c r="L5" s="1028" t="s">
        <v>827</v>
      </c>
      <c r="M5" s="1028" t="s">
        <v>827</v>
      </c>
      <c r="N5" s="1027" t="s">
        <v>811</v>
      </c>
      <c r="O5" s="1029" t="s">
        <v>809</v>
      </c>
      <c r="P5" s="1030" t="s">
        <v>810</v>
      </c>
      <c r="Q5" s="1052"/>
    </row>
    <row r="6" spans="1:17" ht="124.15" customHeight="1">
      <c r="A6" s="1024" t="s">
        <v>194</v>
      </c>
      <c r="B6" s="1032" t="s">
        <v>818</v>
      </c>
      <c r="C6" s="1026" t="s">
        <v>824</v>
      </c>
      <c r="D6" s="1028" t="s">
        <v>824</v>
      </c>
      <c r="E6" s="1028" t="s">
        <v>824</v>
      </c>
      <c r="F6" s="1028" t="s">
        <v>824</v>
      </c>
      <c r="G6" s="1028" t="s">
        <v>824</v>
      </c>
      <c r="H6" s="1028" t="s">
        <v>824</v>
      </c>
      <c r="I6" s="1028" t="s">
        <v>824</v>
      </c>
      <c r="J6" s="1028" t="s">
        <v>824</v>
      </c>
      <c r="K6" s="1028" t="s">
        <v>824</v>
      </c>
      <c r="L6" s="1028" t="s">
        <v>824</v>
      </c>
      <c r="M6" s="1028" t="s">
        <v>824</v>
      </c>
      <c r="N6" s="1028" t="s">
        <v>824</v>
      </c>
      <c r="O6" s="1033" t="s">
        <v>824</v>
      </c>
      <c r="P6" s="1034" t="s">
        <v>824</v>
      </c>
      <c r="Q6" s="1053"/>
    </row>
    <row r="7" spans="1:17" ht="124.15" customHeight="1">
      <c r="A7" s="1024" t="s">
        <v>112</v>
      </c>
      <c r="B7" s="1032" t="s">
        <v>818</v>
      </c>
      <c r="C7" s="1031" t="s">
        <v>826</v>
      </c>
      <c r="D7" s="1031" t="s">
        <v>817</v>
      </c>
      <c r="E7" s="1027" t="s">
        <v>815</v>
      </c>
      <c r="F7" s="1027" t="s">
        <v>814</v>
      </c>
      <c r="G7" s="1028" t="s">
        <v>827</v>
      </c>
      <c r="H7" s="1028" t="s">
        <v>827</v>
      </c>
      <c r="I7" s="1028" t="s">
        <v>827</v>
      </c>
      <c r="J7" s="1027" t="s">
        <v>813</v>
      </c>
      <c r="K7" s="1028" t="s">
        <v>827</v>
      </c>
      <c r="L7" s="1028" t="s">
        <v>827</v>
      </c>
      <c r="M7" s="1028" t="s">
        <v>827</v>
      </c>
      <c r="N7" s="1035" t="s">
        <v>827</v>
      </c>
      <c r="O7" s="1026" t="s">
        <v>827</v>
      </c>
      <c r="P7" s="1036" t="s">
        <v>827</v>
      </c>
      <c r="Q7" s="1052"/>
    </row>
    <row r="8" spans="1:17" ht="124.15" customHeight="1">
      <c r="A8" s="1024" t="s">
        <v>637</v>
      </c>
      <c r="B8" s="1025" t="s">
        <v>819</v>
      </c>
      <c r="C8" s="1031" t="s">
        <v>826</v>
      </c>
      <c r="D8" s="1031" t="s">
        <v>817</v>
      </c>
      <c r="E8" s="1027" t="s">
        <v>815</v>
      </c>
      <c r="F8" s="1027" t="s">
        <v>814</v>
      </c>
      <c r="G8" s="1028" t="s">
        <v>827</v>
      </c>
      <c r="H8" s="1028" t="s">
        <v>827</v>
      </c>
      <c r="I8" s="1028" t="s">
        <v>827</v>
      </c>
      <c r="J8" s="1027" t="s">
        <v>813</v>
      </c>
      <c r="K8" s="1025" t="s">
        <v>812</v>
      </c>
      <c r="L8" s="1028" t="s">
        <v>827</v>
      </c>
      <c r="M8" s="1028" t="s">
        <v>827</v>
      </c>
      <c r="N8" s="1027" t="s">
        <v>811</v>
      </c>
      <c r="O8" s="1029" t="s">
        <v>809</v>
      </c>
      <c r="P8" s="1030" t="s">
        <v>810</v>
      </c>
      <c r="Q8" s="1052"/>
    </row>
    <row r="9" spans="1:17" s="483" customFormat="1" ht="124.15" customHeight="1">
      <c r="A9" s="1037" t="s">
        <v>563</v>
      </c>
      <c r="B9" s="1027" t="s">
        <v>829</v>
      </c>
      <c r="C9" s="1033" t="s">
        <v>824</v>
      </c>
      <c r="D9" s="1027" t="s">
        <v>830</v>
      </c>
      <c r="E9" s="1027" t="s">
        <v>831</v>
      </c>
      <c r="F9" s="1028" t="s">
        <v>824</v>
      </c>
      <c r="G9" s="1027" t="s">
        <v>832</v>
      </c>
      <c r="H9" s="1027" t="s">
        <v>833</v>
      </c>
      <c r="I9" s="1028" t="s">
        <v>824</v>
      </c>
      <c r="J9" s="1028" t="s">
        <v>824</v>
      </c>
      <c r="K9" s="1028" t="s">
        <v>824</v>
      </c>
      <c r="L9" s="1028" t="s">
        <v>824</v>
      </c>
      <c r="M9" s="1027" t="s">
        <v>829</v>
      </c>
      <c r="N9" s="1028" t="s">
        <v>824</v>
      </c>
      <c r="O9" s="1028" t="s">
        <v>824</v>
      </c>
      <c r="P9" s="1038" t="s">
        <v>824</v>
      </c>
      <c r="Q9" s="1054"/>
    </row>
    <row r="10" spans="1:17" ht="124.15" customHeight="1">
      <c r="A10" s="1024" t="s">
        <v>553</v>
      </c>
      <c r="B10" s="1025" t="s">
        <v>837</v>
      </c>
      <c r="C10" s="1033" t="s">
        <v>824</v>
      </c>
      <c r="D10" s="1033" t="s">
        <v>824</v>
      </c>
      <c r="E10" s="1033" t="s">
        <v>824</v>
      </c>
      <c r="F10" s="1028" t="s">
        <v>824</v>
      </c>
      <c r="G10" s="1025" t="s">
        <v>834</v>
      </c>
      <c r="H10" s="1028" t="s">
        <v>824</v>
      </c>
      <c r="I10" s="1028" t="s">
        <v>824</v>
      </c>
      <c r="J10" s="1028" t="s">
        <v>824</v>
      </c>
      <c r="K10" s="1028" t="s">
        <v>824</v>
      </c>
      <c r="L10" s="1028" t="s">
        <v>824</v>
      </c>
      <c r="M10" s="1025" t="s">
        <v>820</v>
      </c>
      <c r="N10" s="1028" t="s">
        <v>824</v>
      </c>
      <c r="O10" s="1028" t="s">
        <v>824</v>
      </c>
      <c r="P10" s="1038" t="s">
        <v>824</v>
      </c>
      <c r="Q10" s="1052"/>
    </row>
    <row r="11" spans="1:17" ht="21">
      <c r="A11" s="1024" t="s">
        <v>554</v>
      </c>
      <c r="B11" s="1039" t="s">
        <v>828</v>
      </c>
      <c r="C11" s="1039" t="s">
        <v>828</v>
      </c>
      <c r="D11" s="1039" t="s">
        <v>828</v>
      </c>
      <c r="E11" s="1039" t="s">
        <v>828</v>
      </c>
      <c r="F11" s="1039" t="s">
        <v>828</v>
      </c>
      <c r="G11" s="1039" t="s">
        <v>828</v>
      </c>
      <c r="H11" s="1039" t="s">
        <v>828</v>
      </c>
      <c r="I11" s="1039" t="s">
        <v>828</v>
      </c>
      <c r="J11" s="1039" t="s">
        <v>828</v>
      </c>
      <c r="K11" s="1039" t="s">
        <v>828</v>
      </c>
      <c r="L11" s="1039" t="s">
        <v>828</v>
      </c>
      <c r="M11" s="1039" t="s">
        <v>828</v>
      </c>
      <c r="N11" s="1039" t="s">
        <v>828</v>
      </c>
      <c r="O11" s="1039" t="s">
        <v>828</v>
      </c>
      <c r="P11" s="1063" t="s">
        <v>828</v>
      </c>
      <c r="Q11" s="1064"/>
    </row>
    <row r="12" spans="1:17" ht="21">
      <c r="A12" s="1024" t="s">
        <v>555</v>
      </c>
      <c r="B12" s="1039" t="s">
        <v>828</v>
      </c>
      <c r="C12" s="1039" t="s">
        <v>824</v>
      </c>
      <c r="D12" s="1039" t="s">
        <v>824</v>
      </c>
      <c r="E12" s="1039" t="s">
        <v>824</v>
      </c>
      <c r="F12" s="1039" t="s">
        <v>824</v>
      </c>
      <c r="G12" s="1039" t="s">
        <v>824</v>
      </c>
      <c r="H12" s="1039" t="s">
        <v>824</v>
      </c>
      <c r="I12" s="1039" t="s">
        <v>824</v>
      </c>
      <c r="J12" s="1039" t="s">
        <v>824</v>
      </c>
      <c r="K12" s="1039" t="s">
        <v>824</v>
      </c>
      <c r="L12" s="1039" t="s">
        <v>824</v>
      </c>
      <c r="M12" s="1039" t="s">
        <v>824</v>
      </c>
      <c r="N12" s="1039" t="s">
        <v>824</v>
      </c>
      <c r="O12" s="1039" t="s">
        <v>824</v>
      </c>
      <c r="P12" s="1040" t="s">
        <v>824</v>
      </c>
      <c r="Q12" s="479"/>
    </row>
    <row r="13" spans="1:17" ht="21">
      <c r="A13" s="1055" t="s">
        <v>556</v>
      </c>
      <c r="B13" s="1056" t="s">
        <v>828</v>
      </c>
      <c r="C13" s="478" t="s">
        <v>824</v>
      </c>
      <c r="D13" s="485" t="s">
        <v>828</v>
      </c>
      <c r="E13" s="485" t="s">
        <v>828</v>
      </c>
      <c r="F13" s="485" t="s">
        <v>824</v>
      </c>
      <c r="G13" s="485" t="s">
        <v>828</v>
      </c>
      <c r="H13" s="485" t="s">
        <v>828</v>
      </c>
      <c r="I13" s="485" t="s">
        <v>824</v>
      </c>
      <c r="J13" s="485" t="s">
        <v>824</v>
      </c>
      <c r="K13" s="485" t="s">
        <v>824</v>
      </c>
      <c r="L13" s="485" t="s">
        <v>824</v>
      </c>
      <c r="M13" s="1057" t="s">
        <v>828</v>
      </c>
      <c r="N13" s="485" t="s">
        <v>824</v>
      </c>
      <c r="O13" s="485" t="s">
        <v>824</v>
      </c>
      <c r="P13" s="485" t="s">
        <v>824</v>
      </c>
      <c r="Q13" s="484"/>
    </row>
    <row r="14" spans="1:17" s="490" customFormat="1" ht="21">
      <c r="A14" s="1058" t="s">
        <v>557</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822</v>
      </c>
      <c r="B17" s="1018" t="s">
        <v>823</v>
      </c>
      <c r="C17" s="1017" t="s">
        <v>835</v>
      </c>
      <c r="D17" s="1020" t="s">
        <v>836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580</v>
      </c>
      <c r="B6" s="75" t="s">
        <v>581</v>
      </c>
      <c r="C6" s="460" t="s">
        <v>564</v>
      </c>
    </row>
    <row r="7" spans="1:3">
      <c r="A7" s="125"/>
      <c r="B7" s="129"/>
      <c r="C7" s="122"/>
    </row>
    <row r="8" spans="1:3">
      <c r="A8" s="113" t="s">
        <v>583</v>
      </c>
      <c r="B8" s="75" t="s">
        <v>582</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617</v>
      </c>
    </row>
    <row r="13" spans="1:3">
      <c r="A13" s="140"/>
      <c r="B13" s="124"/>
      <c r="C13" s="302"/>
    </row>
    <row r="14" spans="1:3" s="11" customFormat="1">
      <c r="A14" s="113" t="s">
        <v>600</v>
      </c>
      <c r="B14" s="130" t="s">
        <v>601</v>
      </c>
      <c r="C14" s="131" t="s">
        <v>602</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612</v>
      </c>
      <c r="B4" s="494"/>
      <c r="C4" s="494"/>
      <c r="D4" s="494"/>
      <c r="E4" s="494"/>
      <c r="F4" s="494"/>
      <c r="G4" s="526"/>
      <c r="H4" s="526"/>
      <c r="I4" s="494"/>
      <c r="J4" s="494"/>
      <c r="K4" s="494"/>
      <c r="L4" s="494"/>
      <c r="M4" s="494"/>
      <c r="N4" s="494"/>
      <c r="O4" s="494"/>
      <c r="P4" s="494"/>
    </row>
    <row r="5" spans="1:16" outlineLevel="1">
      <c r="A5" s="713" t="s">
        <v>613</v>
      </c>
      <c r="B5" s="494"/>
      <c r="C5" s="494"/>
      <c r="D5" s="494"/>
      <c r="E5" s="494"/>
      <c r="F5" s="494"/>
      <c r="G5" s="526"/>
      <c r="H5" s="526"/>
      <c r="I5" s="494"/>
      <c r="J5" s="494"/>
      <c r="K5" s="494"/>
      <c r="L5" s="494"/>
      <c r="M5" s="494"/>
      <c r="N5" s="494"/>
      <c r="O5" s="494"/>
      <c r="P5" s="494"/>
    </row>
    <row r="6" spans="1:16" outlineLevel="1">
      <c r="A6" s="713" t="s">
        <v>614</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615</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616</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578</v>
      </c>
      <c r="B13" s="478"/>
      <c r="C13" s="498"/>
      <c r="D13" s="498"/>
      <c r="E13" s="498"/>
      <c r="F13" s="498"/>
      <c r="G13" s="498"/>
      <c r="H13" s="498"/>
      <c r="I13" s="498"/>
      <c r="J13" s="498"/>
      <c r="K13" s="498"/>
      <c r="L13" s="498"/>
      <c r="M13" s="498"/>
      <c r="N13" s="498"/>
      <c r="O13" s="842" t="s">
        <v>633</v>
      </c>
      <c r="P13" s="842" t="s">
        <v>632</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605</v>
      </c>
      <c r="B17" s="528">
        <f ca="1">'EF ele_warmte'!B12</f>
        <v>0.19793980777714332</v>
      </c>
      <c r="C17" s="528">
        <f ca="1">'EF ele_warmte'!B22</f>
        <v>0.23764705882352949</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654</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624</v>
      </c>
      <c r="B27" s="849">
        <f>B24*B25*B26</f>
        <v>0</v>
      </c>
      <c r="C27" s="519" t="s">
        <v>625</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654</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624</v>
      </c>
      <c r="B35" s="848">
        <f>B31*B32*B33/1000-B31*B32*B33/1000/B34</f>
        <v>0</v>
      </c>
      <c r="C35" s="525" t="s">
        <v>625</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578</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605</v>
      </c>
      <c r="B17" s="528">
        <f ca="1">'EF ele_warmte'!B12</f>
        <v>0.19793980777714332</v>
      </c>
      <c r="C17" s="528">
        <f ca="1">'EF ele_warmte'!B22</f>
        <v>0.23764705882352949</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578</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596</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605</v>
      </c>
      <c r="B29" s="529">
        <f ca="1">'EF ele_warmte'!B12</f>
        <v>0.19793980777714332</v>
      </c>
      <c r="C29" s="529">
        <f ca="1">'EF ele_warmte'!B22</f>
        <v>0.23764705882352949</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2019-01-01T21:21:26Z</dcterms:modified>
</cp:coreProperties>
</file>