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R59"/>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3" i="15" l="1"/>
  <c r="C16" s="1"/>
  <c r="L6" i="17"/>
  <c r="L5" s="1"/>
  <c r="B13" i="15"/>
  <c r="F6" i="17"/>
  <c r="F8" s="1"/>
  <c r="D16" i="16"/>
  <c r="O4" i="48"/>
  <c r="E16"/>
  <c r="I16"/>
  <c r="I24" s="1"/>
  <c r="F16"/>
  <c r="J16"/>
  <c r="K16"/>
  <c r="D16"/>
  <c r="D27" s="1"/>
  <c r="H16"/>
  <c r="H24" s="1"/>
  <c r="L16" i="16"/>
  <c r="L18" s="1"/>
  <c r="L22" s="1"/>
  <c r="M39" i="14" s="1"/>
  <c r="I14" i="15"/>
  <c r="I16" s="1"/>
  <c r="J10" i="14" s="1"/>
  <c r="B13" i="16"/>
  <c r="C35"/>
  <c r="D8" i="17"/>
  <c r="E9" i="14"/>
  <c r="D14" i="15"/>
  <c r="P18" i="16"/>
  <c r="N6" i="17"/>
  <c r="N5" s="1"/>
  <c r="J8"/>
  <c r="N16" i="16"/>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1" i="20"/>
  <c r="E43" i="14" s="1"/>
  <c r="E18"/>
  <c r="O80"/>
  <c r="L4" i="48"/>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I21" i="48"/>
  <c r="O21"/>
  <c r="L16"/>
  <c r="K24"/>
  <c r="K25"/>
  <c r="Q11" i="14"/>
  <c r="P12" i="13"/>
  <c r="Q37" i="14" s="1"/>
  <c r="P4" i="48"/>
  <c r="P21" s="1"/>
  <c r="D12" i="13"/>
  <c r="E37" i="14" s="1"/>
  <c r="D4" i="48"/>
  <c r="E11" i="14"/>
  <c r="G25" i="48"/>
  <c r="C22" i="13"/>
  <c r="C21"/>
  <c r="C20"/>
  <c r="O24" i="48"/>
  <c r="I25"/>
  <c r="P11" i="14"/>
  <c r="O12" i="13"/>
  <c r="P37" i="14" s="1"/>
  <c r="B10" i="48"/>
  <c r="C18" i="14"/>
  <c r="J7" i="48"/>
  <c r="J24" s="1"/>
  <c r="P24"/>
  <c r="E5" i="17"/>
  <c r="C8"/>
  <c r="G24" i="48"/>
  <c r="G81" i="14"/>
  <c r="D79"/>
  <c r="H79"/>
  <c r="H81" s="1"/>
  <c r="L79"/>
  <c r="L81" s="1"/>
  <c r="F79"/>
  <c r="J79"/>
  <c r="E68"/>
  <c r="E69" s="1"/>
  <c r="I68"/>
  <c r="M68"/>
  <c r="M69" s="1"/>
  <c r="D19" i="18"/>
  <c r="L19"/>
  <c r="B68" i="14"/>
  <c r="G68"/>
  <c r="G69" s="1"/>
  <c r="E81"/>
  <c r="M81"/>
  <c r="F19" i="18"/>
  <c r="D11" i="14"/>
  <c r="C4" i="48"/>
  <c r="D10" i="14"/>
  <c r="M17" i="18"/>
  <c r="M18"/>
  <c r="D21" i="48" l="1"/>
  <c r="H21"/>
  <c r="H28"/>
  <c r="E28"/>
  <c r="D28"/>
  <c r="D30"/>
  <c r="H25"/>
  <c r="G22" i="14"/>
  <c r="P22" i="16"/>
  <c r="Q39" i="14" s="1"/>
  <c r="G11"/>
  <c r="J12" i="17"/>
  <c r="K48" i="14" s="1"/>
  <c r="Q13"/>
  <c r="B35" i="13"/>
  <c r="B47" s="1"/>
  <c r="J15" i="14"/>
  <c r="J23" s="1"/>
  <c r="P8" i="48"/>
  <c r="P25" s="1"/>
  <c r="D18" i="16"/>
  <c r="E13" i="14" s="1"/>
  <c r="G31" i="20"/>
  <c r="H43" i="14" s="1"/>
  <c r="G12" i="22"/>
  <c r="D16" i="15"/>
  <c r="K22" i="14"/>
  <c r="E8" i="17"/>
  <c r="E12" s="1"/>
  <c r="F48" i="14" s="1"/>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10"/>
  <c r="J5" i="15"/>
  <c r="F4" i="48"/>
  <c r="F21" s="1"/>
  <c r="B69" i="14"/>
  <c r="B4" i="6" s="1"/>
  <c r="L53" i="14"/>
  <c r="F5" i="15"/>
  <c r="F16" s="1"/>
  <c r="B5"/>
  <c r="B16" s="1"/>
  <c r="B5" i="16"/>
  <c r="B18" s="1"/>
  <c r="N5" i="15"/>
  <c r="N16" s="1"/>
  <c r="F12" i="13"/>
  <c r="G37" i="14" s="1"/>
  <c r="P5" i="48"/>
  <c r="P22" s="1"/>
  <c r="F13" i="16"/>
  <c r="E13"/>
  <c r="N13"/>
  <c r="J13"/>
  <c r="N12"/>
  <c r="J12"/>
  <c r="F12"/>
  <c r="E12"/>
  <c r="Q11" i="48"/>
  <c r="O5"/>
  <c r="R9" i="14"/>
  <c r="O28" i="48"/>
  <c r="H22"/>
  <c r="B46" i="13"/>
  <c r="E5" s="1"/>
  <c r="E8" s="1"/>
  <c r="K31" i="48"/>
  <c r="M25"/>
  <c r="M24"/>
  <c r="I31"/>
  <c r="C50" i="13"/>
  <c r="J5" s="1"/>
  <c r="J8" s="1"/>
  <c r="C5" i="48"/>
  <c r="Q41" i="14" l="1"/>
  <c r="Q53" s="1"/>
  <c r="Q55" s="1"/>
  <c r="Q15"/>
  <c r="Q23" s="1"/>
  <c r="I7" i="18"/>
  <c r="I9" s="1"/>
  <c r="H18" i="14"/>
  <c r="O22" i="16"/>
  <c r="P39" i="14" s="1"/>
  <c r="M10" i="48"/>
  <c r="M27" s="1"/>
  <c r="F22" i="14"/>
  <c r="C13"/>
  <c r="E12" i="13"/>
  <c r="F37" i="14" s="1"/>
  <c r="D22" i="16"/>
  <c r="E39" i="14" s="1"/>
  <c r="N4" i="48"/>
  <c r="N21" s="1"/>
  <c r="D20" i="15"/>
  <c r="E36" i="14" s="1"/>
  <c r="G14" i="22"/>
  <c r="O8" i="48"/>
  <c r="O25" s="1"/>
  <c r="E7"/>
  <c r="E24" s="1"/>
  <c r="P31"/>
  <c r="N7"/>
  <c r="N24" s="1"/>
  <c r="J16" i="15"/>
  <c r="J5" i="48" s="1"/>
  <c r="J22" s="1"/>
  <c r="E16" i="15"/>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J20" l="1"/>
  <c r="K36" i="14" s="1"/>
  <c r="J67"/>
  <c r="C67" s="1"/>
  <c r="C69" s="1"/>
  <c r="E41"/>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8" i="15"/>
  <c r="C20" s="1"/>
  <c r="D36" i="14" s="1"/>
  <c r="C20" i="16"/>
  <c r="C22" s="1"/>
  <c r="D39" i="14" s="1"/>
  <c r="C17" i="19"/>
  <c r="C19" s="1"/>
  <c r="D35" i="14" s="1"/>
  <c r="C29" i="20"/>
  <c r="C17" i="49"/>
  <c r="C56" i="22"/>
  <c r="C58" s="1"/>
  <c r="D44" i="14" s="1"/>
  <c r="D46" s="1"/>
  <c r="Q5" i="48"/>
  <c r="Q4"/>
  <c r="N22"/>
  <c r="R11" i="14"/>
  <c r="J21" i="48"/>
  <c r="J69" i="14" l="1"/>
  <c r="C16" i="48"/>
  <c r="E22" i="16"/>
  <c r="F39" i="14" s="1"/>
  <c r="K13"/>
  <c r="K15" s="1"/>
  <c r="K23" s="1"/>
  <c r="G13"/>
  <c r="G15" s="1"/>
  <c r="G23" s="1"/>
  <c r="N8" i="48"/>
  <c r="F8"/>
  <c r="F22" i="16"/>
  <c r="G39" i="14" s="1"/>
  <c r="G41" s="1"/>
  <c r="G53" s="1"/>
  <c r="O13"/>
  <c r="O15" s="1"/>
  <c r="F41"/>
  <c r="F53" s="1"/>
  <c r="N22" i="16"/>
  <c r="O39" i="14" s="1"/>
  <c r="O41" s="1"/>
  <c r="O53" s="1"/>
  <c r="E8" i="48"/>
  <c r="E25" s="1"/>
  <c r="E31" s="1"/>
  <c r="F13" i="14"/>
  <c r="F15" s="1"/>
  <c r="F23" s="1"/>
  <c r="J22" i="16"/>
  <c r="K39" i="14" s="1"/>
  <c r="K41" s="1"/>
  <c r="K53" s="1"/>
  <c r="J8" i="48"/>
  <c r="J25" s="1"/>
  <c r="J31" s="1"/>
  <c r="E14"/>
  <c r="N25"/>
  <c r="N31" s="1"/>
  <c r="N14"/>
  <c r="N55" i="14"/>
  <c r="H55"/>
  <c r="E55"/>
  <c r="C78"/>
  <c r="C81" s="1"/>
  <c r="J14" i="48"/>
  <c r="R19" i="14"/>
  <c r="R20" s="1"/>
  <c r="H14" i="48"/>
  <c r="G31"/>
  <c r="H26"/>
  <c r="H31" s="1"/>
  <c r="M53" i="14"/>
  <c r="M55" s="1"/>
  <c r="C12" i="13"/>
  <c r="D37" i="14" s="1"/>
  <c r="D41" s="1"/>
  <c r="F25" i="48"/>
  <c r="F31" s="1"/>
  <c r="F14"/>
  <c r="K55" i="14" l="1"/>
  <c r="C28" i="4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<sst xmlns="http://schemas.openxmlformats.org/spreadsheetml/2006/main" count="2099" uniqueCount="844">
  <si>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</si>
  <si>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</si>
  <si>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</si>
  <si>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</si>
  <si>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</si>
  <si>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</si>
  <si>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</si>
  <si>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</si>
  <si>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</si>
  <si>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</si>
  <si>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</si>
  <si>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</si>
  <si>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</si>
  <si>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</si>
  <si>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</si>
  <si>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</si>
  <si>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</si>
  <si>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</si>
  <si>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</si>
  <si>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</si>
  <si>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</si>
  <si>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</si>
  <si>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</si>
  <si>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</si>
  <si>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</si>
  <si>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</si>
  <si>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</si>
  <si>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</si>
  <si>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</si>
  <si>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</si>
  <si>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</si>
  <si>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</si>
  <si>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</si>
  <si>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</si>
  <si>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</si>
  <si>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</si>
  <si>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</si>
  <si>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</si>
  <si>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</si>
  <si>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</si>
  <si>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</si>
  <si>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</si>
  <si>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</si>
  <si>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</si>
  <si>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</si>
  <si>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</si>
  <si>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</si>
  <si>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</si>
  <si>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</si>
  <si>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</si>
  <si>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</si>
  <si>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</si>
  <si>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</si>
  <si>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</si>
  <si>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</si>
  <si>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</si>
  <si>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</si>
  <si>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</si>
  <si>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</si>
  <si>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</si>
  <si>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</si>
  <si>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</si>
  <si>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</si>
  <si>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</si>
  <si>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</si>
  <si>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</si>
  <si>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</si>
  <si>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</si>
  <si>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</si>
  <si>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</si>
  <si>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</si>
  <si>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</si>
  <si>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</si>
  <si>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</si>
  <si>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</si>
  <si>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</si>
  <si>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</si>
  <si>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</si>
  <si>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</si>
  <si>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</si>
  <si>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</si>
  <si>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</si>
  <si>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</si>
  <si>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</si>
  <si>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</si>
  <si>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</si>
  <si>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</si>
  <si>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</si>
  <si>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</si>
  <si>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</si>
  <si>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</si>
  <si>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</si>
  <si>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</si>
  <si>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</si>
  <si>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</si>
  <si>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</si>
  <si>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</si>
  <si>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</si>
  <si>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</si>
  <si>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</si>
  <si>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</si>
  <si>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</si>
  <si>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</si>
  <si>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</si>
  <si>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</si>
  <si>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</si>
  <si>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</si>
  <si>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</si>
  <si>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</si>
  <si>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</si>
  <si>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</si>
  <si>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</si>
  <si>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</si>
  <si>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</si>
  <si>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</si>
  <si>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</si>
  <si>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</si>
  <si>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</si>
  <si>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</si>
  <si>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</si>
  <si>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</si>
  <si>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</si>
  <si>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</si>
  <si>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</si>
  <si>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</si>
  <si>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</si>
  <si>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</si>
  <si>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</si>
  <si>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</si>
  <si>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</si>
  <si>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</si>
  <si>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</si>
  <si>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</si>
  <si>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</si>
  <si>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</si>
  <si>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</si>
  <si>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</si>
  <si>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</si>
  <si>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</si>
  <si>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</si>
  <si>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</si>
  <si>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</si>
  <si>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</si>
  <si>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</si>
  <si>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</si>
  <si>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</si>
  <si>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</si>
  <si>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</si>
  <si>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</si>
  <si>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</si>
  <si>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</si>
  <si>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</si>
  <si>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</si>
  <si>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</si>
  <si>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</si>
  <si>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</si>
  <si>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</si>
  <si>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</si>
  <si>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</si>
  <si>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</si>
  <si>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</si>
  <si>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</si>
  <si>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</si>
  <si>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</si>
  <si>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</si>
  <si>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</si>
  <si>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</si>
  <si>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</si>
  <si>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</si>
  <si>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</si>
  <si>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</si>
  <si>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</si>
  <si>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</si>
  <si>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</si>
  <si>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</si>
  <si>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</si>
  <si>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</si>
  <si>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</si>
  <si>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</si>
  <si>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</si>
  <si>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</si>
  <si>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</si>
  <si>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</si>
  <si>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</si>
  <si>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</si>
  <si>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</si>
  <si>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</si>
  <si>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</si>
  <si>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</si>
  <si>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</si>
  <si>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</si>
  <si>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</si>
  <si>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</si>
  <si>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</si>
  <si>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</si>
  <si>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</si>
  <si>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</si>
  <si>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</si>
  <si>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</si>
  <si>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</si>
  <si>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</si>
  <si>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</si>
  <si>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</si>
  <si>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</si>
  <si>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</si>
  <si>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</si>
  <si>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</si>
  <si>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</si>
  <si>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</si>
  <si>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</si>
  <si>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</si>
  <si>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</si>
  <si>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</si>
  <si>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</si>
  <si>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</si>
  <si>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</si>
  <si>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</si>
  <si>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</si>
  <si>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</si>
  <si>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</si>
  <si>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</si>
  <si>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</si>
  <si>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</si>
  <si>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</si>
  <si>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</si>
  <si>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</si>
  <si>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</si>
  <si>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</si>
  <si>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</si>
  <si>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</si>
  <si>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</si>
  <si>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</si>
  <si>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</si>
  <si>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</si>
  <si>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</si>
  <si>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</si>
  <si>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</si>
  <si>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</si>
  <si>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</si>
  <si>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</si>
  <si>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</si>
  <si>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</si>
  <si>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</si>
  <si>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</si>
  <si>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</si>
  <si>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</si>
  <si>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</si>
  <si>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</si>
  <si>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</si>
  <si>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</si>
  <si>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</si>
  <si>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</si>
  <si>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</si>
  <si>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</si>
  <si>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</si>
  <si>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</si>
  <si>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</si>
  <si>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</si>
  <si>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</si>
  <si>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</si>
  <si>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</si>
  <si>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</si>
  <si>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</si>
  <si>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</si>
  <si>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</si>
  <si>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</si>
  <si>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</si>
  <si>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</si>
  <si>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</si>
  <si>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</si>
  <si>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</si>
  <si>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</si>
  <si>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</si>
  <si>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</si>
  <si>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</si>
  <si>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</si>
  <si>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</si>
  <si>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</si>
  <si>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</si>
  <si>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</si>
  <si>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</si>
  <si>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</si>
  <si>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</si>
  <si>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</si>
  <si>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</si>
  <si>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</si>
  <si>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</si>
  <si>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</si>
  <si>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</si>
  <si>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</si>
  <si>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</si>
  <si>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</si>
  <si>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</si>
  <si>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</si>
  <si>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</si>
  <si>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</si>
  <si>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</si>
  <si>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</si>
  <si>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</si>
  <si>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</si>
  <si>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</si>
  <si>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</si>
  <si>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</si>
  <si>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</si>
  <si>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</si>
  <si>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</si>
  <si>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</si>
  <si>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</si>
  <si>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</si>
  <si>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</si>
  <si>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</si>
  <si>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</si>
  <si>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</si>
  <si>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</si>
  <si>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</si>
  <si>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</si>
  <si>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</si>
  <si>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</si>
  <si>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</si>
  <si>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</si>
  <si>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</si>
  <si>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</si>
  <si>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</si>
  <si>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</si>
  <si>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</si>
  <si>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</si>
  <si>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</si>
  <si>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</si>
  <si>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</si>
  <si>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</si>
  <si>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</si>
  <si>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</si>
  <si>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</si>
  <si>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</si>
  <si>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</si>
  <si>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</si>
  <si>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</si>
  <si>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</si>
  <si>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</si>
  <si>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</si>
  <si>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</si>
  <si>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</si>
  <si>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</si>
  <si>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</si>
  <si>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</si>
  <si>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</si>
  <si>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</si>
  <si>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</si>
  <si>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</si>
  <si>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</si>
  <si>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</si>
  <si>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</si>
  <si>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</si>
  <si>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</si>
  <si>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</si>
  <si>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</si>
  <si>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</si>
  <si>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</si>
  <si>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</si>
  <si>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</si>
  <si>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</si>
  <si>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</si>
  <si>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</si>
  <si>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</si>
  <si>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</si>
  <si>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</si>
  <si>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</si>
  <si>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</si>
  <si>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</si>
  <si>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</si>
  <si>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</si>
  <si>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</si>
  <si>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</si>
  <si>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</si>
  <si>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</si>
  <si>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</si>
  <si>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</si>
  <si>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</si>
  <si>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</si>
  <si>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</si>
  <si>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</si>
  <si>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</si>
  <si>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</si>
  <si>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</si>
  <si>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</si>
  <si>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</si>
  <si>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</si>
  <si>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</si>
  <si>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</si>
  <si>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</si>
  <si>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</si>
  <si>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</si>
  <si>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</si>
  <si>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</si>
  <si>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</si>
  <si>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</si>
  <si>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</si>
  <si>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</si>
  <si>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</si>
  <si>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</si>
  <si>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</si>
  <si>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</si>
  <si>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</si>
  <si>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</si>
  <si>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</si>
  <si>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</si>
  <si>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</si>
  <si>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</si>
  <si>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</si>
  <si>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</si>
  <si>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</si>
  <si>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</si>
  <si>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</si>
  <si>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</si>
  <si>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</si>
  <si>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</si>
  <si>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</si>
  <si>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</si>
  <si>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</si>
  <si>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</si>
  <si>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</si>
  <si>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</si>
  <si>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</si>
  <si>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</si>
  <si>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</si>
  <si>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</si>
  <si>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</si>
  <si>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</si>
  <si>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</si>
  <si>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</si>
  <si>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</si>
  <si>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</si>
  <si>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</si>
  <si>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</si>
  <si>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</si>
  <si>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</si>
  <si>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</si>
  <si>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</si>
  <si>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</si>
  <si>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</si>
  <si>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</si>
  <si>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</si>
  <si>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</si>
  <si>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</si>
  <si>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</si>
  <si>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</si>
  <si>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</si>
  <si>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</si>
  <si>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</si>
  <si>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</si>
  <si>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</si>
  <si>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</si>
  <si>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</si>
  <si>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</si>
  <si>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</si>
  <si>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</si>
  <si>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</si>
  <si>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</si>
  <si>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</si>
  <si>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</si>
  <si>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</si>
  <si>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</si>
  <si>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</si>
  <si>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</si>
  <si>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</si>
  <si>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</si>
  <si>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</si>
  <si>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</si>
  <si>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</si>
  <si>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</si>
  <si>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</si>
  <si>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</si>
  <si>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</si>
  <si>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</si>
  <si>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</si>
  <si>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</si>
  <si>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</si>
  <si>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</si>
  <si>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</si>
  <si>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</si>
  <si>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</si>
  <si>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</si>
  <si>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</si>
  <si>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</si>
  <si>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</si>
  <si>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</si>
  <si>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</si>
  <si>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</si>
  <si>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</si>
  <si>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</si>
  <si>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</si>
  <si>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</si>
  <si>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</si>
  <si>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</si>
  <si>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</si>
  <si>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</si>
  <si>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</si>
  <si>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</si>
  <si>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</si>
  <si>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</si>
  <si>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</si>
  <si>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</si>
  <si>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</si>
  <si>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</si>
  <si>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</si>
  <si>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</si>
  <si>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</si>
  <si>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</si>
  <si>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</si>
  <si>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</si>
  <si>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</si>
  <si>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</si>
  <si>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</si>
  <si>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</si>
  <si>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</si>
  <si>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</si>
  <si>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</si>
  <si>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</si>
  <si>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</si>
  <si>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</si>
  <si>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</si>
  <si>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</si>
  <si>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</si>
  <si>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</si>
  <si>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</si>
  <si>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</si>
  <si>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</si>
  <si>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</si>
  <si>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</si>
  <si>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</si>
  <si>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</si>
  <si>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</si>
  <si>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</si>
  <si>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</si>
  <si>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</si>
  <si>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</si>
  <si>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</si>
  <si>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</si>
  <si>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</si>
  <si>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</si>
  <si>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</si>
  <si>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</si>
  <si>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</si>
  <si>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</si>
  <si>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</si>
  <si>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</si>
  <si>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</si>
  <si>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</si>
  <si>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</si>
  <si>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</si>
  <si>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</si>
  <si>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</si>
  <si>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</si>
  <si>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</si>
  <si>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</si>
  <si>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</si>
  <si>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</si>
  <si>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</si>
  <si>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</si>
  <si>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</si>
  <si>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</si>
  <si>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</si>
  <si>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</si>
  <si>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</si>
  <si>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</si>
  <si>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</si>
  <si>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</si>
  <si>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</si>
  <si>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</si>
  <si>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</si>
  <si>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</si>
  <si>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</si>
  <si>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</si>
  <si>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</si>
  <si>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</si>
  <si>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</si>
  <si>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</si>
  <si>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</si>
  <si>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</si>
  <si>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</si>
  <si>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</si>
  <si>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</si>
  <si>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</si>
  <si>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</si>
  <si>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</si>
  <si>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</si>
  <si>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</si>
  <si>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</si>
  <si>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</si>
  <si>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</si>
  <si>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</si>
  <si>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</si>
  <si>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</si>
  <si>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</si>
  <si>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</si>
  <si>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</si>
  <si>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</si>
  <si>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</si>
  <si>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</si>
  <si>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</si>
  <si>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</si>
  <si>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</si>
  <si>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</si>
  <si>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</si>
  <si>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</si>
  <si>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</si>
  <si>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</si>
  <si>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</si>
  <si>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</si>
  <si>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</si>
  <si>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</si>
  <si>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</si>
  <si>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</si>
  <si>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</si>
  <si>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</si>
  <si>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</si>
  <si>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</si>
  <si>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</si>
  <si>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</si>
  <si>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</si>
  <si>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</si>
  <si>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</si>
  <si>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</si>
  <si>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</si>
  <si>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</si>
  <si>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</si>
  <si>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</si>
  <si>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</si>
  <si>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</si>
  <si>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</si>
  <si>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</si>
  <si>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</si>
  <si>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</si>
  <si>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</si>
  <si>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</si>
  <si>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</si>
  <si>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</si>
  <si>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</si>
  <si>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</si>
  <si>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</si>
  <si>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</si>
  <si>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</si>
  <si>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</si>
  <si>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</si>
  <si>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</si>
  <si>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</si>
  <si>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</si>
  <si>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</si>
  <si>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</si>
  <si>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</si>
  <si>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</si>
  <si>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</si>
  <si>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</si>
  <si>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</si>
  <si>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</si>
  <si>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</si>
  <si>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</si>
  <si>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</si>
  <si>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</si>
  <si>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</si>
  <si>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</si>
  <si>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</si>
  <si>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</si>
  <si>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</si>
  <si>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</si>
  <si>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</si>
  <si>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</si>
  <si>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</si>
  <si>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</si>
  <si>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</si>
  <si>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</si>
  <si>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</si>
  <si>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</si>
  <si>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</si>
  <si>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</si>
  <si>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</si>
  <si>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</si>
  <si>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</si>
  <si>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</si>
  <si>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</si>
  <si>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</si>
  <si>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</si>
  <si>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</si>
  <si>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</si>
  <si>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</si>
  <si>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</si>
  <si>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</si>
  <si>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</si>
  <si>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</si>
  <si>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</si>
  <si>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</si>
  <si>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</si>
  <si>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</si>
  <si>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</si>
  <si>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</si>
  <si>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</si>
  <si>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</si>
  <si>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</si>
  <si>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</si>
  <si>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</si>
  <si>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</si>
  <si>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</si>
  <si>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</si>
  <si>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</si>
  <si>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</si>
  <si>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</si>
  <si>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</si>
  <si>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</si>
  <si>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</si>
  <si>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</si>
  <si>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</si>
  <si>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</si>
  <si>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</si>
  <si>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</si>
  <si>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</si>
  <si>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</si>
  <si>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</si>
  <si>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</si>
  <si>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</si>
  <si>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</si>
  <si>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</si>
  <si>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</si>
  <si>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</si>
  <si>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</si>
  <si>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</si>
  <si>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</si>
  <si>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</si>
  <si>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</si>
  <si>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</si>
  <si>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</si>
  <si>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</si>
  <si>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</si>
  <si>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</si>
  <si>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</si>
  <si>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</si>
  <si>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</si>
  <si>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</si>
  <si>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</si>
  <si>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</si>
  <si>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</si>
  <si>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</si>
  <si>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</si>
  <si>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</si>
  <si>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</si>
  <si>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</si>
  <si>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</si>
  <si>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</si>
  <si>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</si>
  <si>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</si>
  <si>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</si>
  <si>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</si>
  <si>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</si>
  <si>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</si>
  <si>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</si>
  <si>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</si>
  <si>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</si>
  <si>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</si>
  <si>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</si>
  <si>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</si>
  <si>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</si>
  <si>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</si>
  <si>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</si>
  <si>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</si>
  <si>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</si>
  <si>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</si>
  <si>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</si>
  <si>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</si>
  <si>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</si>
  <si>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</si>
  <si>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</si>
  <si>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</si>
  <si>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</si>
  <si>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</si>
  <si>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</si>
  <si>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</si>
  <si>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</si>
  <si>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</si>
  <si>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</si>
  <si>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</si>
  <si>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</si>
  <si>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</si>
  <si>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</si>
  <si>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</si>
  <si>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</si>
  <si>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</si>
  <si>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</si>
  <si>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</si>
  <si>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</si>
  <si>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</si>
  <si>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</si>
  <si>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</si>
  <si>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</si>
  <si>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</si>
  <si>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</si>
  <si>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</si>
  <si>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</si>
  <si>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</si>
  <si>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</si>
  <si>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</si>
  <si>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</si>
  <si>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</si>
  <si>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</si>
  <si>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</si>
  <si>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</si>
  <si>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</si>
  <si>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</si>
  <si>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</si>
  <si>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</si>
  <si>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</si>
  <si>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</si>
  <si>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</si>
  <si>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</si>
  <si>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</si>
  <si>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</si>
  <si>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</si>
  <si>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</si>
  <si>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</si>
  <si>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</si>
  <si>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</si>
  <si>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</si>
  <si>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</si>
  <si>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</si>
  <si>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</si>
  <si>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</si>
  <si>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</si>
  <si>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</si>
  <si>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</si>
  <si>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</si>
  <si>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</si>
  <si>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</si>
  <si>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</si>
  <si>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</si>
  <si>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</si>
  <si>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</si>
  <si>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</si>
  <si>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</si>
  <si>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71004</t>
  </si>
  <si>
    <t>BERINGEN</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</si>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</sst>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364000.62362628093</c:v>
                </c:pt>
                <c:pt idx="1">
                  <c:v>96112.578896356776</c:v>
                </c:pt>
                <c:pt idx="2">
                  <c:v>2021.1</c:v>
                </c:pt>
                <c:pt idx="3">
                  <c:v>9453.0538544865867</c:v>
                </c:pt>
                <c:pt idx="4">
                  <c:v>112544.83480041413</c:v>
                </c:pt>
                <c:pt idx="5">
                  <c:v>264585.17412937107</c:v>
                </c:pt>
                <c:pt idx="6">
                  <c:v>3438.8058434950908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438720"/>
        <c:axId val="183469184"/>
      </c:barChart>
      <c:catAx>
        <c:axId val="183438720"/>
        <c:scaling>
          <c:orientation val="minMax"/>
        </c:scaling>
        <c:axPos val="b"/>
        <c:numFmt formatCode="General" sourceLinked="0"/>
        <c:tickLblPos val="nextTo"/>
        <c:crossAx val="183469184"/>
        <c:crosses val="autoZero"/>
        <c:auto val="1"/>
        <c:lblAlgn val="ctr"/>
        <c:lblOffset val="100"/>
      </c:catAx>
      <c:valAx>
        <c:axId val="183469184"/>
        <c:scaling>
          <c:orientation val="minMax"/>
        </c:scaling>
        <c:axPos val="l"/>
        <c:majorGridlines>
          <c:spPr>
            <a:ln>
              <a:noFill/>
            </a:ln>
          </c:spPr>
        </c:majorGridlines>
        <c:numFmt formatCode="#,##0" sourceLinked="1"/>
        <c:tickLblPos val="nextTo"/>
        <c:crossAx val="18343872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364000.62362628093</c:v>
                </c:pt>
                <c:pt idx="1">
                  <c:v>96112.578896356776</c:v>
                </c:pt>
                <c:pt idx="2">
                  <c:v>2021.1</c:v>
                </c:pt>
                <c:pt idx="3">
                  <c:v>9453.0538544865867</c:v>
                </c:pt>
                <c:pt idx="4">
                  <c:v>112544.83480041413</c:v>
                </c:pt>
                <c:pt idx="5">
                  <c:v>264585.17412937107</c:v>
                </c:pt>
                <c:pt idx="6">
                  <c:v>3438.8058434950908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65754.530965110142</c:v>
                </c:pt>
                <c:pt idx="1">
                  <c:v>15996.215564745084</c:v>
                </c:pt>
                <c:pt idx="2">
                  <c:v>282.93505852466274</c:v>
                </c:pt>
                <c:pt idx="3">
                  <c:v>1999.8518761307907</c:v>
                </c:pt>
                <c:pt idx="4">
                  <c:v>14059.04471763674</c:v>
                </c:pt>
                <c:pt idx="5">
                  <c:v>66199.306292220208</c:v>
                </c:pt>
                <c:pt idx="6">
                  <c:v>868.81623360031858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006528"/>
        <c:axId val="184008064"/>
      </c:barChart>
      <c:catAx>
        <c:axId val="184006528"/>
        <c:scaling>
          <c:orientation val="minMax"/>
        </c:scaling>
        <c:axPos val="b"/>
        <c:numFmt formatCode="General" sourceLinked="0"/>
        <c:tickLblPos val="nextTo"/>
        <c:crossAx val="184008064"/>
        <c:crosses val="autoZero"/>
        <c:auto val="1"/>
        <c:lblAlgn val="ctr"/>
        <c:lblOffset val="100"/>
      </c:catAx>
      <c:valAx>
        <c:axId val="184008064"/>
        <c:scaling>
          <c:orientation val="minMax"/>
        </c:scaling>
        <c:axPos val="l"/>
        <c:majorGridlines>
          <c:spPr>
            <a:ln>
              <a:noFill/>
            </a:ln>
          </c:spPr>
        </c:majorGridlines>
        <c:numFmt formatCode="#,##0" sourceLinked="1"/>
        <c:tickLblPos val="nextTo"/>
        <c:crossAx val="18400652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65754.530965110142</c:v>
                </c:pt>
                <c:pt idx="1">
                  <c:v>15996.215564745084</c:v>
                </c:pt>
                <c:pt idx="2">
                  <c:v>282.93505852466274</c:v>
                </c:pt>
                <c:pt idx="3">
                  <c:v>1999.8518761307907</c:v>
                </c:pt>
                <c:pt idx="4">
                  <c:v>14059.04471763674</c:v>
                </c:pt>
                <c:pt idx="5">
                  <c:v>66199.306292220208</c:v>
                </c:pt>
                <c:pt idx="6">
                  <c:v>868.81623360031858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71004</v>
      </c>
      <c r="B6" s="415"/>
      <c r="C6" s="416"/>
    </row>
    <row r="7" spans="1:7" s="413" customFormat="1" ht="15.75" customHeight="1">
      <c r="A7" s="417" t="str">
        <f>txtMunicipality</f>
        <v>BERINGEN</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71004</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17599</v>
      </c>
      <c r="C9" s="342">
        <v>18200</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2005.74</v>
      </c>
    </row>
    <row r="15" spans="1:6">
      <c r="A15" s="348" t="s">
        <v>184</v>
      </c>
      <c r="B15" s="334">
        <v>2</v>
      </c>
    </row>
    <row r="16" spans="1:6">
      <c r="A16" s="348" t="s">
        <v>6</v>
      </c>
      <c r="B16" s="334">
        <v>120</v>
      </c>
    </row>
    <row r="17" spans="1:6">
      <c r="A17" s="348" t="s">
        <v>7</v>
      </c>
      <c r="B17" s="334">
        <v>157</v>
      </c>
    </row>
    <row r="18" spans="1:6">
      <c r="A18" s="348" t="s">
        <v>8</v>
      </c>
      <c r="B18" s="334">
        <v>207</v>
      </c>
    </row>
    <row r="19" spans="1:6">
      <c r="A19" s="348" t="s">
        <v>9</v>
      </c>
      <c r="B19" s="334">
        <v>250</v>
      </c>
    </row>
    <row r="20" spans="1:6">
      <c r="A20" s="348" t="s">
        <v>10</v>
      </c>
      <c r="B20" s="334">
        <v>133</v>
      </c>
    </row>
    <row r="21" spans="1:6">
      <c r="A21" s="348" t="s">
        <v>11</v>
      </c>
      <c r="B21" s="334">
        <v>0</v>
      </c>
    </row>
    <row r="22" spans="1:6">
      <c r="A22" s="348" t="s">
        <v>12</v>
      </c>
      <c r="B22" s="334">
        <v>2013</v>
      </c>
    </row>
    <row r="23" spans="1:6">
      <c r="A23" s="348" t="s">
        <v>13</v>
      </c>
      <c r="B23" s="334">
        <v>0</v>
      </c>
    </row>
    <row r="24" spans="1:6">
      <c r="A24" s="348" t="s">
        <v>14</v>
      </c>
      <c r="B24" s="334">
        <v>0</v>
      </c>
    </row>
    <row r="25" spans="1:6">
      <c r="A25" s="348" t="s">
        <v>15</v>
      </c>
      <c r="B25" s="334">
        <v>0</v>
      </c>
    </row>
    <row r="26" spans="1:6">
      <c r="A26" s="348" t="s">
        <v>16</v>
      </c>
      <c r="B26" s="334">
        <v>607</v>
      </c>
    </row>
    <row r="27" spans="1:6">
      <c r="A27" s="348" t="s">
        <v>17</v>
      </c>
      <c r="B27" s="334">
        <v>21</v>
      </c>
    </row>
    <row r="28" spans="1:6" s="356" customFormat="1">
      <c r="A28" s="355" t="s">
        <v>18</v>
      </c>
      <c r="B28" s="355">
        <v>7667</v>
      </c>
    </row>
    <row r="29" spans="1:6">
      <c r="A29" s="355" t="s">
        <v>744</v>
      </c>
      <c r="B29" s="355">
        <v>166</v>
      </c>
      <c r="C29" s="356"/>
      <c r="D29" s="356"/>
      <c r="E29" s="356"/>
      <c r="F29" s="356"/>
    </row>
    <row r="30" spans="1:6">
      <c r="A30" s="341" t="s">
        <v>745</v>
      </c>
      <c r="B30" s="341">
        <v>42</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17</v>
      </c>
      <c r="F36" s="334">
        <v>99825</v>
      </c>
    </row>
    <row r="37" spans="1:6">
      <c r="A37" s="348" t="s">
        <v>25</v>
      </c>
      <c r="B37" s="348" t="s">
        <v>28</v>
      </c>
      <c r="C37" s="334">
        <v>0</v>
      </c>
      <c r="D37" s="334">
        <v>0</v>
      </c>
      <c r="E37" s="334">
        <v>0</v>
      </c>
      <c r="F37" s="334">
        <v>0</v>
      </c>
    </row>
    <row r="38" spans="1:6">
      <c r="A38" s="348" t="s">
        <v>25</v>
      </c>
      <c r="B38" s="348" t="s">
        <v>29</v>
      </c>
      <c r="C38" s="334">
        <v>1</v>
      </c>
      <c r="D38" s="334">
        <v>16152</v>
      </c>
      <c r="E38" s="334">
        <v>1</v>
      </c>
      <c r="F38" s="334">
        <v>698</v>
      </c>
    </row>
    <row r="39" spans="1:6">
      <c r="A39" s="348" t="s">
        <v>30</v>
      </c>
      <c r="B39" s="348" t="s">
        <v>31</v>
      </c>
      <c r="C39" s="334">
        <v>9455</v>
      </c>
      <c r="D39" s="334">
        <v>136400200.30000001</v>
      </c>
      <c r="E39" s="334">
        <v>17687</v>
      </c>
      <c r="F39" s="334">
        <v>56154203.240000002</v>
      </c>
    </row>
    <row r="40" spans="1:6">
      <c r="A40" s="348" t="s">
        <v>30</v>
      </c>
      <c r="B40" s="348" t="s">
        <v>29</v>
      </c>
      <c r="C40" s="334">
        <v>0</v>
      </c>
      <c r="D40" s="334">
        <v>0</v>
      </c>
      <c r="E40" s="334">
        <v>1</v>
      </c>
      <c r="F40" s="334">
        <v>15616</v>
      </c>
    </row>
    <row r="41" spans="1:6">
      <c r="A41" s="348" t="s">
        <v>32</v>
      </c>
      <c r="B41" s="348" t="s">
        <v>33</v>
      </c>
      <c r="C41" s="334">
        <v>159</v>
      </c>
      <c r="D41" s="334">
        <v>6271753.7879999997</v>
      </c>
      <c r="E41" s="334">
        <v>334</v>
      </c>
      <c r="F41" s="334">
        <v>4813399.6960000005</v>
      </c>
    </row>
    <row r="42" spans="1:6">
      <c r="A42" s="348" t="s">
        <v>32</v>
      </c>
      <c r="B42" s="348" t="s">
        <v>34</v>
      </c>
      <c r="C42" s="334">
        <v>0</v>
      </c>
      <c r="D42" s="334">
        <v>0</v>
      </c>
      <c r="E42" s="334">
        <v>4</v>
      </c>
      <c r="F42" s="334">
        <v>2406286</v>
      </c>
    </row>
    <row r="43" spans="1:6">
      <c r="A43" s="348" t="s">
        <v>32</v>
      </c>
      <c r="B43" s="348" t="s">
        <v>35</v>
      </c>
      <c r="C43" s="334">
        <v>0</v>
      </c>
      <c r="D43" s="334">
        <v>0</v>
      </c>
      <c r="E43" s="334">
        <v>0</v>
      </c>
      <c r="F43" s="334">
        <v>0</v>
      </c>
    </row>
    <row r="44" spans="1:6">
      <c r="A44" s="348" t="s">
        <v>32</v>
      </c>
      <c r="B44" s="348" t="s">
        <v>36</v>
      </c>
      <c r="C44" s="334">
        <v>29</v>
      </c>
      <c r="D44" s="334">
        <v>10869616.865</v>
      </c>
      <c r="E44" s="334">
        <v>55</v>
      </c>
      <c r="F44" s="334">
        <v>6364832.2910000002</v>
      </c>
    </row>
    <row r="45" spans="1:6">
      <c r="A45" s="348" t="s">
        <v>32</v>
      </c>
      <c r="B45" s="348" t="s">
        <v>37</v>
      </c>
      <c r="C45" s="334">
        <v>0</v>
      </c>
      <c r="D45" s="334">
        <v>0</v>
      </c>
      <c r="E45" s="334">
        <v>3</v>
      </c>
      <c r="F45" s="334">
        <v>1004693</v>
      </c>
    </row>
    <row r="46" spans="1:6">
      <c r="A46" s="348" t="s">
        <v>32</v>
      </c>
      <c r="B46" s="348" t="s">
        <v>38</v>
      </c>
      <c r="C46" s="334">
        <v>0</v>
      </c>
      <c r="D46" s="334">
        <v>0</v>
      </c>
      <c r="E46" s="334">
        <v>0</v>
      </c>
      <c r="F46" s="334">
        <v>0</v>
      </c>
    </row>
    <row r="47" spans="1:6">
      <c r="A47" s="348" t="s">
        <v>32</v>
      </c>
      <c r="B47" s="348" t="s">
        <v>39</v>
      </c>
      <c r="C47" s="334">
        <v>5</v>
      </c>
      <c r="D47" s="334">
        <v>14279372.868000001</v>
      </c>
      <c r="E47" s="334">
        <v>10</v>
      </c>
      <c r="F47" s="334">
        <v>10796417</v>
      </c>
    </row>
    <row r="48" spans="1:6">
      <c r="A48" s="348" t="s">
        <v>32</v>
      </c>
      <c r="B48" s="348" t="s">
        <v>29</v>
      </c>
      <c r="C48" s="334">
        <v>4</v>
      </c>
      <c r="D48" s="334">
        <v>107999</v>
      </c>
      <c r="E48" s="334">
        <v>2</v>
      </c>
      <c r="F48" s="334">
        <v>30685</v>
      </c>
    </row>
    <row r="49" spans="1:6">
      <c r="A49" s="348" t="s">
        <v>32</v>
      </c>
      <c r="B49" s="348" t="s">
        <v>40</v>
      </c>
      <c r="C49" s="334">
        <v>0</v>
      </c>
      <c r="D49" s="334">
        <v>0</v>
      </c>
      <c r="E49" s="334">
        <v>8</v>
      </c>
      <c r="F49" s="334">
        <v>171257.228</v>
      </c>
    </row>
    <row r="50" spans="1:6">
      <c r="A50" s="348" t="s">
        <v>32</v>
      </c>
      <c r="B50" s="348" t="s">
        <v>41</v>
      </c>
      <c r="C50" s="334">
        <v>13</v>
      </c>
      <c r="D50" s="334">
        <v>7870103</v>
      </c>
      <c r="E50" s="334">
        <v>30</v>
      </c>
      <c r="F50" s="334">
        <v>10065319.252</v>
      </c>
    </row>
    <row r="51" spans="1:6">
      <c r="A51" s="348" t="s">
        <v>42</v>
      </c>
      <c r="B51" s="348" t="s">
        <v>43</v>
      </c>
      <c r="C51" s="334">
        <v>8</v>
      </c>
      <c r="D51" s="334">
        <v>122571</v>
      </c>
      <c r="E51" s="334">
        <v>43</v>
      </c>
      <c r="F51" s="334">
        <v>390159.55</v>
      </c>
    </row>
    <row r="52" spans="1:6">
      <c r="A52" s="348" t="s">
        <v>42</v>
      </c>
      <c r="B52" s="348" t="s">
        <v>29</v>
      </c>
      <c r="C52" s="334">
        <v>0</v>
      </c>
      <c r="D52" s="334">
        <v>0</v>
      </c>
      <c r="E52" s="334">
        <v>0</v>
      </c>
      <c r="F52" s="334">
        <v>0</v>
      </c>
    </row>
    <row r="53" spans="1:6">
      <c r="A53" s="348" t="s">
        <v>44</v>
      </c>
      <c r="B53" s="348" t="s">
        <v>45</v>
      </c>
      <c r="C53" s="334">
        <v>121</v>
      </c>
      <c r="D53" s="334">
        <v>8047625.21</v>
      </c>
      <c r="E53" s="334">
        <v>291</v>
      </c>
      <c r="F53" s="334">
        <v>8524628.2359999996</v>
      </c>
    </row>
    <row r="54" spans="1:6">
      <c r="A54" s="348" t="s">
        <v>46</v>
      </c>
      <c r="B54" s="348" t="s">
        <v>47</v>
      </c>
      <c r="C54" s="334">
        <v>0</v>
      </c>
      <c r="D54" s="334">
        <v>0</v>
      </c>
      <c r="E54" s="334">
        <v>3</v>
      </c>
      <c r="F54" s="334">
        <v>2021100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119</v>
      </c>
      <c r="D57" s="334">
        <v>7278123.75</v>
      </c>
      <c r="E57" s="334">
        <v>344</v>
      </c>
      <c r="F57" s="334">
        <v>7344796.5029999996</v>
      </c>
    </row>
    <row r="58" spans="1:6">
      <c r="A58" s="348" t="s">
        <v>49</v>
      </c>
      <c r="B58" s="348" t="s">
        <v>51</v>
      </c>
      <c r="C58" s="334">
        <v>91</v>
      </c>
      <c r="D58" s="334">
        <v>6454716.0290000001</v>
      </c>
      <c r="E58" s="334">
        <v>135</v>
      </c>
      <c r="F58" s="334">
        <v>2847512.08</v>
      </c>
    </row>
    <row r="59" spans="1:6">
      <c r="A59" s="348" t="s">
        <v>49</v>
      </c>
      <c r="B59" s="348" t="s">
        <v>52</v>
      </c>
      <c r="C59" s="334">
        <v>250</v>
      </c>
      <c r="D59" s="334">
        <v>12917058.276000001</v>
      </c>
      <c r="E59" s="334">
        <v>471</v>
      </c>
      <c r="F59" s="334">
        <v>20512936.370999999</v>
      </c>
    </row>
    <row r="60" spans="1:6">
      <c r="A60" s="348" t="s">
        <v>49</v>
      </c>
      <c r="B60" s="348" t="s">
        <v>53</v>
      </c>
      <c r="C60" s="334">
        <v>104</v>
      </c>
      <c r="D60" s="334">
        <v>3963472</v>
      </c>
      <c r="E60" s="334">
        <v>156</v>
      </c>
      <c r="F60" s="334">
        <v>3488445.05</v>
      </c>
    </row>
    <row r="61" spans="1:6">
      <c r="A61" s="348" t="s">
        <v>49</v>
      </c>
      <c r="B61" s="348" t="s">
        <v>54</v>
      </c>
      <c r="C61" s="334">
        <v>255</v>
      </c>
      <c r="D61" s="334">
        <v>9020714.8929999992</v>
      </c>
      <c r="E61" s="334">
        <v>525</v>
      </c>
      <c r="F61" s="334">
        <v>7500063.2599999998</v>
      </c>
    </row>
    <row r="62" spans="1:6">
      <c r="A62" s="348" t="s">
        <v>49</v>
      </c>
      <c r="B62" s="348" t="s">
        <v>55</v>
      </c>
      <c r="C62" s="334">
        <v>21</v>
      </c>
      <c r="D62" s="334">
        <v>1964229.345</v>
      </c>
      <c r="E62" s="334">
        <v>44</v>
      </c>
      <c r="F62" s="334">
        <v>1566513.9850000001</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1</v>
      </c>
      <c r="D65" s="334">
        <v>42433</v>
      </c>
      <c r="E65" s="334">
        <v>0</v>
      </c>
      <c r="F65" s="334">
        <v>0</v>
      </c>
    </row>
    <row r="66" spans="1:6">
      <c r="A66" s="348" t="s">
        <v>56</v>
      </c>
      <c r="B66" s="348" t="s">
        <v>58</v>
      </c>
      <c r="C66" s="334">
        <v>0</v>
      </c>
      <c r="D66" s="334">
        <v>0</v>
      </c>
      <c r="E66" s="334">
        <v>14</v>
      </c>
      <c r="F66" s="334">
        <v>481660.103</v>
      </c>
    </row>
    <row r="67" spans="1:6">
      <c r="A67" s="355" t="s">
        <v>56</v>
      </c>
      <c r="B67" s="355" t="s">
        <v>59</v>
      </c>
      <c r="C67" s="334">
        <v>0</v>
      </c>
      <c r="D67" s="334">
        <v>0</v>
      </c>
      <c r="E67" s="334">
        <v>0</v>
      </c>
      <c r="F67" s="334">
        <v>0</v>
      </c>
    </row>
    <row r="68" spans="1:6">
      <c r="A68" s="341" t="s">
        <v>56</v>
      </c>
      <c r="B68" s="341" t="s">
        <v>60</v>
      </c>
      <c r="C68" s="334">
        <v>10</v>
      </c>
      <c r="D68" s="334">
        <v>567353</v>
      </c>
      <c r="E68" s="334">
        <v>21</v>
      </c>
      <c r="F68" s="334">
        <v>5769868.0630000001</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92415541</v>
      </c>
      <c r="E73" s="476">
        <v>93831082.685087144</v>
      </c>
    </row>
    <row r="74" spans="1:6">
      <c r="A74" s="348" t="s">
        <v>64</v>
      </c>
      <c r="B74" s="348" t="s">
        <v>657</v>
      </c>
      <c r="C74" s="1272" t="s">
        <v>659</v>
      </c>
      <c r="D74" s="476">
        <v>4365477.1916611614</v>
      </c>
      <c r="E74" s="476">
        <v>4492211.8295661379</v>
      </c>
    </row>
    <row r="75" spans="1:6">
      <c r="A75" s="348" t="s">
        <v>65</v>
      </c>
      <c r="B75" s="348" t="s">
        <v>656</v>
      </c>
      <c r="C75" s="1272" t="s">
        <v>660</v>
      </c>
      <c r="D75" s="476">
        <v>84595855</v>
      </c>
      <c r="E75" s="476">
        <v>85904025.911779642</v>
      </c>
    </row>
    <row r="76" spans="1:6">
      <c r="A76" s="348" t="s">
        <v>65</v>
      </c>
      <c r="B76" s="348" t="s">
        <v>657</v>
      </c>
      <c r="C76" s="1272" t="s">
        <v>661</v>
      </c>
      <c r="D76" s="476">
        <v>2172819.1916611614</v>
      </c>
      <c r="E76" s="476">
        <v>2236330.2169188601</v>
      </c>
    </row>
    <row r="77" spans="1:6">
      <c r="A77" s="348" t="s">
        <v>66</v>
      </c>
      <c r="B77" s="348" t="s">
        <v>656</v>
      </c>
      <c r="C77" s="1272" t="s">
        <v>662</v>
      </c>
      <c r="D77" s="476">
        <v>97847541</v>
      </c>
      <c r="E77" s="476">
        <v>102297647.94146946</v>
      </c>
    </row>
    <row r="78" spans="1:6">
      <c r="A78" s="341" t="s">
        <v>66</v>
      </c>
      <c r="B78" s="341" t="s">
        <v>657</v>
      </c>
      <c r="C78" s="341" t="s">
        <v>663</v>
      </c>
      <c r="D78" s="1273">
        <v>18207777</v>
      </c>
      <c r="E78" s="1273">
        <v>18931303.395031542</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932661.61667767726</v>
      </c>
      <c r="C83" s="476">
        <v>953692.13412966602</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35824.953768614359</v>
      </c>
    </row>
    <row r="91" spans="1:6">
      <c r="A91" s="348" t="s">
        <v>68</v>
      </c>
      <c r="B91" s="334">
        <v>12472.352576170249</v>
      </c>
    </row>
    <row r="92" spans="1:6">
      <c r="A92" s="341" t="s">
        <v>69</v>
      </c>
      <c r="B92" s="342">
        <v>6713.8188964956644</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2269</v>
      </c>
    </row>
    <row r="98" spans="1:6">
      <c r="A98" s="348" t="s">
        <v>72</v>
      </c>
      <c r="B98" s="334">
        <v>9</v>
      </c>
    </row>
    <row r="99" spans="1:6">
      <c r="A99" s="348" t="s">
        <v>73</v>
      </c>
      <c r="B99" s="334">
        <v>57</v>
      </c>
    </row>
    <row r="100" spans="1:6">
      <c r="A100" s="348" t="s">
        <v>74</v>
      </c>
      <c r="B100" s="334">
        <v>465</v>
      </c>
    </row>
    <row r="101" spans="1:6">
      <c r="A101" s="348" t="s">
        <v>75</v>
      </c>
      <c r="B101" s="334">
        <v>121</v>
      </c>
    </row>
    <row r="102" spans="1:6">
      <c r="A102" s="348" t="s">
        <v>76</v>
      </c>
      <c r="B102" s="334">
        <v>138</v>
      </c>
    </row>
    <row r="103" spans="1:6">
      <c r="A103" s="348" t="s">
        <v>77</v>
      </c>
      <c r="B103" s="334">
        <v>299</v>
      </c>
    </row>
    <row r="104" spans="1:6">
      <c r="A104" s="348" t="s">
        <v>78</v>
      </c>
      <c r="B104" s="334">
        <v>10765</v>
      </c>
    </row>
    <row r="105" spans="1:6">
      <c r="A105" s="341" t="s">
        <v>79</v>
      </c>
      <c r="B105" s="341">
        <v>7</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52</v>
      </c>
      <c r="C123" s="334">
        <v>155</v>
      </c>
    </row>
    <row r="124" spans="1:6">
      <c r="A124" s="341" t="s">
        <v>89</v>
      </c>
      <c r="B124" s="334">
        <v>2</v>
      </c>
      <c r="C124" s="334">
        <v>7</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592</v>
      </c>
    </row>
    <row r="130" spans="1:6">
      <c r="A130" s="348" t="s">
        <v>295</v>
      </c>
      <c r="B130" s="334">
        <v>3</v>
      </c>
    </row>
    <row r="131" spans="1:6">
      <c r="A131" s="348" t="s">
        <v>296</v>
      </c>
      <c r="B131" s="334">
        <v>2</v>
      </c>
    </row>
    <row r="132" spans="1:6">
      <c r="A132" s="341" t="s">
        <v>297</v>
      </c>
      <c r="B132" s="342">
        <v>68</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150074.71849872309</v>
      </c>
      <c r="C3" s="43" t="s">
        <v>170</v>
      </c>
      <c r="D3" s="43"/>
      <c r="E3" s="154"/>
      <c r="F3" s="43"/>
      <c r="G3" s="43"/>
      <c r="H3" s="43"/>
      <c r="I3" s="43"/>
      <c r="J3" s="43"/>
      <c r="K3" s="96"/>
    </row>
    <row r="4" spans="1:11">
      <c r="A4" s="383" t="s">
        <v>171</v>
      </c>
      <c r="B4" s="49">
        <f>IF(ISERROR('SEAP template'!B69),0,'SEAP template'!B69)</f>
        <v>55011.125241280271</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0.13999062813550184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2021.1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2021.1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0.13999062813550184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282.93505852466274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56169.819240000004</v>
      </c>
      <c r="C5" s="17">
        <f>IF(ISERROR('Eigen informatie GS &amp; warmtenet'!B57),0,'Eigen informatie GS &amp; warmtenet'!B57)</f>
        <v>0</v>
      </c>
      <c r="D5" s="30">
        <f>(SUM(HH_hh_gas_kWh,HH_rest_gas_kWh)/1000)*0.902</f>
        <v>123032.98067060002</v>
      </c>
      <c r="E5" s="17">
        <f>B46*B57</f>
        <v>6990.5526057230472</v>
      </c>
      <c r="F5" s="17">
        <f>B51*B62</f>
        <v>111257.5006704835</v>
      </c>
      <c r="G5" s="18"/>
      <c r="H5" s="17"/>
      <c r="I5" s="17"/>
      <c r="J5" s="17">
        <f>B50*B61+C50*C61</f>
        <v>0</v>
      </c>
      <c r="K5" s="17"/>
      <c r="L5" s="17"/>
      <c r="M5" s="17"/>
      <c r="N5" s="17">
        <f>B48*B59+C48*C59</f>
        <v>50572.531196637385</v>
      </c>
      <c r="O5" s="17">
        <f>B69*B70*B71</f>
        <v>1178.7533333333333</v>
      </c>
      <c r="P5" s="17">
        <f>B77*B78*B79/1000-B77*B78*B79/1000/B80</f>
        <v>2326.1333333333332</v>
      </c>
    </row>
    <row r="6" spans="1:16">
      <c r="A6" s="16" t="s">
        <v>621</v>
      </c>
      <c r="B6" s="843">
        <f>kWh_PV_kleiner_dan_10kW</f>
        <v>12472.352576170249</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68642.171816170259</v>
      </c>
      <c r="C8" s="21">
        <f>C5</f>
        <v>0</v>
      </c>
      <c r="D8" s="21">
        <f>D5</f>
        <v>123032.98067060002</v>
      </c>
      <c r="E8" s="21">
        <f>E5</f>
        <v>6990.5526057230472</v>
      </c>
      <c r="F8" s="21">
        <f>F5</f>
        <v>111257.5006704835</v>
      </c>
      <c r="G8" s="21"/>
      <c r="H8" s="21"/>
      <c r="I8" s="21"/>
      <c r="J8" s="21">
        <f>J5</f>
        <v>0</v>
      </c>
      <c r="K8" s="21"/>
      <c r="L8" s="21">
        <f>L5</f>
        <v>0</v>
      </c>
      <c r="M8" s="21">
        <f>M5</f>
        <v>0</v>
      </c>
      <c r="N8" s="21">
        <f>N5</f>
        <v>50572.531196637385</v>
      </c>
      <c r="O8" s="21">
        <f>O5</f>
        <v>1178.7533333333333</v>
      </c>
      <c r="P8" s="21">
        <f>P5</f>
        <v>2326.1333333333332</v>
      </c>
    </row>
    <row r="9" spans="1:16">
      <c r="B9" s="19"/>
      <c r="C9" s="19"/>
      <c r="D9" s="258"/>
      <c r="E9" s="19"/>
      <c r="F9" s="19"/>
      <c r="G9" s="19"/>
      <c r="H9" s="19"/>
      <c r="I9" s="19"/>
      <c r="J9" s="19"/>
      <c r="K9" s="19"/>
      <c r="L9" s="19"/>
      <c r="M9" s="19"/>
      <c r="N9" s="19"/>
      <c r="O9" s="19"/>
      <c r="P9" s="19"/>
    </row>
    <row r="10" spans="1:16">
      <c r="A10" s="24" t="s">
        <v>214</v>
      </c>
      <c r="B10" s="25">
        <f ca="1">'EF ele_warmte'!B12</f>
        <v>0.13999062813550184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9609.2607491307153</v>
      </c>
      <c r="C12" s="23">
        <f ca="1">C10*C8</f>
        <v>0</v>
      </c>
      <c r="D12" s="23">
        <f>D8*D10</f>
        <v>24852.662095461208</v>
      </c>
      <c r="E12" s="23">
        <f>E10*E8</f>
        <v>1586.8554414991318</v>
      </c>
      <c r="F12" s="23">
        <f>F10*F8</f>
        <v>29705.752679019097</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2269</v>
      </c>
      <c r="C18" s="166" t="s">
        <v>111</v>
      </c>
      <c r="D18" s="228"/>
      <c r="E18" s="15"/>
    </row>
    <row r="19" spans="1:7">
      <c r="A19" s="171" t="s">
        <v>72</v>
      </c>
      <c r="B19" s="37">
        <f>aantalw2001_ander</f>
        <v>9</v>
      </c>
      <c r="C19" s="166" t="s">
        <v>111</v>
      </c>
      <c r="D19" s="229"/>
      <c r="E19" s="15"/>
    </row>
    <row r="20" spans="1:7">
      <c r="A20" s="171" t="s">
        <v>73</v>
      </c>
      <c r="B20" s="37">
        <f>aantalw2001_propaan</f>
        <v>57</v>
      </c>
      <c r="C20" s="167">
        <f>IF(ISERROR(B20/SUM($B$20,$B$21,$B$22)*100),0,B20/SUM($B$20,$B$21,$B$22)*100)</f>
        <v>8.8646967340590983</v>
      </c>
      <c r="D20" s="229"/>
      <c r="E20" s="15"/>
    </row>
    <row r="21" spans="1:7">
      <c r="A21" s="171" t="s">
        <v>74</v>
      </c>
      <c r="B21" s="37">
        <f>aantalw2001_elektriciteit</f>
        <v>465</v>
      </c>
      <c r="C21" s="167">
        <f>IF(ISERROR(B21/SUM($B$20,$B$21,$B$22)*100),0,B21/SUM($B$20,$B$21,$B$22)*100)</f>
        <v>72.317262830482107</v>
      </c>
      <c r="D21" s="229"/>
      <c r="E21" s="15"/>
    </row>
    <row r="22" spans="1:7">
      <c r="A22" s="171" t="s">
        <v>75</v>
      </c>
      <c r="B22" s="37">
        <f>aantalw2001_hout</f>
        <v>121</v>
      </c>
      <c r="C22" s="167">
        <f>IF(ISERROR(B22/SUM($B$20,$B$21,$B$22)*100),0,B22/SUM($B$20,$B$21,$B$22)*100)</f>
        <v>18.818040435458787</v>
      </c>
      <c r="D22" s="229"/>
      <c r="E22" s="15"/>
    </row>
    <row r="23" spans="1:7">
      <c r="A23" s="171" t="s">
        <v>76</v>
      </c>
      <c r="B23" s="37">
        <f>aantalw2001_niet_gespec</f>
        <v>138</v>
      </c>
      <c r="C23" s="166" t="s">
        <v>111</v>
      </c>
      <c r="D23" s="228"/>
      <c r="E23" s="15"/>
    </row>
    <row r="24" spans="1:7">
      <c r="A24" s="171" t="s">
        <v>77</v>
      </c>
      <c r="B24" s="37">
        <f>aantalw2001_steenkool</f>
        <v>299</v>
      </c>
      <c r="C24" s="166" t="s">
        <v>111</v>
      </c>
      <c r="D24" s="229"/>
      <c r="E24" s="15"/>
    </row>
    <row r="25" spans="1:7">
      <c r="A25" s="171" t="s">
        <v>78</v>
      </c>
      <c r="B25" s="37">
        <f>aantalw2001_stookolie</f>
        <v>10765</v>
      </c>
      <c r="C25" s="166" t="s">
        <v>111</v>
      </c>
      <c r="D25" s="228"/>
      <c r="E25" s="52"/>
    </row>
    <row r="26" spans="1:7">
      <c r="A26" s="171" t="s">
        <v>79</v>
      </c>
      <c r="B26" s="37">
        <f>aantalw2001_WP</f>
        <v>7</v>
      </c>
      <c r="C26" s="166" t="s">
        <v>111</v>
      </c>
      <c r="D26" s="228"/>
      <c r="E26" s="15"/>
    </row>
    <row r="27" spans="1:7" s="15" customFormat="1">
      <c r="A27" s="171"/>
      <c r="B27" s="29"/>
      <c r="C27" s="36"/>
      <c r="D27" s="228"/>
    </row>
    <row r="28" spans="1:7" s="15" customFormat="1">
      <c r="A28" s="230" t="s">
        <v>794</v>
      </c>
      <c r="B28" s="37">
        <f>aantalHuishoudens2011</f>
        <v>17599</v>
      </c>
      <c r="C28" s="36"/>
      <c r="D28" s="228"/>
    </row>
    <row r="29" spans="1:7" s="15" customFormat="1">
      <c r="A29" s="230" t="s">
        <v>795</v>
      </c>
      <c r="B29" s="37">
        <f>SUM(HH_hh_gas_aantal,HH_rest_gas_aantal)</f>
        <v>9455</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9455</v>
      </c>
      <c r="C32" s="167">
        <f>IF(ISERROR(B32/SUM($B$32,$B$34,$B$35,$B$36,$B$38,$B$39)*100),0,B32/SUM($B$32,$B$34,$B$35,$B$36,$B$38,$B$39)*100)</f>
        <v>54.099673857069284</v>
      </c>
      <c r="D32" s="233"/>
      <c r="G32" s="15"/>
    </row>
    <row r="33" spans="1:7">
      <c r="A33" s="171" t="s">
        <v>72</v>
      </c>
      <c r="B33" s="34" t="s">
        <v>111</v>
      </c>
      <c r="C33" s="167"/>
      <c r="D33" s="233"/>
      <c r="G33" s="15"/>
    </row>
    <row r="34" spans="1:7">
      <c r="A34" s="171" t="s">
        <v>73</v>
      </c>
      <c r="B34" s="33">
        <f>IF((($B$28-$B$32-$B$39-$B$77-$B$38)*C20/100)&lt;0,0,($B$28-$B$32-$B$39-$B$77-$B$38)*C20/100)</f>
        <v>330.15676516329711</v>
      </c>
      <c r="C34" s="167">
        <f>IF(ISERROR(B34/SUM($B$32,$B$34,$B$35,$B$36,$B$38,$B$39)*100),0,B34/SUM($B$32,$B$34,$B$35,$B$36,$B$38,$B$39)*100)</f>
        <v>1.8890928944515484</v>
      </c>
      <c r="D34" s="233"/>
      <c r="G34" s="15"/>
    </row>
    <row r="35" spans="1:7">
      <c r="A35" s="171" t="s">
        <v>74</v>
      </c>
      <c r="B35" s="33">
        <f>IF((($B$28-$B$32-$B$39-$B$77-$B$38)*C21/100)&lt;0,0,($B$28-$B$32-$B$39-$B$77-$B$38)*C21/100)</f>
        <v>2693.3841368584758</v>
      </c>
      <c r="C35" s="167">
        <f>IF(ISERROR(B35/SUM($B$32,$B$34,$B$35,$B$36,$B$38,$B$39)*100),0,B35/SUM($B$32,$B$34,$B$35,$B$36,$B$38,$B$39)*100)</f>
        <v>15.411020981052101</v>
      </c>
      <c r="D35" s="233"/>
      <c r="G35" s="15"/>
    </row>
    <row r="36" spans="1:7">
      <c r="A36" s="171" t="s">
        <v>75</v>
      </c>
      <c r="B36" s="33">
        <f>IF((($B$28-$B$32-$B$39-$B$77-$B$38)*C22/100)&lt;0,0,($B$28-$B$32-$B$39-$B$77-$B$38)*C22/100)</f>
        <v>700.85909797822717</v>
      </c>
      <c r="C36" s="167">
        <f>IF(ISERROR(B36/SUM($B$32,$B$34,$B$35,$B$36,$B$38,$B$39)*100),0,B36/SUM($B$32,$B$34,$B$35,$B$36,$B$38,$B$39)*100)</f>
        <v>4.0101796531339886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4297.5999999999995</v>
      </c>
      <c r="C39" s="167">
        <f>IF(ISERROR(B39/SUM($B$32,$B$34,$B$35,$B$36,$B$38,$B$39)*100),0,B39/SUM($B$32,$B$34,$B$35,$B$36,$B$38,$B$39)*100)</f>
        <v>24.590032614293065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9455</v>
      </c>
      <c r="C44" s="34" t="s">
        <v>111</v>
      </c>
      <c r="D44" s="174"/>
    </row>
    <row r="45" spans="1:7">
      <c r="A45" s="171" t="s">
        <v>72</v>
      </c>
      <c r="B45" s="33" t="str">
        <f t="shared" si="0"/>
        <v>-</v>
      </c>
      <c r="C45" s="34" t="s">
        <v>111</v>
      </c>
      <c r="D45" s="174"/>
    </row>
    <row r="46" spans="1:7">
      <c r="A46" s="171" t="s">
        <v>73</v>
      </c>
      <c r="B46" s="33">
        <f t="shared" si="0"/>
        <v>330.15676516329711</v>
      </c>
      <c r="C46" s="34" t="s">
        <v>111</v>
      </c>
      <c r="D46" s="174"/>
    </row>
    <row r="47" spans="1:7">
      <c r="A47" s="171" t="s">
        <v>74</v>
      </c>
      <c r="B47" s="33">
        <f t="shared" si="0"/>
        <v>2693.3841368584758</v>
      </c>
      <c r="C47" s="34" t="s">
        <v>111</v>
      </c>
      <c r="D47" s="174"/>
    </row>
    <row r="48" spans="1:7">
      <c r="A48" s="171" t="s">
        <v>75</v>
      </c>
      <c r="B48" s="33">
        <f t="shared" si="0"/>
        <v>700.85909797822717</v>
      </c>
      <c r="C48" s="33">
        <f>B48*10</f>
        <v>7008.5909797822715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4297.5999999999995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754</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122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43260.267248999997</v>
      </c>
      <c r="C5" s="17">
        <f>IF(ISERROR('Eigen informatie GS &amp; warmtenet'!B58),0,'Eigen informatie GS &amp; warmtenet'!B58)</f>
        <v>0</v>
      </c>
      <c r="D5" s="30">
        <f>SUM(D6:D12)</f>
        <v>37521.679492285999</v>
      </c>
      <c r="E5" s="17">
        <f>SUM(E6:E12)</f>
        <v>826.57182285435726</v>
      </c>
      <c r="F5" s="17">
        <f>SUM(F6:F12)</f>
        <v>8139.0115391452155</v>
      </c>
      <c r="G5" s="18"/>
      <c r="H5" s="17"/>
      <c r="I5" s="17"/>
      <c r="J5" s="17">
        <f>SUM(J6:J12)</f>
        <v>0.15942674127280881</v>
      </c>
      <c r="K5" s="17"/>
      <c r="L5" s="17"/>
      <c r="M5" s="17"/>
      <c r="N5" s="17">
        <f>SUM(N6:N12)</f>
        <v>6322.0660329965995</v>
      </c>
      <c r="O5" s="17">
        <f>B38*B39*B40</f>
        <v>4.6900000000000004</v>
      </c>
      <c r="P5" s="17">
        <f>B46*B47*B48/1000-B46*B47*B48/1000/B49</f>
        <v>38.133333333333333</v>
      </c>
      <c r="R5" s="32"/>
    </row>
    <row r="6" spans="1:18">
      <c r="A6" s="32" t="s">
        <v>54</v>
      </c>
      <c r="B6" s="37">
        <f>B26</f>
        <v>7500.0632599999999</v>
      </c>
      <c r="C6" s="33"/>
      <c r="D6" s="37">
        <f>IF(ISERROR(TER_kantoor_gas_kWh/1000),0,TER_kantoor_gas_kWh/1000)*0.902</f>
        <v>8136.6848334859988</v>
      </c>
      <c r="E6" s="33">
        <f>$C$26*'E Balans VL '!I12/100/3.6*1000000</f>
        <v>4.7007902031719298E-2</v>
      </c>
      <c r="F6" s="33">
        <f>$C$26*('E Balans VL '!L12+'E Balans VL '!N12)/100/3.6*1000000</f>
        <v>1127.0499362228688</v>
      </c>
      <c r="G6" s="34"/>
      <c r="H6" s="33"/>
      <c r="I6" s="33"/>
      <c r="J6" s="33">
        <f>$C$26*('E Balans VL '!D12+'E Balans VL '!E12)/100/3.6*1000000</f>
        <v>0</v>
      </c>
      <c r="K6" s="33"/>
      <c r="L6" s="33"/>
      <c r="M6" s="33"/>
      <c r="N6" s="33">
        <f>$C$26*'E Balans VL '!Y12/100/3.6*1000000</f>
        <v>7.1726985017754883</v>
      </c>
      <c r="O6" s="33"/>
      <c r="P6" s="33"/>
      <c r="R6" s="32"/>
    </row>
    <row r="7" spans="1:18">
      <c r="A7" s="32" t="s">
        <v>53</v>
      </c>
      <c r="B7" s="37">
        <f t="shared" ref="B7:B12" si="0">B27</f>
        <v>3488.4450499999998</v>
      </c>
      <c r="C7" s="33"/>
      <c r="D7" s="37">
        <f>IF(ISERROR(TER_horeca_gas_kWh/1000),0,TER_horeca_gas_kWh/1000)*0.902</f>
        <v>3575.0517440000003</v>
      </c>
      <c r="E7" s="33">
        <f>$C$27*'E Balans VL '!I9/100/3.6*1000000</f>
        <v>49.953952051978682</v>
      </c>
      <c r="F7" s="33">
        <f>$C$27*('E Balans VL '!L9+'E Balans VL '!N9)/100/3.6*1000000</f>
        <v>441.75219668027876</v>
      </c>
      <c r="G7" s="34"/>
      <c r="H7" s="33"/>
      <c r="I7" s="33"/>
      <c r="J7" s="33">
        <f>$C$27*('E Balans VL '!D9+'E Balans VL '!E9)/100/3.6*1000000</f>
        <v>0</v>
      </c>
      <c r="K7" s="33"/>
      <c r="L7" s="33"/>
      <c r="M7" s="33"/>
      <c r="N7" s="33">
        <f>$C$27*'E Balans VL '!Y9/100/3.6*1000000</f>
        <v>1.002851038263886</v>
      </c>
      <c r="O7" s="33"/>
      <c r="P7" s="33"/>
      <c r="R7" s="32"/>
    </row>
    <row r="8" spans="1:18">
      <c r="A8" s="6" t="s">
        <v>52</v>
      </c>
      <c r="B8" s="37">
        <f t="shared" si="0"/>
        <v>20512.936371</v>
      </c>
      <c r="C8" s="33"/>
      <c r="D8" s="37">
        <f>IF(ISERROR(TER_handel_gas_kWh/1000),0,TER_handel_gas_kWh/1000)*0.902</f>
        <v>11651.186564952</v>
      </c>
      <c r="E8" s="33">
        <f>$C$28*'E Balans VL '!I13/100/3.6*1000000</f>
        <v>744.00167263418416</v>
      </c>
      <c r="F8" s="33">
        <f>$C$28*('E Balans VL '!L13+'E Balans VL '!N13)/100/3.6*1000000</f>
        <v>3950.9992517409346</v>
      </c>
      <c r="G8" s="34"/>
      <c r="H8" s="33"/>
      <c r="I8" s="33"/>
      <c r="J8" s="33">
        <f>$C$28*('E Balans VL '!D13+'E Balans VL '!E13)/100/3.6*1000000</f>
        <v>0</v>
      </c>
      <c r="K8" s="33"/>
      <c r="L8" s="33"/>
      <c r="M8" s="33"/>
      <c r="N8" s="33">
        <f>$C$28*'E Balans VL '!Y13/100/3.6*1000000</f>
        <v>28.415136689996476</v>
      </c>
      <c r="O8" s="33"/>
      <c r="P8" s="33"/>
      <c r="R8" s="32"/>
    </row>
    <row r="9" spans="1:18">
      <c r="A9" s="32" t="s">
        <v>51</v>
      </c>
      <c r="B9" s="37">
        <f t="shared" si="0"/>
        <v>2847.51208</v>
      </c>
      <c r="C9" s="33"/>
      <c r="D9" s="37">
        <f>IF(ISERROR(TER_gezond_gas_kWh/1000),0,TER_gezond_gas_kWh/1000)*0.902</f>
        <v>5822.1538581580007</v>
      </c>
      <c r="E9" s="33">
        <f>$C$29*'E Balans VL '!I10/100/3.6*1000000</f>
        <v>0.17828237031068364</v>
      </c>
      <c r="F9" s="33">
        <f>$C$29*('E Balans VL '!L10+'E Balans VL '!N10)/100/3.6*1000000</f>
        <v>423.00658933261087</v>
      </c>
      <c r="G9" s="34"/>
      <c r="H9" s="33"/>
      <c r="I9" s="33"/>
      <c r="J9" s="33">
        <f>$C$29*('E Balans VL '!D10+'E Balans VL '!E10)/100/3.6*1000000</f>
        <v>0</v>
      </c>
      <c r="K9" s="33"/>
      <c r="L9" s="33"/>
      <c r="M9" s="33"/>
      <c r="N9" s="33">
        <f>$C$29*'E Balans VL '!Y10/100/3.6*1000000</f>
        <v>44.045591614869068</v>
      </c>
      <c r="O9" s="33"/>
      <c r="P9" s="33"/>
      <c r="R9" s="32"/>
    </row>
    <row r="10" spans="1:18">
      <c r="A10" s="32" t="s">
        <v>50</v>
      </c>
      <c r="B10" s="37">
        <f t="shared" si="0"/>
        <v>7344.7965029999996</v>
      </c>
      <c r="C10" s="33"/>
      <c r="D10" s="37">
        <f>IF(ISERROR(TER_ander_gas_kWh/1000),0,TER_ander_gas_kWh/1000)*0.902</f>
        <v>6564.8676224999999</v>
      </c>
      <c r="E10" s="33">
        <f>$C$30*'E Balans VL '!I14/100/3.6*1000000</f>
        <v>8.7547349728967063</v>
      </c>
      <c r="F10" s="33">
        <f>$C$30*('E Balans VL '!L14+'E Balans VL '!N14)/100/3.6*1000000</f>
        <v>1921.7252891911016</v>
      </c>
      <c r="G10" s="34"/>
      <c r="H10" s="33"/>
      <c r="I10" s="33"/>
      <c r="J10" s="33">
        <f>$C$30*('E Balans VL '!D14+'E Balans VL '!E14)/100/3.6*1000000</f>
        <v>0.15942674127280881</v>
      </c>
      <c r="K10" s="33"/>
      <c r="L10" s="33"/>
      <c r="M10" s="33"/>
      <c r="N10" s="33">
        <f>$C$30*'E Balans VL '!Y14/100/3.6*1000000</f>
        <v>6237.0214657069764</v>
      </c>
      <c r="O10" s="33"/>
      <c r="P10" s="33"/>
      <c r="R10" s="32"/>
    </row>
    <row r="11" spans="1:18">
      <c r="A11" s="32" t="s">
        <v>55</v>
      </c>
      <c r="B11" s="37">
        <f t="shared" si="0"/>
        <v>1566.513985</v>
      </c>
      <c r="C11" s="33"/>
      <c r="D11" s="37">
        <f>IF(ISERROR(TER_onderwijs_gas_kWh/1000),0,TER_onderwijs_gas_kWh/1000)*0.902</f>
        <v>1771.7348691899999</v>
      </c>
      <c r="E11" s="33">
        <f>$C$31*'E Balans VL '!I11/100/3.6*1000000</f>
        <v>23.636172922955328</v>
      </c>
      <c r="F11" s="33">
        <f>$C$31*('E Balans VL '!L11+'E Balans VL '!N11)/100/3.6*1000000</f>
        <v>274.47827597741974</v>
      </c>
      <c r="G11" s="34"/>
      <c r="H11" s="33"/>
      <c r="I11" s="33"/>
      <c r="J11" s="33">
        <f>$C$31*('E Balans VL '!D11+'E Balans VL '!E11)/100/3.6*1000000</f>
        <v>0</v>
      </c>
      <c r="K11" s="33"/>
      <c r="L11" s="33"/>
      <c r="M11" s="33"/>
      <c r="N11" s="33">
        <f>$C$31*'E Balans VL '!Y11/100/3.6*1000000</f>
        <v>4.4082894447183456</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43260.267248999997</v>
      </c>
      <c r="C16" s="21">
        <f t="shared" ca="1" si="1"/>
        <v>0</v>
      </c>
      <c r="D16" s="21">
        <f t="shared" ca="1" si="1"/>
        <v>37521.679492285999</v>
      </c>
      <c r="E16" s="21">
        <f t="shared" si="1"/>
        <v>826.57182285435726</v>
      </c>
      <c r="F16" s="21">
        <f t="shared" ca="1" si="1"/>
        <v>8139.0115391452155</v>
      </c>
      <c r="G16" s="21">
        <f t="shared" si="1"/>
        <v>0</v>
      </c>
      <c r="H16" s="21">
        <f t="shared" si="1"/>
        <v>0</v>
      </c>
      <c r="I16" s="21">
        <f t="shared" si="1"/>
        <v>0</v>
      </c>
      <c r="J16" s="21">
        <f t="shared" si="1"/>
        <v>0.15942674127280881</v>
      </c>
      <c r="K16" s="21">
        <f t="shared" si="1"/>
        <v>0</v>
      </c>
      <c r="L16" s="21">
        <f t="shared" ca="1" si="1"/>
        <v>0</v>
      </c>
      <c r="M16" s="21">
        <f t="shared" si="1"/>
        <v>0</v>
      </c>
      <c r="N16" s="21">
        <f t="shared" ca="1" si="1"/>
        <v>6322.0660329965995</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0.13999062813550184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6056.0319854971876</v>
      </c>
      <c r="C20" s="23">
        <f t="shared" ref="C20:P20" ca="1" si="2">C16*C18</f>
        <v>0</v>
      </c>
      <c r="D20" s="23">
        <f t="shared" ca="1" si="2"/>
        <v>7579.3792574417721</v>
      </c>
      <c r="E20" s="23">
        <f t="shared" si="2"/>
        <v>187.63180378793911</v>
      </c>
      <c r="F20" s="23">
        <f t="shared" ca="1" si="2"/>
        <v>2173.1160809517728</v>
      </c>
      <c r="G20" s="23">
        <f t="shared" si="2"/>
        <v>0</v>
      </c>
      <c r="H20" s="23">
        <f t="shared" si="2"/>
        <v>0</v>
      </c>
      <c r="I20" s="23">
        <f t="shared" si="2"/>
        <v>0</v>
      </c>
      <c r="J20" s="23">
        <f t="shared" si="2"/>
        <v>5.6437066410574319E-2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7500.0632599999999</v>
      </c>
      <c r="C26" s="39">
        <f>IF(ISERROR(B26*3.6/1000000/'E Balans VL '!Z12*100),0,B26*3.6/1000000/'E Balans VL '!Z12*100)</f>
        <v>0.15853945625650273</v>
      </c>
      <c r="D26" s="237" t="s">
        <v>754</v>
      </c>
      <c r="F26" s="6"/>
    </row>
    <row r="27" spans="1:18">
      <c r="A27" s="231" t="s">
        <v>53</v>
      </c>
      <c r="B27" s="33">
        <f>IF(ISERROR(TER_horeca_ele_kWh/1000),0,TER_horeca_ele_kWh/1000)</f>
        <v>3488.4450499999998</v>
      </c>
      <c r="C27" s="39">
        <f>IF(ISERROR(B27*3.6/1000000/'E Balans VL '!Z9*100),0,B27*3.6/1000000/'E Balans VL '!Z9*100)</f>
        <v>0.27499282308165174</v>
      </c>
      <c r="D27" s="237" t="s">
        <v>754</v>
      </c>
      <c r="F27" s="6"/>
    </row>
    <row r="28" spans="1:18">
      <c r="A28" s="171" t="s">
        <v>52</v>
      </c>
      <c r="B28" s="33">
        <f>IF(ISERROR(TER_handel_ele_kWh/1000),0,TER_handel_ele_kWh/1000)</f>
        <v>20512.936371</v>
      </c>
      <c r="C28" s="39">
        <f>IF(ISERROR(B28*3.6/1000000/'E Balans VL '!Z13*100),0,B28*3.6/1000000/'E Balans VL '!Z13*100)</f>
        <v>0.59536829503674249</v>
      </c>
      <c r="D28" s="237" t="s">
        <v>754</v>
      </c>
      <c r="F28" s="6"/>
    </row>
    <row r="29" spans="1:18">
      <c r="A29" s="231" t="s">
        <v>51</v>
      </c>
      <c r="B29" s="33">
        <f>IF(ISERROR(TER_gezond_ele_kWh/1000),0,TER_gezond_ele_kWh/1000)</f>
        <v>2847.51208</v>
      </c>
      <c r="C29" s="39">
        <f>IF(ISERROR(B29*3.6/1000000/'E Balans VL '!Z10*100),0,B29*3.6/1000000/'E Balans VL '!Z10*100)</f>
        <v>0.29988977940656775</v>
      </c>
      <c r="D29" s="237" t="s">
        <v>754</v>
      </c>
      <c r="F29" s="6"/>
    </row>
    <row r="30" spans="1:18">
      <c r="A30" s="231" t="s">
        <v>50</v>
      </c>
      <c r="B30" s="33">
        <f>IF(ISERROR(TER_ander_ele_kWh/1000),0,TER_ander_ele_kWh/1000)</f>
        <v>7344.7965029999996</v>
      </c>
      <c r="C30" s="39">
        <f>IF(ISERROR(B30*3.6/1000000/'E Balans VL '!Z14*100),0,B30*3.6/1000000/'E Balans VL '!Z14*100)</f>
        <v>0.54175378534314489</v>
      </c>
      <c r="D30" s="237" t="s">
        <v>754</v>
      </c>
      <c r="F30" s="6"/>
    </row>
    <row r="31" spans="1:18">
      <c r="A31" s="231" t="s">
        <v>55</v>
      </c>
      <c r="B31" s="33">
        <f>IF(ISERROR(TER_onderwijs_ele_kWh/1000),0,TER_onderwijs_ele_kWh/1000)</f>
        <v>1566.513985</v>
      </c>
      <c r="C31" s="39">
        <f>IF(ISERROR(B31*3.6/1000000/'E Balans VL '!Z11*100),0,B31*3.6/1000000/'E Balans VL '!Z11*100)</f>
        <v>0.38903880231204713</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35652.889466999994</v>
      </c>
      <c r="C5" s="17">
        <f>IF(ISERROR('Eigen informatie GS &amp; warmtenet'!B59),0,'Eigen informatie GS &amp; warmtenet'!B59)</f>
        <v>0</v>
      </c>
      <c r="D5" s="30">
        <f>SUM(D6:D15)</f>
        <v>35537.758659942003</v>
      </c>
      <c r="E5" s="17">
        <f>SUM(E6:E15)</f>
        <v>1539.4283283535356</v>
      </c>
      <c r="F5" s="17">
        <f>SUM(F6:F15)</f>
        <v>5762.8554405146879</v>
      </c>
      <c r="G5" s="18"/>
      <c r="H5" s="17"/>
      <c r="I5" s="17"/>
      <c r="J5" s="17">
        <f>SUM(J6:J15)</f>
        <v>3.4306323272145489</v>
      </c>
      <c r="K5" s="17"/>
      <c r="L5" s="17"/>
      <c r="M5" s="17"/>
      <c r="N5" s="17">
        <f>SUM(N6:N15)</f>
        <v>34048.472272276704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6364.8322910000006</v>
      </c>
      <c r="C8" s="33"/>
      <c r="D8" s="37">
        <f>IF( ISERROR(IND_metaal_Gas_kWH/1000),0,IND_metaal_Gas_kWH/1000)*0.902</f>
        <v>9804.3944122299999</v>
      </c>
      <c r="E8" s="33">
        <f>C30*'E Balans VL '!I18/100/3.6*1000000</f>
        <v>58.518485702258182</v>
      </c>
      <c r="F8" s="33">
        <f>C30*'E Balans VL '!L18/100/3.6*1000000+C30*'E Balans VL '!N18/100/3.6*1000000</f>
        <v>596.80936217866338</v>
      </c>
      <c r="G8" s="34"/>
      <c r="H8" s="33"/>
      <c r="I8" s="33"/>
      <c r="J8" s="40">
        <f>C30*'E Balans VL '!D18/100/3.6*1000000+C30*'E Balans VL '!E18/100/3.6*1000000</f>
        <v>0</v>
      </c>
      <c r="K8" s="33"/>
      <c r="L8" s="33"/>
      <c r="M8" s="33"/>
      <c r="N8" s="33">
        <f>C30*'E Balans VL '!Y18/100/3.6*1000000</f>
        <v>90.804850959413727</v>
      </c>
      <c r="O8" s="33"/>
      <c r="P8" s="33"/>
      <c r="R8" s="32"/>
    </row>
    <row r="9" spans="1:18">
      <c r="A9" s="6" t="s">
        <v>33</v>
      </c>
      <c r="B9" s="37">
        <f t="shared" si="0"/>
        <v>4813.3996960000004</v>
      </c>
      <c r="C9" s="33"/>
      <c r="D9" s="37">
        <f>IF( ISERROR(IND_andere_gas_kWh/1000),0,IND_andere_gas_kWh/1000)*0.902</f>
        <v>5657.121916776</v>
      </c>
      <c r="E9" s="33">
        <f>C31*'E Balans VL '!I19/100/3.6*1000000</f>
        <v>1407.0504369803416</v>
      </c>
      <c r="F9" s="33">
        <f>C31*'E Balans VL '!L19/100/3.6*1000000+C31*'E Balans VL '!N19/100/3.6*1000000</f>
        <v>3867.9309966151905</v>
      </c>
      <c r="G9" s="34"/>
      <c r="H9" s="33"/>
      <c r="I9" s="33"/>
      <c r="J9" s="40">
        <f>C31*'E Balans VL '!D19/100/3.6*1000000+C31*'E Balans VL '!E19/100/3.6*1000000</f>
        <v>0</v>
      </c>
      <c r="K9" s="33"/>
      <c r="L9" s="33"/>
      <c r="M9" s="33"/>
      <c r="N9" s="33">
        <f>C31*'E Balans VL '!Y19/100/3.6*1000000</f>
        <v>1590.4219100949581</v>
      </c>
      <c r="O9" s="33"/>
      <c r="P9" s="33"/>
      <c r="R9" s="32"/>
    </row>
    <row r="10" spans="1:18">
      <c r="A10" s="6" t="s">
        <v>41</v>
      </c>
      <c r="B10" s="37">
        <f t="shared" si="0"/>
        <v>10065.319252000001</v>
      </c>
      <c r="C10" s="33"/>
      <c r="D10" s="37">
        <f>IF( ISERROR(IND_voed_gas_kWh/1000),0,IND_voed_gas_kWh/1000)*0.902</f>
        <v>7098.8329060000005</v>
      </c>
      <c r="E10" s="33">
        <f>C32*'E Balans VL '!I20/100/3.6*1000000</f>
        <v>21.293338942229418</v>
      </c>
      <c r="F10" s="33">
        <f>C32*'E Balans VL '!L20/100/3.6*1000000+C32*'E Balans VL '!N20/100/3.6*1000000</f>
        <v>639.96327946427789</v>
      </c>
      <c r="G10" s="34"/>
      <c r="H10" s="33"/>
      <c r="I10" s="33"/>
      <c r="J10" s="40">
        <f>C32*'E Balans VL '!D20/100/3.6*1000000+C32*'E Balans VL '!E20/100/3.6*1000000</f>
        <v>0</v>
      </c>
      <c r="K10" s="33"/>
      <c r="L10" s="33"/>
      <c r="M10" s="33"/>
      <c r="N10" s="33">
        <f>C32*'E Balans VL '!Y20/100/3.6*1000000</f>
        <v>694.60635538539248</v>
      </c>
      <c r="O10" s="33"/>
      <c r="P10" s="33"/>
      <c r="R10" s="32"/>
    </row>
    <row r="11" spans="1:18">
      <c r="A11" s="6" t="s">
        <v>40</v>
      </c>
      <c r="B11" s="37">
        <f t="shared" si="0"/>
        <v>171.257228</v>
      </c>
      <c r="C11" s="33"/>
      <c r="D11" s="37">
        <f>IF( ISERROR(IND_textiel_gas_kWh/1000),0,IND_textiel_gas_kWh/1000)*0.902</f>
        <v>0</v>
      </c>
      <c r="E11" s="33">
        <f>C33*'E Balans VL '!I21/100/3.6*1000000</f>
        <v>0.50861920194844412</v>
      </c>
      <c r="F11" s="33">
        <f>C33*'E Balans VL '!L21/100/3.6*1000000+C33*'E Balans VL '!N21/100/3.6*1000000</f>
        <v>17.301681743908318</v>
      </c>
      <c r="G11" s="34"/>
      <c r="H11" s="33"/>
      <c r="I11" s="33"/>
      <c r="J11" s="40">
        <f>C33*'E Balans VL '!D21/100/3.6*1000000+C33*'E Balans VL '!E21/100/3.6*1000000</f>
        <v>0</v>
      </c>
      <c r="K11" s="33"/>
      <c r="L11" s="33"/>
      <c r="M11" s="33"/>
      <c r="N11" s="33">
        <f>C33*'E Balans VL '!Y21/100/3.6*1000000</f>
        <v>9.4453826666826401</v>
      </c>
      <c r="O11" s="33"/>
      <c r="P11" s="33"/>
      <c r="R11" s="32"/>
    </row>
    <row r="12" spans="1:18">
      <c r="A12" s="6" t="s">
        <v>37</v>
      </c>
      <c r="B12" s="37">
        <f t="shared" si="0"/>
        <v>1004.693</v>
      </c>
      <c r="C12" s="33"/>
      <c r="D12" s="37">
        <f>IF( ISERROR(IND_min_gas_kWh/1000),0,IND_min_gas_kWh/1000)*0.902</f>
        <v>0</v>
      </c>
      <c r="E12" s="33">
        <f>C34*'E Balans VL '!I22/100/3.6*1000000</f>
        <v>29.12191308167121</v>
      </c>
      <c r="F12" s="33">
        <f>C34*'E Balans VL '!L22/100/3.6*1000000+C34*'E Balans VL '!N22/100/3.6*1000000</f>
        <v>345.42480668393182</v>
      </c>
      <c r="G12" s="34"/>
      <c r="H12" s="33"/>
      <c r="I12" s="33"/>
      <c r="J12" s="40">
        <f>C34*'E Balans VL '!D22/100/3.6*1000000+C34*'E Balans VL '!E22/100/3.6*1000000</f>
        <v>1.6510133587194915</v>
      </c>
      <c r="K12" s="33"/>
      <c r="L12" s="33"/>
      <c r="M12" s="33"/>
      <c r="N12" s="33">
        <f>C34*'E Balans VL '!Y22/100/3.6*1000000</f>
        <v>219.94380811272063</v>
      </c>
      <c r="O12" s="33"/>
      <c r="P12" s="33"/>
      <c r="R12" s="32"/>
    </row>
    <row r="13" spans="1:18">
      <c r="A13" s="6" t="s">
        <v>39</v>
      </c>
      <c r="B13" s="37">
        <f t="shared" si="0"/>
        <v>10796.416999999999</v>
      </c>
      <c r="C13" s="33"/>
      <c r="D13" s="37">
        <f>IF( ISERROR(IND_papier_gas_kWh/1000),0,IND_papier_gas_kWh/1000)*0.902</f>
        <v>12879.994326936001</v>
      </c>
      <c r="E13" s="33">
        <f>C35*'E Balans VL '!I23/100/3.6*1000000</f>
        <v>15.317646601599838</v>
      </c>
      <c r="F13" s="33">
        <f>C35*'E Balans VL '!L23/100/3.6*1000000+C35*'E Balans VL '!N23/100/3.6*1000000</f>
        <v>263.58113611539699</v>
      </c>
      <c r="G13" s="34"/>
      <c r="H13" s="33"/>
      <c r="I13" s="33"/>
      <c r="J13" s="40">
        <f>C35*'E Balans VL '!D23/100/3.6*1000000+C35*'E Balans VL '!E23/100/3.6*1000000</f>
        <v>1.6697672519895956</v>
      </c>
      <c r="K13" s="33"/>
      <c r="L13" s="33"/>
      <c r="M13" s="33"/>
      <c r="N13" s="33">
        <f>C35*'E Balans VL '!Y23/100/3.6*1000000</f>
        <v>31382.628531554725</v>
      </c>
      <c r="O13" s="33"/>
      <c r="P13" s="33"/>
      <c r="R13" s="32"/>
    </row>
    <row r="14" spans="1:18">
      <c r="A14" s="6" t="s">
        <v>34</v>
      </c>
      <c r="B14" s="37">
        <f t="shared" si="0"/>
        <v>2406.2860000000001</v>
      </c>
      <c r="C14" s="33"/>
      <c r="D14" s="37">
        <f>IF( ISERROR(IND_chemie_gas_kWh/1000),0,IND_chemie_gas_kWh/1000)*0.902</f>
        <v>0</v>
      </c>
      <c r="E14" s="33">
        <f>C36*'E Balans VL '!I24/100/3.6*1000000</f>
        <v>5.9235866858084965</v>
      </c>
      <c r="F14" s="33">
        <f>C36*'E Balans VL '!L24/100/3.6*1000000+C36*'E Balans VL '!N24/100/3.6*1000000</f>
        <v>25.766397631053536</v>
      </c>
      <c r="G14" s="34"/>
      <c r="H14" s="33"/>
      <c r="I14" s="33"/>
      <c r="J14" s="40">
        <f>C36*'E Balans VL '!D24/100/3.6*1000000+C36*'E Balans VL '!E24/100/3.6*1000000</f>
        <v>0</v>
      </c>
      <c r="K14" s="33"/>
      <c r="L14" s="33"/>
      <c r="M14" s="33"/>
      <c r="N14" s="33">
        <f>C36*'E Balans VL '!Y24/100/3.6*1000000</f>
        <v>53.738306352858309</v>
      </c>
      <c r="O14" s="33"/>
      <c r="P14" s="33"/>
      <c r="R14" s="32"/>
    </row>
    <row r="15" spans="1:18">
      <c r="A15" s="6" t="s">
        <v>270</v>
      </c>
      <c r="B15" s="37">
        <f t="shared" si="0"/>
        <v>30.684999999999999</v>
      </c>
      <c r="C15" s="33"/>
      <c r="D15" s="37">
        <f>IF( ISERROR(IND_rest_gas_kWh/1000),0,IND_rest_gas_kWh/1000)*0.902</f>
        <v>97.415098</v>
      </c>
      <c r="E15" s="33">
        <f>C37*'E Balans VL '!I15/100/3.6*1000000</f>
        <v>1.694301157678435</v>
      </c>
      <c r="F15" s="33">
        <f>C37*'E Balans VL '!L15/100/3.6*1000000+C37*'E Balans VL '!N15/100/3.6*1000000</f>
        <v>6.0777800822660115</v>
      </c>
      <c r="G15" s="34"/>
      <c r="H15" s="33"/>
      <c r="I15" s="33"/>
      <c r="J15" s="40">
        <f>C37*'E Balans VL '!D15/100/3.6*1000000+C37*'E Balans VL '!E15/100/3.6*1000000</f>
        <v>0.10985171650546204</v>
      </c>
      <c r="K15" s="33"/>
      <c r="L15" s="33"/>
      <c r="M15" s="33"/>
      <c r="N15" s="33">
        <f>C37*'E Balans VL '!Y15/100/3.6*1000000</f>
        <v>6.883127149950429</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35652.889466999994</v>
      </c>
      <c r="C18" s="21">
        <f>C5+C16</f>
        <v>0</v>
      </c>
      <c r="D18" s="21">
        <f>MAX((D5+D16),0)</f>
        <v>35537.758659942003</v>
      </c>
      <c r="E18" s="21">
        <f>MAX((E5+E16),0)</f>
        <v>1539.4283283535356</v>
      </c>
      <c r="F18" s="21">
        <f>MAX((F5+F16),0)</f>
        <v>5762.8554405146879</v>
      </c>
      <c r="G18" s="21"/>
      <c r="H18" s="21"/>
      <c r="I18" s="21"/>
      <c r="J18" s="21">
        <f>MAX((J5+J16),0)</f>
        <v>3.4306323272145489</v>
      </c>
      <c r="K18" s="21"/>
      <c r="L18" s="21">
        <f>MAX((L5+L16),0)</f>
        <v>0</v>
      </c>
      <c r="M18" s="21"/>
      <c r="N18" s="21">
        <f>MAX((N5+N16),0)</f>
        <v>34048.472272276704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0.13999062813550184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4991.0703913309462</v>
      </c>
      <c r="C22" s="23">
        <f ca="1">C18*C20</f>
        <v>0</v>
      </c>
      <c r="D22" s="23">
        <f>D18*D20</f>
        <v>7178.6272493082852</v>
      </c>
      <c r="E22" s="23">
        <f>E18*E20</f>
        <v>349.4502305362526</v>
      </c>
      <c r="F22" s="23">
        <f>F18*F20</f>
        <v>1538.6824026174218</v>
      </c>
      <c r="G22" s="23"/>
      <c r="H22" s="23"/>
      <c r="I22" s="23"/>
      <c r="J22" s="23">
        <f>J18*J20</f>
        <v>1.2144438438339502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6364.8322910000006</v>
      </c>
      <c r="C30" s="39">
        <f>IF(ISERROR(B30*3.6/1000000/'E Balans VL '!Z18*100),0,B30*3.6/1000000/'E Balans VL '!Z18*100)</f>
        <v>0.36071136642840368</v>
      </c>
      <c r="D30" s="237" t="s">
        <v>754</v>
      </c>
    </row>
    <row r="31" spans="1:18">
      <c r="A31" s="6" t="s">
        <v>33</v>
      </c>
      <c r="B31" s="37">
        <f>IF( ISERROR(IND_ander_ele_kWh/1000),0,IND_ander_ele_kWh/1000)</f>
        <v>4813.3996960000004</v>
      </c>
      <c r="C31" s="39">
        <f>IF(ISERROR(B31*3.6/1000000/'E Balans VL '!Z19*100),0,B31*3.6/1000000/'E Balans VL '!Z19*100)</f>
        <v>0.21831576756306206</v>
      </c>
      <c r="D31" s="237" t="s">
        <v>754</v>
      </c>
    </row>
    <row r="32" spans="1:18">
      <c r="A32" s="171" t="s">
        <v>41</v>
      </c>
      <c r="B32" s="37">
        <f>IF( ISERROR(IND_voed_ele_kWh/1000),0,IND_voed_ele_kWh/1000)</f>
        <v>10065.319252000001</v>
      </c>
      <c r="C32" s="39">
        <f>IF(ISERROR(B32*3.6/1000000/'E Balans VL '!Z20*100),0,B32*3.6/1000000/'E Balans VL '!Z20*100)</f>
        <v>0.31136601715567919</v>
      </c>
      <c r="D32" s="237" t="s">
        <v>754</v>
      </c>
    </row>
    <row r="33" spans="1:5">
      <c r="A33" s="171" t="s">
        <v>40</v>
      </c>
      <c r="B33" s="37">
        <f>IF( ISERROR(IND_textiel_ele_kWh/1000),0,IND_textiel_ele_kWh/1000)</f>
        <v>171.257228</v>
      </c>
      <c r="C33" s="39">
        <f>IF(ISERROR(B33*3.6/1000000/'E Balans VL '!Z21*100),0,B33*3.6/1000000/'E Balans VL '!Z21*100)</f>
        <v>2.2330038910178138E-2</v>
      </c>
      <c r="D33" s="237" t="s">
        <v>754</v>
      </c>
    </row>
    <row r="34" spans="1:5">
      <c r="A34" s="171" t="s">
        <v>37</v>
      </c>
      <c r="B34" s="37">
        <f>IF( ISERROR(IND_min_ele_kWh/1000),0,IND_min_ele_kWh/1000)</f>
        <v>1004.693</v>
      </c>
      <c r="C34" s="39">
        <f>IF(ISERROR(B34*3.6/1000000/'E Balans VL '!Z22*100),0,B34*3.6/1000000/'E Balans VL '!Z22*100)</f>
        <v>0.18071292463940997</v>
      </c>
      <c r="D34" s="237" t="s">
        <v>754</v>
      </c>
    </row>
    <row r="35" spans="1:5">
      <c r="A35" s="171" t="s">
        <v>39</v>
      </c>
      <c r="B35" s="37">
        <f>IF( ISERROR(IND_papier_ele_kWh/1000),0,IND_papier_ele_kWh/1000)</f>
        <v>10796.416999999999</v>
      </c>
      <c r="C35" s="39">
        <f>IF(ISERROR(B35*3.6/1000000/'E Balans VL '!Z22*100),0,B35*3.6/1000000/'E Balans VL '!Z22*100)</f>
        <v>1.9419385739690078</v>
      </c>
      <c r="D35" s="237" t="s">
        <v>754</v>
      </c>
    </row>
    <row r="36" spans="1:5">
      <c r="A36" s="171" t="s">
        <v>34</v>
      </c>
      <c r="B36" s="37">
        <f>IF( ISERROR(IND_chemie_ele_kWh/1000),0,IND_chemie_ele_kWh/1000)</f>
        <v>2406.2860000000001</v>
      </c>
      <c r="C36" s="39">
        <f>IF(ISERROR(B36*3.6/1000000/'E Balans VL '!Z24*100),0,B36*3.6/1000000/'E Balans VL '!Z24*100)</f>
        <v>7.3377345123152818E-2</v>
      </c>
      <c r="D36" s="237" t="s">
        <v>754</v>
      </c>
    </row>
    <row r="37" spans="1:5">
      <c r="A37" s="171" t="s">
        <v>270</v>
      </c>
      <c r="B37" s="37">
        <f>IF( ISERROR(IND_rest_ele_kWh/1000),0,IND_rest_ele_kWh/1000)</f>
        <v>30.684999999999999</v>
      </c>
      <c r="C37" s="39">
        <f>IF(ISERROR(B37*3.6/1000000/'E Balans VL '!Z15*100),0,B37*3.6/1000000/'E Balans VL '!Z15*100)</f>
        <v>2.4321630976400246E-4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390.15954999999997</v>
      </c>
      <c r="C5" s="17">
        <f>'Eigen informatie GS &amp; warmtenet'!B60</f>
        <v>0</v>
      </c>
      <c r="D5" s="30">
        <f>IF(ISERROR(SUM(LB_lb_gas_kWh,LB_rest_gas_kWh,onbekend_gas_kWh)/1000),0,SUM(LB_lb_gas_kWh,LB_rest_gas_kWh,onbekend_gas_kWh)/1000)*0.902</f>
        <v>7369.5169814199999</v>
      </c>
      <c r="E5" s="17">
        <f>B17*'E Balans VL '!I25/3.6*1000000/100</f>
        <v>11.467980859311746</v>
      </c>
      <c r="F5" s="17">
        <f>B17*('E Balans VL '!L25/3.6*1000000+'E Balans VL '!N25/3.6*1000000)/100</f>
        <v>1625.3836021845214</v>
      </c>
      <c r="G5" s="18"/>
      <c r="H5" s="17"/>
      <c r="I5" s="17"/>
      <c r="J5" s="17">
        <f>('E Balans VL '!D25+'E Balans VL '!E25)/3.6*1000000*landbouw!B17/100</f>
        <v>56.525740022752878</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390.15954999999997</v>
      </c>
      <c r="C8" s="21">
        <f>C5+C6</f>
        <v>0</v>
      </c>
      <c r="D8" s="21">
        <f>MAX((D5+D6),0)</f>
        <v>7369.5169814199999</v>
      </c>
      <c r="E8" s="21">
        <f>MAX((E5+E6),0)</f>
        <v>11.467980859311746</v>
      </c>
      <c r="F8" s="21">
        <f>MAX((F5+F6),0)</f>
        <v>1625.3836021845214</v>
      </c>
      <c r="G8" s="21"/>
      <c r="H8" s="21"/>
      <c r="I8" s="21"/>
      <c r="J8" s="21">
        <f>MAX((J5+J6),0)</f>
        <v>56.525740022752878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0.13999062813550184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54.61868047756473</v>
      </c>
      <c r="C12" s="23">
        <f ca="1">C8*C10</f>
        <v>0</v>
      </c>
      <c r="D12" s="23">
        <f>D8*D10</f>
        <v>1488.6424302468401</v>
      </c>
      <c r="E12" s="23">
        <f>E8*E10</f>
        <v>2.6032316550637664</v>
      </c>
      <c r="F12" s="23">
        <f>F8*F10</f>
        <v>433.97742178326723</v>
      </c>
      <c r="G12" s="23"/>
      <c r="H12" s="23"/>
      <c r="I12" s="23"/>
      <c r="J12" s="23">
        <f>J8*J10</f>
        <v>20.010111968054517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5.5364864233257233E-2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69.033486120986581</v>
      </c>
      <c r="C26" s="247">
        <f>B26*'GWP N2O_CH4'!B5</f>
        <v>1449.7032085407182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17.196648634083644</v>
      </c>
      <c r="C27" s="247">
        <f>B27*'GWP N2O_CH4'!B5</f>
        <v>361.12962131575654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0.86996783621070117</v>
      </c>
      <c r="C28" s="247">
        <f>B28*'GWP N2O_CH4'!B4</f>
        <v>269.69002922531735</v>
      </c>
      <c r="D28" s="50"/>
    </row>
    <row r="29" spans="1:4">
      <c r="A29" s="41" t="s">
        <v>277</v>
      </c>
      <c r="B29" s="247">
        <f>B34*'ha_N2O bodem landbouw'!B4</f>
        <v>13.049826589848513</v>
      </c>
      <c r="C29" s="247">
        <f>B29*'GWP N2O_CH4'!B4</f>
        <v>4045.4462428530387</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2.9779254561003421E-3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3.8926949959022951E-4</v>
      </c>
      <c r="C5" s="463" t="s">
        <v>211</v>
      </c>
      <c r="D5" s="448">
        <f>SUM(D6:D11)</f>
        <v>1.4663076682098369E-3</v>
      </c>
      <c r="E5" s="448">
        <f>SUM(E6:E11)</f>
        <v>2.08444239588563E-3</v>
      </c>
      <c r="F5" s="461" t="s">
        <v>211</v>
      </c>
      <c r="G5" s="448">
        <f>SUM(G6:G11)</f>
        <v>0.73390537686094315</v>
      </c>
      <c r="H5" s="448">
        <f>SUM(H6:H11)</f>
        <v>0.16683096536351352</v>
      </c>
      <c r="I5" s="463" t="s">
        <v>211</v>
      </c>
      <c r="J5" s="463" t="s">
        <v>211</v>
      </c>
      <c r="K5" s="463" t="s">
        <v>211</v>
      </c>
      <c r="L5" s="463" t="s">
        <v>211</v>
      </c>
      <c r="M5" s="448">
        <f>SUM(M6:M11)</f>
        <v>4.7830265077593331E-2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1.3088368816412303E-4</v>
      </c>
      <c r="C6" s="449"/>
      <c r="D6" s="962">
        <f>vkm_2011_GW_PW*SUMIFS(TableVerdeelsleutelVkm[CNG],TableVerdeelsleutelVkm[Voertuigtype],"Lichte voertuigen")*SUMIFS(TableECFTransport[EnergieConsumptieFactor (PJ per km)],TableECFTransport[Index],CONCATENATE($A6,"_CNG_CNG"))</f>
        <v>3.92575944088389E-4</v>
      </c>
      <c r="E6" s="962">
        <f>vkm_2011_GW_PW*SUMIFS(TableVerdeelsleutelVkm[LPG],TableVerdeelsleutelVkm[Voertuigtype],"Lichte voertuigen")*SUMIFS(TableECFTransport[EnergieConsumptieFactor (PJ per km)],TableECFTransport[Index],CONCATENATE($A6,"_LPG_LPG"))</f>
        <v>5.3631513038004399E-4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0.13866650764858479</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4.4643186709906205E-2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9.426528586185659E-3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4.0965852257279167E-2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1.2483375534569196E-5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2.3939083787780447E-3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1.198090427864007E-4</v>
      </c>
      <c r="C8" s="449"/>
      <c r="D8" s="451">
        <f>vkm_2011_NGW_PW*SUMIFS(TableVerdeelsleutelVkm[CNG],TableVerdeelsleutelVkm[Voertuigtype],"Lichte voertuigen")*SUMIFS(TableECFTransport[EnergieConsumptieFactor (PJ per km)],TableECFTransport[Index],CONCATENATE($A8,"_CNG_CNG"))</f>
        <v>6.3894319725094637E-4</v>
      </c>
      <c r="E8" s="451">
        <f>vkm_2011_NGW_PW*SUMIFS(TableVerdeelsleutelVkm[LPG],TableVerdeelsleutelVkm[Voertuigtype],"Lichte voertuigen")*SUMIFS(TableECFTransport[EnergieConsumptieFactor (PJ per km)],TableECFTransport[Index],CONCATENATE($A8,"_LPG_LPG"))</f>
        <v>8.0839351123037078E-4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0.19477847092456291</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7.0609338926741483E-2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1.3475438869820076E-2</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2.614474636161554E-2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7.5002359463846135E-6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1.5277983149329663E-3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1.3857676863970577E-4</v>
      </c>
      <c r="C10" s="449"/>
      <c r="D10" s="451">
        <f>vkm_2011_SW_PW*SUMIFS(TableVerdeelsleutelVkm[CNG],TableVerdeelsleutelVkm[Voertuigtype],"Lichte voertuigen")*SUMIFS(TableECFTransport[EnergieConsumptieFactor (PJ per km)],TableECFTransport[Index],CONCATENATE($A10,"_CNG_CNG"))</f>
        <v>4.3478852687050141E-4</v>
      </c>
      <c r="E10" s="451">
        <f>vkm_2011_SW_PW*SUMIFS(TableVerdeelsleutelVkm[LPG],TableVerdeelsleutelVkm[Voertuigtype],"Lichte voertuigen")*SUMIFS(TableECFTransport[EnergieConsumptieFactor (PJ per km)],TableECFTransport[Index],CONCATENATE($A10,"_LPG_LPG"))</f>
        <v>7.3973375427521522E-4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0.17051030637341938</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5.1504870365770637E-2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1.1490674027911294E-2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0.16283949329548145</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5.3585749614242616E-5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9.5159168999652995E-3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108.13041655284154</v>
      </c>
      <c r="C14" s="21"/>
      <c r="D14" s="21">
        <f t="shared" ref="D14:M14" si="0">((D5)*10^9/3600)+D12</f>
        <v>407.30768561384355</v>
      </c>
      <c r="E14" s="21">
        <f t="shared" si="0"/>
        <v>579.01177663489727</v>
      </c>
      <c r="F14" s="21"/>
      <c r="G14" s="21">
        <f t="shared" si="0"/>
        <v>203862.60468359533</v>
      </c>
      <c r="H14" s="21">
        <f t="shared" si="0"/>
        <v>46341.9348231982</v>
      </c>
      <c r="I14" s="21"/>
      <c r="J14" s="21"/>
      <c r="K14" s="21"/>
      <c r="L14" s="21"/>
      <c r="M14" s="21">
        <f t="shared" si="0"/>
        <v>13286.184743775926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0.13999062813550184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15.137244933785752</v>
      </c>
      <c r="C18" s="23"/>
      <c r="D18" s="23">
        <f t="shared" ref="D18:M18" si="1">D14*D16</f>
        <v>82.276152493996406</v>
      </c>
      <c r="E18" s="23">
        <f t="shared" si="1"/>
        <v>131.43567329612168</v>
      </c>
      <c r="F18" s="23"/>
      <c r="G18" s="23">
        <f t="shared" si="1"/>
        <v>54431.315450519956</v>
      </c>
      <c r="H18" s="23">
        <f t="shared" si="1"/>
        <v>11539.141770976352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1.1714376183375081E-2</v>
      </c>
      <c r="H50" s="321">
        <f t="shared" si="2"/>
        <v>0</v>
      </c>
      <c r="I50" s="321">
        <f t="shared" si="2"/>
        <v>0</v>
      </c>
      <c r="J50" s="321">
        <f t="shared" si="2"/>
        <v>0</v>
      </c>
      <c r="K50" s="321">
        <f t="shared" si="2"/>
        <v>0</v>
      </c>
      <c r="L50" s="321">
        <f t="shared" si="2"/>
        <v>0</v>
      </c>
      <c r="M50" s="321">
        <f t="shared" si="2"/>
        <v>6.6532485320724554E-4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1.1714376183375081E-2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6.6532485320724554E-4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3253.993384270856</v>
      </c>
      <c r="H54" s="21">
        <f t="shared" si="3"/>
        <v>0</v>
      </c>
      <c r="I54" s="21">
        <f t="shared" si="3"/>
        <v>0</v>
      </c>
      <c r="J54" s="21">
        <f t="shared" si="3"/>
        <v>0</v>
      </c>
      <c r="K54" s="21">
        <f t="shared" si="3"/>
        <v>0</v>
      </c>
      <c r="L54" s="21">
        <f t="shared" si="3"/>
        <v>0</v>
      </c>
      <c r="M54" s="21">
        <f t="shared" si="3"/>
        <v>184.81245922423489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0.13999062813550184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868.81623360031858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35824.953768614359</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19186.171472665912</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55011.125241280271</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45281.367248999995</v>
      </c>
      <c r="D10" s="718">
        <f ca="1">tertiair!C16</f>
        <v>0</v>
      </c>
      <c r="E10" s="718">
        <f ca="1">tertiair!D16</f>
        <v>37521.679492285999</v>
      </c>
      <c r="F10" s="718">
        <f>tertiair!E16</f>
        <v>826.57182285435726</v>
      </c>
      <c r="G10" s="718">
        <f ca="1">tertiair!F16</f>
        <v>8139.0115391452155</v>
      </c>
      <c r="H10" s="718">
        <f>tertiair!G16</f>
        <v>0</v>
      </c>
      <c r="I10" s="718">
        <f>tertiair!H16</f>
        <v>0</v>
      </c>
      <c r="J10" s="718">
        <f>tertiair!I16</f>
        <v>0</v>
      </c>
      <c r="K10" s="718">
        <f>tertiair!J16</f>
        <v>0.15942674127280881</v>
      </c>
      <c r="L10" s="718">
        <f>tertiair!K16</f>
        <v>0</v>
      </c>
      <c r="M10" s="718">
        <f ca="1">tertiair!L16</f>
        <v>0</v>
      </c>
      <c r="N10" s="718">
        <f>tertiair!M16</f>
        <v>0</v>
      </c>
      <c r="O10" s="718">
        <f ca="1">tertiair!N16</f>
        <v>6322.0660329965995</v>
      </c>
      <c r="P10" s="718">
        <f>tertiair!O16</f>
        <v>4.6900000000000004</v>
      </c>
      <c r="Q10" s="719">
        <f>tertiair!P16</f>
        <v>38.133333333333333</v>
      </c>
      <c r="R10" s="721">
        <f ca="1">SUM(C10:Q10)</f>
        <v>98133.678896356781</v>
      </c>
      <c r="S10" s="67"/>
    </row>
    <row r="11" spans="1:19" s="474" customFormat="1">
      <c r="A11" s="870" t="s">
        <v>225</v>
      </c>
      <c r="B11" s="875"/>
      <c r="C11" s="718">
        <f>huishoudens!B8</f>
        <v>68642.171816170259</v>
      </c>
      <c r="D11" s="718">
        <f>huishoudens!C8</f>
        <v>0</v>
      </c>
      <c r="E11" s="718">
        <f>huishoudens!D8</f>
        <v>123032.98067060002</v>
      </c>
      <c r="F11" s="718">
        <f>huishoudens!E8</f>
        <v>6990.5526057230472</v>
      </c>
      <c r="G11" s="718">
        <f>huishoudens!F8</f>
        <v>111257.5006704835</v>
      </c>
      <c r="H11" s="718">
        <f>huishoudens!G8</f>
        <v>0</v>
      </c>
      <c r="I11" s="718">
        <f>huishoudens!H8</f>
        <v>0</v>
      </c>
      <c r="J11" s="718">
        <f>huishoudens!I8</f>
        <v>0</v>
      </c>
      <c r="K11" s="718">
        <f>huishoudens!J8</f>
        <v>0</v>
      </c>
      <c r="L11" s="718">
        <f>huishoudens!K8</f>
        <v>0</v>
      </c>
      <c r="M11" s="718">
        <f>huishoudens!L8</f>
        <v>0</v>
      </c>
      <c r="N11" s="718">
        <f>huishoudens!M8</f>
        <v>0</v>
      </c>
      <c r="O11" s="718">
        <f>huishoudens!N8</f>
        <v>50572.531196637385</v>
      </c>
      <c r="P11" s="718">
        <f>huishoudens!O8</f>
        <v>1178.7533333333333</v>
      </c>
      <c r="Q11" s="719">
        <f>huishoudens!P8</f>
        <v>2326.1333333333332</v>
      </c>
      <c r="R11" s="721">
        <f>SUM(C11:Q11)</f>
        <v>364000.62362628093</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35652.889466999994</v>
      </c>
      <c r="D13" s="718">
        <f>industrie!C18</f>
        <v>0</v>
      </c>
      <c r="E13" s="718">
        <f>industrie!D18</f>
        <v>35537.758659942003</v>
      </c>
      <c r="F13" s="718">
        <f>industrie!E18</f>
        <v>1539.4283283535356</v>
      </c>
      <c r="G13" s="718">
        <f>industrie!F18</f>
        <v>5762.8554405146879</v>
      </c>
      <c r="H13" s="718">
        <f>industrie!G18</f>
        <v>0</v>
      </c>
      <c r="I13" s="718">
        <f>industrie!H18</f>
        <v>0</v>
      </c>
      <c r="J13" s="718">
        <f>industrie!I18</f>
        <v>0</v>
      </c>
      <c r="K13" s="718">
        <f>industrie!J18</f>
        <v>3.4306323272145489</v>
      </c>
      <c r="L13" s="718">
        <f>industrie!K18</f>
        <v>0</v>
      </c>
      <c r="M13" s="718">
        <f>industrie!L18</f>
        <v>0</v>
      </c>
      <c r="N13" s="718">
        <f>industrie!M18</f>
        <v>0</v>
      </c>
      <c r="O13" s="718">
        <f>industrie!N18</f>
        <v>34048.472272276704</v>
      </c>
      <c r="P13" s="718">
        <f>industrie!O18</f>
        <v>0</v>
      </c>
      <c r="Q13" s="719">
        <f>industrie!P18</f>
        <v>0</v>
      </c>
      <c r="R13" s="721">
        <f>SUM(C13:Q13)</f>
        <v>112544.83480041413</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149576.42853217025</v>
      </c>
      <c r="D15" s="723">
        <f t="shared" ref="D15:Q15" ca="1" si="0">SUM(D9:D14)</f>
        <v>0</v>
      </c>
      <c r="E15" s="723">
        <f t="shared" ca="1" si="0"/>
        <v>196092.41882282804</v>
      </c>
      <c r="F15" s="723">
        <f t="shared" si="0"/>
        <v>9356.5527569309397</v>
      </c>
      <c r="G15" s="723">
        <f t="shared" ca="1" si="0"/>
        <v>125159.36765014339</v>
      </c>
      <c r="H15" s="723">
        <f t="shared" si="0"/>
        <v>0</v>
      </c>
      <c r="I15" s="723">
        <f t="shared" si="0"/>
        <v>0</v>
      </c>
      <c r="J15" s="723">
        <f t="shared" si="0"/>
        <v>0</v>
      </c>
      <c r="K15" s="723">
        <f t="shared" si="0"/>
        <v>3.5900590684873577</v>
      </c>
      <c r="L15" s="723">
        <f t="shared" si="0"/>
        <v>0</v>
      </c>
      <c r="M15" s="723">
        <f t="shared" ca="1" si="0"/>
        <v>0</v>
      </c>
      <c r="N15" s="723">
        <f t="shared" si="0"/>
        <v>0</v>
      </c>
      <c r="O15" s="723">
        <f t="shared" ca="1" si="0"/>
        <v>90943.069501910679</v>
      </c>
      <c r="P15" s="723">
        <f t="shared" si="0"/>
        <v>1183.4433333333334</v>
      </c>
      <c r="Q15" s="724">
        <f t="shared" si="0"/>
        <v>2364.2666666666664</v>
      </c>
      <c r="R15" s="725">
        <f ca="1">SUM(R9:R14)</f>
        <v>574679.13732305181</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3253.993384270856</v>
      </c>
      <c r="I18" s="718">
        <f>transport!H54</f>
        <v>0</v>
      </c>
      <c r="J18" s="718">
        <f>transport!I54</f>
        <v>0</v>
      </c>
      <c r="K18" s="718">
        <f>transport!J54</f>
        <v>0</v>
      </c>
      <c r="L18" s="718">
        <f>transport!K54</f>
        <v>0</v>
      </c>
      <c r="M18" s="718">
        <f>transport!L54</f>
        <v>0</v>
      </c>
      <c r="N18" s="718">
        <f>transport!M54</f>
        <v>184.81245922423489</v>
      </c>
      <c r="O18" s="718">
        <f>transport!N54</f>
        <v>0</v>
      </c>
      <c r="P18" s="718">
        <f>transport!O54</f>
        <v>0</v>
      </c>
      <c r="Q18" s="719">
        <f>transport!P54</f>
        <v>0</v>
      </c>
      <c r="R18" s="721">
        <f>SUM(C18:Q18)</f>
        <v>3438.8058434950908</v>
      </c>
      <c r="S18" s="67"/>
    </row>
    <row r="19" spans="1:19" s="474" customFormat="1" ht="15" thickBot="1">
      <c r="A19" s="870" t="s">
        <v>307</v>
      </c>
      <c r="B19" s="875"/>
      <c r="C19" s="727">
        <f>transport!B14</f>
        <v>108.13041655284154</v>
      </c>
      <c r="D19" s="727">
        <f>transport!C14</f>
        <v>0</v>
      </c>
      <c r="E19" s="727">
        <f>transport!D14</f>
        <v>407.30768561384355</v>
      </c>
      <c r="F19" s="727">
        <f>transport!E14</f>
        <v>579.01177663489727</v>
      </c>
      <c r="G19" s="727">
        <f>transport!F14</f>
        <v>0</v>
      </c>
      <c r="H19" s="727">
        <f>transport!G14</f>
        <v>203862.60468359533</v>
      </c>
      <c r="I19" s="727">
        <f>transport!H14</f>
        <v>46341.9348231982</v>
      </c>
      <c r="J19" s="727">
        <f>transport!I14</f>
        <v>0</v>
      </c>
      <c r="K19" s="727">
        <f>transport!J14</f>
        <v>0</v>
      </c>
      <c r="L19" s="727">
        <f>transport!K14</f>
        <v>0</v>
      </c>
      <c r="M19" s="727">
        <f>transport!L14</f>
        <v>0</v>
      </c>
      <c r="N19" s="727">
        <f>transport!M14</f>
        <v>13286.184743775926</v>
      </c>
      <c r="O19" s="727">
        <f>transport!N14</f>
        <v>0</v>
      </c>
      <c r="P19" s="727">
        <f>transport!O14</f>
        <v>0</v>
      </c>
      <c r="Q19" s="728">
        <f>transport!P14</f>
        <v>0</v>
      </c>
      <c r="R19" s="729">
        <f>SUM(C19:Q19)</f>
        <v>264585.17412937107</v>
      </c>
      <c r="S19" s="67"/>
    </row>
    <row r="20" spans="1:19" s="474" customFormat="1" ht="15.75" thickBot="1">
      <c r="A20" s="730" t="s">
        <v>230</v>
      </c>
      <c r="B20" s="878"/>
      <c r="C20" s="873">
        <f>SUM(C17:C19)</f>
        <v>108.13041655284154</v>
      </c>
      <c r="D20" s="731">
        <f t="shared" ref="D20:R20" si="1">SUM(D17:D19)</f>
        <v>0</v>
      </c>
      <c r="E20" s="731">
        <f t="shared" si="1"/>
        <v>407.30768561384355</v>
      </c>
      <c r="F20" s="731">
        <f t="shared" si="1"/>
        <v>579.01177663489727</v>
      </c>
      <c r="G20" s="731">
        <f t="shared" si="1"/>
        <v>0</v>
      </c>
      <c r="H20" s="731">
        <f t="shared" si="1"/>
        <v>207116.59806786617</v>
      </c>
      <c r="I20" s="731">
        <f t="shared" si="1"/>
        <v>46341.9348231982</v>
      </c>
      <c r="J20" s="731">
        <f t="shared" si="1"/>
        <v>0</v>
      </c>
      <c r="K20" s="731">
        <f t="shared" si="1"/>
        <v>0</v>
      </c>
      <c r="L20" s="731">
        <f t="shared" si="1"/>
        <v>0</v>
      </c>
      <c r="M20" s="731">
        <f t="shared" si="1"/>
        <v>0</v>
      </c>
      <c r="N20" s="731">
        <f t="shared" si="1"/>
        <v>13470.997203000161</v>
      </c>
      <c r="O20" s="731">
        <f t="shared" si="1"/>
        <v>0</v>
      </c>
      <c r="P20" s="731">
        <f t="shared" si="1"/>
        <v>0</v>
      </c>
      <c r="Q20" s="732">
        <f t="shared" si="1"/>
        <v>0</v>
      </c>
      <c r="R20" s="733">
        <f t="shared" si="1"/>
        <v>268023.97997286613</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390.15954999999997</v>
      </c>
      <c r="D22" s="727">
        <f>+landbouw!C8</f>
        <v>0</v>
      </c>
      <c r="E22" s="727">
        <f>+landbouw!D8</f>
        <v>7369.5169814199999</v>
      </c>
      <c r="F22" s="727">
        <f>+landbouw!E8</f>
        <v>11.467980859311746</v>
      </c>
      <c r="G22" s="727">
        <f>+landbouw!F8</f>
        <v>1625.3836021845214</v>
      </c>
      <c r="H22" s="727">
        <f>+landbouw!G8</f>
        <v>0</v>
      </c>
      <c r="I22" s="727">
        <f>+landbouw!H8</f>
        <v>0</v>
      </c>
      <c r="J22" s="727">
        <f>+landbouw!I8</f>
        <v>0</v>
      </c>
      <c r="K22" s="727">
        <f>+landbouw!J8</f>
        <v>56.525740022752878</v>
      </c>
      <c r="L22" s="727">
        <f>+landbouw!K8</f>
        <v>0</v>
      </c>
      <c r="M22" s="727">
        <f>+landbouw!L8</f>
        <v>0</v>
      </c>
      <c r="N22" s="727">
        <f>+landbouw!M8</f>
        <v>0</v>
      </c>
      <c r="O22" s="727">
        <f>+landbouw!N8</f>
        <v>0</v>
      </c>
      <c r="P22" s="727">
        <f>+landbouw!O8</f>
        <v>0</v>
      </c>
      <c r="Q22" s="728">
        <f>+landbouw!P8</f>
        <v>0</v>
      </c>
      <c r="R22" s="729">
        <f>SUM(C22:Q22)</f>
        <v>9453.0538544865867</v>
      </c>
      <c r="S22" s="67"/>
    </row>
    <row r="23" spans="1:19" s="474" customFormat="1" ht="17.25" thickTop="1" thickBot="1">
      <c r="A23" s="734" t="s">
        <v>116</v>
      </c>
      <c r="B23" s="864"/>
      <c r="C23" s="735">
        <f ca="1">C20+C15+C22</f>
        <v>150074.71849872309</v>
      </c>
      <c r="D23" s="735">
        <f t="shared" ref="D23:Q23" ca="1" si="2">D20+D15+D22</f>
        <v>0</v>
      </c>
      <c r="E23" s="735">
        <f t="shared" ca="1" si="2"/>
        <v>203869.24348986187</v>
      </c>
      <c r="F23" s="735">
        <f t="shared" si="2"/>
        <v>9947.0325144251492</v>
      </c>
      <c r="G23" s="735">
        <f t="shared" ca="1" si="2"/>
        <v>126784.75125232791</v>
      </c>
      <c r="H23" s="735">
        <f t="shared" si="2"/>
        <v>207116.59806786617</v>
      </c>
      <c r="I23" s="735">
        <f t="shared" si="2"/>
        <v>46341.9348231982</v>
      </c>
      <c r="J23" s="735">
        <f t="shared" si="2"/>
        <v>0</v>
      </c>
      <c r="K23" s="735">
        <f t="shared" si="2"/>
        <v>60.115799091240234</v>
      </c>
      <c r="L23" s="735">
        <f t="shared" si="2"/>
        <v>0</v>
      </c>
      <c r="M23" s="735">
        <f t="shared" ca="1" si="2"/>
        <v>0</v>
      </c>
      <c r="N23" s="735">
        <f t="shared" si="2"/>
        <v>13470.997203000161</v>
      </c>
      <c r="O23" s="735">
        <f t="shared" ca="1" si="2"/>
        <v>90943.069501910679</v>
      </c>
      <c r="P23" s="735">
        <f t="shared" si="2"/>
        <v>1183.4433333333334</v>
      </c>
      <c r="Q23" s="736">
        <f t="shared" si="2"/>
        <v>2364.2666666666664</v>
      </c>
      <c r="R23" s="737">
        <f ca="1">R20+R15+R22</f>
        <v>852156.17115040449</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6338.9670440218506</v>
      </c>
      <c r="D36" s="718">
        <f ca="1">tertiair!C20</f>
        <v>0</v>
      </c>
      <c r="E36" s="718">
        <f ca="1">tertiair!D20</f>
        <v>7579.3792574417721</v>
      </c>
      <c r="F36" s="718">
        <f>tertiair!E20</f>
        <v>187.63180378793911</v>
      </c>
      <c r="G36" s="718">
        <f ca="1">tertiair!F20</f>
        <v>2173.1160809517728</v>
      </c>
      <c r="H36" s="718">
        <f>tertiair!G20</f>
        <v>0</v>
      </c>
      <c r="I36" s="718">
        <f>tertiair!H20</f>
        <v>0</v>
      </c>
      <c r="J36" s="718">
        <f>tertiair!I20</f>
        <v>0</v>
      </c>
      <c r="K36" s="718">
        <f>tertiair!J20</f>
        <v>5.6437066410574319E-2</v>
      </c>
      <c r="L36" s="718">
        <f>tertiair!K20</f>
        <v>0</v>
      </c>
      <c r="M36" s="718">
        <f ca="1">tertiair!L20</f>
        <v>0</v>
      </c>
      <c r="N36" s="718">
        <f>tertiair!M20</f>
        <v>0</v>
      </c>
      <c r="O36" s="718">
        <f ca="1">tertiair!N20</f>
        <v>0</v>
      </c>
      <c r="P36" s="718">
        <f>tertiair!O20</f>
        <v>0</v>
      </c>
      <c r="Q36" s="828">
        <f>tertiair!P20</f>
        <v>0</v>
      </c>
      <c r="R36" s="917">
        <f ca="1">SUM(C36:Q36)</f>
        <v>16279.150623269745</v>
      </c>
    </row>
    <row r="37" spans="1:18">
      <c r="A37" s="885" t="s">
        <v>225</v>
      </c>
      <c r="B37" s="892"/>
      <c r="C37" s="718">
        <f ca="1">huishoudens!B12</f>
        <v>9609.2607491307153</v>
      </c>
      <c r="D37" s="718">
        <f ca="1">huishoudens!C12</f>
        <v>0</v>
      </c>
      <c r="E37" s="718">
        <f>huishoudens!D12</f>
        <v>24852.662095461208</v>
      </c>
      <c r="F37" s="718">
        <f>huishoudens!E12</f>
        <v>1586.8554414991318</v>
      </c>
      <c r="G37" s="718">
        <f>huishoudens!F12</f>
        <v>29705.752679019097</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65754.530965110142</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4991.0703913309462</v>
      </c>
      <c r="D39" s="718">
        <f ca="1">industrie!C22</f>
        <v>0</v>
      </c>
      <c r="E39" s="718">
        <f>industrie!D22</f>
        <v>7178.6272493082852</v>
      </c>
      <c r="F39" s="718">
        <f>industrie!E22</f>
        <v>349.4502305362526</v>
      </c>
      <c r="G39" s="718">
        <f>industrie!F22</f>
        <v>1538.6824026174218</v>
      </c>
      <c r="H39" s="718">
        <f>industrie!G22</f>
        <v>0</v>
      </c>
      <c r="I39" s="718">
        <f>industrie!H22</f>
        <v>0</v>
      </c>
      <c r="J39" s="718">
        <f>industrie!I22</f>
        <v>0</v>
      </c>
      <c r="K39" s="718">
        <f>industrie!J22</f>
        <v>1.2144438438339502</v>
      </c>
      <c r="L39" s="718">
        <f>industrie!K22</f>
        <v>0</v>
      </c>
      <c r="M39" s="718">
        <f>industrie!L22</f>
        <v>0</v>
      </c>
      <c r="N39" s="718">
        <f>industrie!M22</f>
        <v>0</v>
      </c>
      <c r="O39" s="718">
        <f>industrie!N22</f>
        <v>0</v>
      </c>
      <c r="P39" s="718">
        <f>industrie!O22</f>
        <v>0</v>
      </c>
      <c r="Q39" s="828">
        <f>industrie!P22</f>
        <v>0</v>
      </c>
      <c r="R39" s="918">
        <f ca="1">SUM(C39:Q39)</f>
        <v>14059.04471763674</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20939.298184483512</v>
      </c>
      <c r="D41" s="763">
        <f t="shared" ref="D41:R41" ca="1" si="4">SUM(D35:D40)</f>
        <v>0</v>
      </c>
      <c r="E41" s="763">
        <f t="shared" ca="1" si="4"/>
        <v>39610.668602211263</v>
      </c>
      <c r="F41" s="763">
        <f t="shared" si="4"/>
        <v>2123.9374758233234</v>
      </c>
      <c r="G41" s="763">
        <f t="shared" ca="1" si="4"/>
        <v>33417.551162588294</v>
      </c>
      <c r="H41" s="763">
        <f t="shared" si="4"/>
        <v>0</v>
      </c>
      <c r="I41" s="763">
        <f t="shared" si="4"/>
        <v>0</v>
      </c>
      <c r="J41" s="763">
        <f t="shared" si="4"/>
        <v>0</v>
      </c>
      <c r="K41" s="763">
        <f t="shared" si="4"/>
        <v>1.2708809102445244</v>
      </c>
      <c r="L41" s="763">
        <f t="shared" si="4"/>
        <v>0</v>
      </c>
      <c r="M41" s="763">
        <f t="shared" ca="1" si="4"/>
        <v>0</v>
      </c>
      <c r="N41" s="763">
        <f t="shared" si="4"/>
        <v>0</v>
      </c>
      <c r="O41" s="763">
        <f t="shared" ca="1" si="4"/>
        <v>0</v>
      </c>
      <c r="P41" s="763">
        <f t="shared" si="4"/>
        <v>0</v>
      </c>
      <c r="Q41" s="764">
        <f t="shared" si="4"/>
        <v>0</v>
      </c>
      <c r="R41" s="765">
        <f t="shared" ca="1" si="4"/>
        <v>96092.72630601663</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868.81623360031858</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868.81623360031858</v>
      </c>
    </row>
    <row r="45" spans="1:18" ht="15" thickBot="1">
      <c r="A45" s="888" t="s">
        <v>307</v>
      </c>
      <c r="B45" s="898"/>
      <c r="C45" s="727">
        <f ca="1">transport!B18</f>
        <v>15.137244933785752</v>
      </c>
      <c r="D45" s="727">
        <f>transport!C18</f>
        <v>0</v>
      </c>
      <c r="E45" s="727">
        <f>transport!D18</f>
        <v>82.276152493996406</v>
      </c>
      <c r="F45" s="727">
        <f>transport!E18</f>
        <v>131.43567329612168</v>
      </c>
      <c r="G45" s="727">
        <f>transport!F18</f>
        <v>0</v>
      </c>
      <c r="H45" s="727">
        <f>transport!G18</f>
        <v>54431.315450519956</v>
      </c>
      <c r="I45" s="727">
        <f>transport!H18</f>
        <v>11539.141770976352</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66199.306292220208</v>
      </c>
    </row>
    <row r="46" spans="1:18" ht="15.75" thickBot="1">
      <c r="A46" s="886" t="s">
        <v>230</v>
      </c>
      <c r="B46" s="899"/>
      <c r="C46" s="763">
        <f t="shared" ref="C46:R46" ca="1" si="5">SUM(C43:C45)</f>
        <v>15.137244933785752</v>
      </c>
      <c r="D46" s="763">
        <f t="shared" ca="1" si="5"/>
        <v>0</v>
      </c>
      <c r="E46" s="763">
        <f t="shared" si="5"/>
        <v>82.276152493996406</v>
      </c>
      <c r="F46" s="763">
        <f t="shared" si="5"/>
        <v>131.43567329612168</v>
      </c>
      <c r="G46" s="763">
        <f t="shared" si="5"/>
        <v>0</v>
      </c>
      <c r="H46" s="763">
        <f t="shared" si="5"/>
        <v>55300.131684120272</v>
      </c>
      <c r="I46" s="763">
        <f t="shared" si="5"/>
        <v>11539.141770976352</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67068.122525820523</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54.61868047756473</v>
      </c>
      <c r="D48" s="718">
        <f ca="1">+landbouw!C12</f>
        <v>0</v>
      </c>
      <c r="E48" s="718">
        <f>+landbouw!D12</f>
        <v>1488.6424302468401</v>
      </c>
      <c r="F48" s="718">
        <f>+landbouw!E12</f>
        <v>2.6032316550637664</v>
      </c>
      <c r="G48" s="718">
        <f>+landbouw!F12</f>
        <v>433.97742178326723</v>
      </c>
      <c r="H48" s="718">
        <f>+landbouw!G12</f>
        <v>0</v>
      </c>
      <c r="I48" s="718">
        <f>+landbouw!H12</f>
        <v>0</v>
      </c>
      <c r="J48" s="718">
        <f>+landbouw!I12</f>
        <v>0</v>
      </c>
      <c r="K48" s="718">
        <f>+landbouw!J12</f>
        <v>20.010111968054517</v>
      </c>
      <c r="L48" s="718">
        <f>+landbouw!K12</f>
        <v>0</v>
      </c>
      <c r="M48" s="718">
        <f>+landbouw!L12</f>
        <v>0</v>
      </c>
      <c r="N48" s="718">
        <f>+landbouw!M12</f>
        <v>0</v>
      </c>
      <c r="O48" s="718">
        <f>+landbouw!N12</f>
        <v>0</v>
      </c>
      <c r="P48" s="718">
        <f>+landbouw!O12</f>
        <v>0</v>
      </c>
      <c r="Q48" s="719">
        <f>+landbouw!P12</f>
        <v>0</v>
      </c>
      <c r="R48" s="761">
        <f ca="1">SUM(C48:Q48)</f>
        <v>1999.8518761307907</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21009.054109894863</v>
      </c>
      <c r="D53" s="773">
        <f t="shared" ref="D53:Q53" ca="1" si="6">D41+D46+D48</f>
        <v>0</v>
      </c>
      <c r="E53" s="773">
        <f t="shared" ca="1" si="6"/>
        <v>41181.587184952099</v>
      </c>
      <c r="F53" s="773">
        <f t="shared" si="6"/>
        <v>2257.9763807745089</v>
      </c>
      <c r="G53" s="773">
        <f t="shared" ca="1" si="6"/>
        <v>33851.528584371561</v>
      </c>
      <c r="H53" s="773">
        <f t="shared" si="6"/>
        <v>55300.131684120272</v>
      </c>
      <c r="I53" s="773">
        <f t="shared" si="6"/>
        <v>11539.141770976352</v>
      </c>
      <c r="J53" s="773">
        <f t="shared" si="6"/>
        <v>0</v>
      </c>
      <c r="K53" s="773">
        <f t="shared" si="6"/>
        <v>21.280992878299042</v>
      </c>
      <c r="L53" s="773">
        <f t="shared" si="6"/>
        <v>0</v>
      </c>
      <c r="M53" s="773">
        <f t="shared" ca="1" si="6"/>
        <v>0</v>
      </c>
      <c r="N53" s="773">
        <f t="shared" si="6"/>
        <v>0</v>
      </c>
      <c r="O53" s="773">
        <f t="shared" ca="1" si="6"/>
        <v>0</v>
      </c>
      <c r="P53" s="773">
        <f>P41+P46+P48</f>
        <v>0</v>
      </c>
      <c r="Q53" s="774">
        <f t="shared" si="6"/>
        <v>0</v>
      </c>
      <c r="R53" s="775">
        <f ca="1">R41+R46+R48</f>
        <v>165160.70070796795</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0.13999062813550184</v>
      </c>
      <c r="D55" s="836">
        <f t="shared" ca="1" si="7"/>
        <v>0</v>
      </c>
      <c r="E55" s="836">
        <f t="shared" ca="1" si="7"/>
        <v>0.20200000000000001</v>
      </c>
      <c r="F55" s="836">
        <f t="shared" si="7"/>
        <v>0.22700000000000001</v>
      </c>
      <c r="G55" s="836">
        <f t="shared" ca="1" si="7"/>
        <v>0.26700000000000007</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35824.953768614359</v>
      </c>
      <c r="C64" s="795">
        <f>'lokale energieproductie'!B4</f>
        <v>35824.953768614359</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19186.171472665912</v>
      </c>
      <c r="C66" s="795">
        <f>'lokale energieproductie'!B6</f>
        <v>19186.171472665912</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55011.125241280271</v>
      </c>
      <c r="C69" s="803">
        <f>SUM(C64:C68)</f>
        <v>55011.125241280271</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68642.171816170259</v>
      </c>
      <c r="C4" s="478">
        <f>huishoudens!C8</f>
        <v>0</v>
      </c>
      <c r="D4" s="478">
        <f>huishoudens!D8</f>
        <v>123032.98067060002</v>
      </c>
      <c r="E4" s="478">
        <f>huishoudens!E8</f>
        <v>6990.5526057230472</v>
      </c>
      <c r="F4" s="478">
        <f>huishoudens!F8</f>
        <v>111257.5006704835</v>
      </c>
      <c r="G4" s="478">
        <f>huishoudens!G8</f>
        <v>0</v>
      </c>
      <c r="H4" s="478">
        <f>huishoudens!H8</f>
        <v>0</v>
      </c>
      <c r="I4" s="478">
        <f>huishoudens!I8</f>
        <v>0</v>
      </c>
      <c r="J4" s="478">
        <f>huishoudens!J8</f>
        <v>0</v>
      </c>
      <c r="K4" s="478">
        <f>huishoudens!K8</f>
        <v>0</v>
      </c>
      <c r="L4" s="478">
        <f>huishoudens!L8</f>
        <v>0</v>
      </c>
      <c r="M4" s="478">
        <f>huishoudens!M8</f>
        <v>0</v>
      </c>
      <c r="N4" s="478">
        <f>huishoudens!N8</f>
        <v>50572.531196637385</v>
      </c>
      <c r="O4" s="478">
        <f>huishoudens!O8</f>
        <v>1178.7533333333333</v>
      </c>
      <c r="P4" s="479">
        <f>huishoudens!P8</f>
        <v>2326.1333333333332</v>
      </c>
      <c r="Q4" s="480">
        <f>SUM(B4:P4)</f>
        <v>364000.62362628093</v>
      </c>
    </row>
    <row r="5" spans="1:17">
      <c r="A5" s="477" t="s">
        <v>156</v>
      </c>
      <c r="B5" s="478">
        <f ca="1">tertiair!B16</f>
        <v>43260.267248999997</v>
      </c>
      <c r="C5" s="478">
        <f ca="1">tertiair!C16</f>
        <v>0</v>
      </c>
      <c r="D5" s="478">
        <f ca="1">tertiair!D16</f>
        <v>37521.679492285999</v>
      </c>
      <c r="E5" s="478">
        <f>tertiair!E16</f>
        <v>826.57182285435726</v>
      </c>
      <c r="F5" s="478">
        <f ca="1">tertiair!F16</f>
        <v>8139.0115391452155</v>
      </c>
      <c r="G5" s="478">
        <f>tertiair!G16</f>
        <v>0</v>
      </c>
      <c r="H5" s="478">
        <f>tertiair!H16</f>
        <v>0</v>
      </c>
      <c r="I5" s="478">
        <f>tertiair!I16</f>
        <v>0</v>
      </c>
      <c r="J5" s="478">
        <f>tertiair!J16</f>
        <v>0.15942674127280881</v>
      </c>
      <c r="K5" s="478">
        <f>tertiair!K16</f>
        <v>0</v>
      </c>
      <c r="L5" s="478">
        <f ca="1">tertiair!L16</f>
        <v>0</v>
      </c>
      <c r="M5" s="478">
        <f>tertiair!M16</f>
        <v>0</v>
      </c>
      <c r="N5" s="478">
        <f ca="1">tertiair!N16</f>
        <v>6322.0660329965995</v>
      </c>
      <c r="O5" s="478">
        <f>tertiair!O16</f>
        <v>4.6900000000000004</v>
      </c>
      <c r="P5" s="479">
        <f>tertiair!P16</f>
        <v>38.133333333333333</v>
      </c>
      <c r="Q5" s="477">
        <f t="shared" ref="Q5:Q13" ca="1" si="0">SUM(B5:P5)</f>
        <v>96112.578896356776</v>
      </c>
    </row>
    <row r="6" spans="1:17">
      <c r="A6" s="477" t="s">
        <v>194</v>
      </c>
      <c r="B6" s="478">
        <f>'openbare verlichting'!B8</f>
        <v>2021.1</v>
      </c>
      <c r="C6" s="478"/>
      <c r="D6" s="478"/>
      <c r="E6" s="478"/>
      <c r="F6" s="478"/>
      <c r="G6" s="478"/>
      <c r="H6" s="478"/>
      <c r="I6" s="478"/>
      <c r="J6" s="478"/>
      <c r="K6" s="478"/>
      <c r="L6" s="478"/>
      <c r="M6" s="478"/>
      <c r="N6" s="478"/>
      <c r="O6" s="478"/>
      <c r="P6" s="479"/>
      <c r="Q6" s="477">
        <f t="shared" si="0"/>
        <v>2021.1</v>
      </c>
    </row>
    <row r="7" spans="1:17">
      <c r="A7" s="477" t="s">
        <v>112</v>
      </c>
      <c r="B7" s="478">
        <f>landbouw!B8</f>
        <v>390.15954999999997</v>
      </c>
      <c r="C7" s="478">
        <f>landbouw!C8</f>
        <v>0</v>
      </c>
      <c r="D7" s="478">
        <f>landbouw!D8</f>
        <v>7369.5169814199999</v>
      </c>
      <c r="E7" s="478">
        <f>landbouw!E8</f>
        <v>11.467980859311746</v>
      </c>
      <c r="F7" s="478">
        <f>landbouw!F8</f>
        <v>1625.3836021845214</v>
      </c>
      <c r="G7" s="478">
        <f>landbouw!G8</f>
        <v>0</v>
      </c>
      <c r="H7" s="478">
        <f>landbouw!H8</f>
        <v>0</v>
      </c>
      <c r="I7" s="478">
        <f>landbouw!I8</f>
        <v>0</v>
      </c>
      <c r="J7" s="478">
        <f>landbouw!J8</f>
        <v>56.525740022752878</v>
      </c>
      <c r="K7" s="478">
        <f>landbouw!K8</f>
        <v>0</v>
      </c>
      <c r="L7" s="478">
        <f>landbouw!L8</f>
        <v>0</v>
      </c>
      <c r="M7" s="478">
        <f>landbouw!M8</f>
        <v>0</v>
      </c>
      <c r="N7" s="478">
        <f>landbouw!N8</f>
        <v>0</v>
      </c>
      <c r="O7" s="478">
        <f>landbouw!O8</f>
        <v>0</v>
      </c>
      <c r="P7" s="479">
        <f>landbouw!P8</f>
        <v>0</v>
      </c>
      <c r="Q7" s="477">
        <f t="shared" si="0"/>
        <v>9453.0538544865867</v>
      </c>
    </row>
    <row r="8" spans="1:17">
      <c r="A8" s="477" t="s">
        <v>635</v>
      </c>
      <c r="B8" s="478">
        <f>industrie!B18</f>
        <v>35652.889466999994</v>
      </c>
      <c r="C8" s="478">
        <f>industrie!C18</f>
        <v>0</v>
      </c>
      <c r="D8" s="478">
        <f>industrie!D18</f>
        <v>35537.758659942003</v>
      </c>
      <c r="E8" s="478">
        <f>industrie!E18</f>
        <v>1539.4283283535356</v>
      </c>
      <c r="F8" s="478">
        <f>industrie!F18</f>
        <v>5762.8554405146879</v>
      </c>
      <c r="G8" s="478">
        <f>industrie!G18</f>
        <v>0</v>
      </c>
      <c r="H8" s="478">
        <f>industrie!H18</f>
        <v>0</v>
      </c>
      <c r="I8" s="478">
        <f>industrie!I18</f>
        <v>0</v>
      </c>
      <c r="J8" s="478">
        <f>industrie!J18</f>
        <v>3.4306323272145489</v>
      </c>
      <c r="K8" s="478">
        <f>industrie!K18</f>
        <v>0</v>
      </c>
      <c r="L8" s="478">
        <f>industrie!L18</f>
        <v>0</v>
      </c>
      <c r="M8" s="478">
        <f>industrie!M18</f>
        <v>0</v>
      </c>
      <c r="N8" s="478">
        <f>industrie!N18</f>
        <v>34048.472272276704</v>
      </c>
      <c r="O8" s="478">
        <f>industrie!O18</f>
        <v>0</v>
      </c>
      <c r="P8" s="479">
        <f>industrie!P18</f>
        <v>0</v>
      </c>
      <c r="Q8" s="477">
        <f t="shared" si="0"/>
        <v>112544.83480041413</v>
      </c>
    </row>
    <row r="9" spans="1:17" s="483" customFormat="1">
      <c r="A9" s="481" t="s">
        <v>561</v>
      </c>
      <c r="B9" s="482">
        <f>transport!B14</f>
        <v>108.13041655284154</v>
      </c>
      <c r="C9" s="482"/>
      <c r="D9" s="482">
        <f>transport!D14</f>
        <v>407.30768561384355</v>
      </c>
      <c r="E9" s="482">
        <f>transport!E14</f>
        <v>579.01177663489727</v>
      </c>
      <c r="F9" s="482"/>
      <c r="G9" s="482">
        <f>transport!G14</f>
        <v>203862.60468359533</v>
      </c>
      <c r="H9" s="482">
        <f>transport!H14</f>
        <v>46341.9348231982</v>
      </c>
      <c r="I9" s="482"/>
      <c r="J9" s="482"/>
      <c r="K9" s="482"/>
      <c r="L9" s="482"/>
      <c r="M9" s="482">
        <f>transport!M14</f>
        <v>13286.184743775926</v>
      </c>
      <c r="N9" s="482"/>
      <c r="O9" s="482"/>
      <c r="P9" s="482"/>
      <c r="Q9" s="481">
        <f>SUM(B9:P9)</f>
        <v>264585.17412937107</v>
      </c>
    </row>
    <row r="10" spans="1:17">
      <c r="A10" s="477" t="s">
        <v>551</v>
      </c>
      <c r="B10" s="478">
        <f>transport!B54</f>
        <v>0</v>
      </c>
      <c r="C10" s="478"/>
      <c r="D10" s="478">
        <f>transport!D54</f>
        <v>0</v>
      </c>
      <c r="E10" s="478"/>
      <c r="F10" s="478"/>
      <c r="G10" s="478">
        <f>transport!G54</f>
        <v>3253.993384270856</v>
      </c>
      <c r="H10" s="478"/>
      <c r="I10" s="478"/>
      <c r="J10" s="478"/>
      <c r="K10" s="478"/>
      <c r="L10" s="478"/>
      <c r="M10" s="478">
        <f>transport!M54</f>
        <v>184.81245922423489</v>
      </c>
      <c r="N10" s="478"/>
      <c r="O10" s="478"/>
      <c r="P10" s="479"/>
      <c r="Q10" s="477">
        <f t="shared" si="0"/>
        <v>3438.8058434950908</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150074.71849872309</v>
      </c>
      <c r="C14" s="488">
        <f t="shared" ref="C14:Q14" ca="1" si="1">SUM(C4:C13)</f>
        <v>0</v>
      </c>
      <c r="D14" s="488">
        <f t="shared" ca="1" si="1"/>
        <v>203869.24348986187</v>
      </c>
      <c r="E14" s="488">
        <f t="shared" si="1"/>
        <v>9947.0325144251492</v>
      </c>
      <c r="F14" s="488">
        <f t="shared" ca="1" si="1"/>
        <v>126784.75125232791</v>
      </c>
      <c r="G14" s="488">
        <f t="shared" si="1"/>
        <v>207116.59806786617</v>
      </c>
      <c r="H14" s="488">
        <f t="shared" si="1"/>
        <v>46341.9348231982</v>
      </c>
      <c r="I14" s="488">
        <f t="shared" si="1"/>
        <v>0</v>
      </c>
      <c r="J14" s="488">
        <f t="shared" si="1"/>
        <v>60.115799091240234</v>
      </c>
      <c r="K14" s="488">
        <f t="shared" si="1"/>
        <v>0</v>
      </c>
      <c r="L14" s="488">
        <f t="shared" ca="1" si="1"/>
        <v>0</v>
      </c>
      <c r="M14" s="488">
        <f t="shared" si="1"/>
        <v>13470.997203000161</v>
      </c>
      <c r="N14" s="488">
        <f t="shared" ca="1" si="1"/>
        <v>90943.069501910679</v>
      </c>
      <c r="O14" s="488">
        <f t="shared" si="1"/>
        <v>1183.4433333333334</v>
      </c>
      <c r="P14" s="489">
        <f t="shared" si="1"/>
        <v>2364.2666666666664</v>
      </c>
      <c r="Q14" s="489">
        <f t="shared" ca="1" si="1"/>
        <v>852156.17115040449</v>
      </c>
    </row>
    <row r="16" spans="1:17">
      <c r="A16" s="491" t="s">
        <v>556</v>
      </c>
      <c r="B16" s="841">
        <f ca="1">huishoudens!B10</f>
        <v>0.13999062813550184</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9609.2607491307153</v>
      </c>
      <c r="C21" s="478">
        <f t="shared" ref="C21:C28" ca="1" si="3">C4*$C$16</f>
        <v>0</v>
      </c>
      <c r="D21" s="478">
        <f t="shared" ref="D21:D30" si="4">D4*$D$16</f>
        <v>24852.662095461208</v>
      </c>
      <c r="E21" s="478">
        <f t="shared" ref="E21:E30" si="5">E4*$E$16</f>
        <v>1586.8554414991318</v>
      </c>
      <c r="F21" s="478">
        <f t="shared" ref="F21:F28" si="6">F4*$F$16</f>
        <v>29705.752679019097</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65754.530965110142</v>
      </c>
    </row>
    <row r="22" spans="1:17">
      <c r="A22" s="477" t="s">
        <v>156</v>
      </c>
      <c r="B22" s="478">
        <f t="shared" ca="1" si="2"/>
        <v>6056.0319854971876</v>
      </c>
      <c r="C22" s="478">
        <f t="shared" ca="1" si="3"/>
        <v>0</v>
      </c>
      <c r="D22" s="478">
        <f t="shared" ca="1" si="4"/>
        <v>7579.3792574417721</v>
      </c>
      <c r="E22" s="478">
        <f t="shared" si="5"/>
        <v>187.63180378793911</v>
      </c>
      <c r="F22" s="478">
        <f t="shared" ca="1" si="6"/>
        <v>2173.1160809517728</v>
      </c>
      <c r="G22" s="478">
        <f t="shared" si="7"/>
        <v>0</v>
      </c>
      <c r="H22" s="478">
        <f t="shared" si="8"/>
        <v>0</v>
      </c>
      <c r="I22" s="478">
        <f t="shared" si="9"/>
        <v>0</v>
      </c>
      <c r="J22" s="478">
        <f t="shared" si="10"/>
        <v>5.6437066410574319E-2</v>
      </c>
      <c r="K22" s="478">
        <f t="shared" si="11"/>
        <v>0</v>
      </c>
      <c r="L22" s="478">
        <f t="shared" ca="1" si="12"/>
        <v>0</v>
      </c>
      <c r="M22" s="478">
        <f t="shared" si="13"/>
        <v>0</v>
      </c>
      <c r="N22" s="478">
        <f t="shared" ca="1" si="14"/>
        <v>0</v>
      </c>
      <c r="O22" s="478">
        <f t="shared" si="15"/>
        <v>0</v>
      </c>
      <c r="P22" s="479">
        <f t="shared" si="16"/>
        <v>0</v>
      </c>
      <c r="Q22" s="477">
        <f t="shared" ref="Q22:Q30" ca="1" si="17">SUM(B22:P22)</f>
        <v>15996.215564745084</v>
      </c>
    </row>
    <row r="23" spans="1:17">
      <c r="A23" s="477" t="s">
        <v>194</v>
      </c>
      <c r="B23" s="478">
        <f t="shared" ca="1" si="2"/>
        <v>282.93505852466274</v>
      </c>
      <c r="C23" s="478"/>
      <c r="D23" s="478"/>
      <c r="E23" s="478"/>
      <c r="F23" s="478"/>
      <c r="G23" s="478"/>
      <c r="H23" s="478"/>
      <c r="I23" s="478"/>
      <c r="J23" s="478"/>
      <c r="K23" s="478"/>
      <c r="L23" s="478"/>
      <c r="M23" s="478"/>
      <c r="N23" s="478"/>
      <c r="O23" s="478"/>
      <c r="P23" s="479"/>
      <c r="Q23" s="477">
        <f t="shared" ca="1" si="17"/>
        <v>282.93505852466274</v>
      </c>
    </row>
    <row r="24" spans="1:17">
      <c r="A24" s="477" t="s">
        <v>112</v>
      </c>
      <c r="B24" s="478">
        <f t="shared" ca="1" si="2"/>
        <v>54.61868047756473</v>
      </c>
      <c r="C24" s="478">
        <f t="shared" ca="1" si="3"/>
        <v>0</v>
      </c>
      <c r="D24" s="478">
        <f t="shared" si="4"/>
        <v>1488.6424302468401</v>
      </c>
      <c r="E24" s="478">
        <f t="shared" si="5"/>
        <v>2.6032316550637664</v>
      </c>
      <c r="F24" s="478">
        <f t="shared" si="6"/>
        <v>433.97742178326723</v>
      </c>
      <c r="G24" s="478">
        <f t="shared" si="7"/>
        <v>0</v>
      </c>
      <c r="H24" s="478">
        <f t="shared" si="8"/>
        <v>0</v>
      </c>
      <c r="I24" s="478">
        <f t="shared" si="9"/>
        <v>0</v>
      </c>
      <c r="J24" s="478">
        <f t="shared" si="10"/>
        <v>20.010111968054517</v>
      </c>
      <c r="K24" s="478">
        <f t="shared" si="11"/>
        <v>0</v>
      </c>
      <c r="L24" s="478">
        <f t="shared" si="12"/>
        <v>0</v>
      </c>
      <c r="M24" s="478">
        <f t="shared" si="13"/>
        <v>0</v>
      </c>
      <c r="N24" s="478">
        <f t="shared" si="14"/>
        <v>0</v>
      </c>
      <c r="O24" s="478">
        <f t="shared" si="15"/>
        <v>0</v>
      </c>
      <c r="P24" s="479">
        <f t="shared" si="16"/>
        <v>0</v>
      </c>
      <c r="Q24" s="477">
        <f t="shared" ca="1" si="17"/>
        <v>1999.8518761307907</v>
      </c>
    </row>
    <row r="25" spans="1:17">
      <c r="A25" s="477" t="s">
        <v>635</v>
      </c>
      <c r="B25" s="478">
        <f t="shared" ca="1" si="2"/>
        <v>4991.0703913309462</v>
      </c>
      <c r="C25" s="478">
        <f t="shared" ca="1" si="3"/>
        <v>0</v>
      </c>
      <c r="D25" s="478">
        <f t="shared" si="4"/>
        <v>7178.6272493082852</v>
      </c>
      <c r="E25" s="478">
        <f t="shared" si="5"/>
        <v>349.4502305362526</v>
      </c>
      <c r="F25" s="478">
        <f t="shared" si="6"/>
        <v>1538.6824026174218</v>
      </c>
      <c r="G25" s="478">
        <f t="shared" si="7"/>
        <v>0</v>
      </c>
      <c r="H25" s="478">
        <f t="shared" si="8"/>
        <v>0</v>
      </c>
      <c r="I25" s="478">
        <f t="shared" si="9"/>
        <v>0</v>
      </c>
      <c r="J25" s="478">
        <f t="shared" si="10"/>
        <v>1.2144438438339502</v>
      </c>
      <c r="K25" s="478">
        <f t="shared" si="11"/>
        <v>0</v>
      </c>
      <c r="L25" s="478">
        <f t="shared" si="12"/>
        <v>0</v>
      </c>
      <c r="M25" s="478">
        <f t="shared" si="13"/>
        <v>0</v>
      </c>
      <c r="N25" s="478">
        <f t="shared" si="14"/>
        <v>0</v>
      </c>
      <c r="O25" s="478">
        <f t="shared" si="15"/>
        <v>0</v>
      </c>
      <c r="P25" s="479">
        <f t="shared" si="16"/>
        <v>0</v>
      </c>
      <c r="Q25" s="477">
        <f t="shared" ca="1" si="17"/>
        <v>14059.04471763674</v>
      </c>
    </row>
    <row r="26" spans="1:17" s="483" customFormat="1">
      <c r="A26" s="481" t="s">
        <v>561</v>
      </c>
      <c r="B26" s="835">
        <f t="shared" ca="1" si="2"/>
        <v>15.137244933785752</v>
      </c>
      <c r="C26" s="482"/>
      <c r="D26" s="482">
        <f t="shared" si="4"/>
        <v>82.276152493996406</v>
      </c>
      <c r="E26" s="482">
        <f t="shared" si="5"/>
        <v>131.43567329612168</v>
      </c>
      <c r="F26" s="482"/>
      <c r="G26" s="482">
        <f t="shared" si="7"/>
        <v>54431.315450519956</v>
      </c>
      <c r="H26" s="482">
        <f t="shared" si="8"/>
        <v>11539.141770976352</v>
      </c>
      <c r="I26" s="482"/>
      <c r="J26" s="482"/>
      <c r="K26" s="482"/>
      <c r="L26" s="482"/>
      <c r="M26" s="482">
        <f t="shared" si="13"/>
        <v>0</v>
      </c>
      <c r="N26" s="482"/>
      <c r="O26" s="482"/>
      <c r="P26" s="493"/>
      <c r="Q26" s="481">
        <f t="shared" ca="1" si="17"/>
        <v>66199.306292220208</v>
      </c>
    </row>
    <row r="27" spans="1:17">
      <c r="A27" s="477" t="s">
        <v>551</v>
      </c>
      <c r="B27" s="478">
        <f t="shared" ca="1" si="2"/>
        <v>0</v>
      </c>
      <c r="C27" s="478"/>
      <c r="D27" s="482">
        <f t="shared" si="4"/>
        <v>0</v>
      </c>
      <c r="E27" s="478"/>
      <c r="F27" s="478"/>
      <c r="G27" s="478">
        <f t="shared" si="7"/>
        <v>868.81623360031858</v>
      </c>
      <c r="H27" s="478"/>
      <c r="I27" s="478"/>
      <c r="J27" s="478"/>
      <c r="K27" s="478"/>
      <c r="L27" s="478"/>
      <c r="M27" s="478">
        <f t="shared" si="13"/>
        <v>0</v>
      </c>
      <c r="N27" s="478"/>
      <c r="O27" s="478"/>
      <c r="P27" s="479"/>
      <c r="Q27" s="477">
        <f t="shared" ca="1" si="17"/>
        <v>868.81623360031858</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21009.054109894863</v>
      </c>
      <c r="C31" s="488">
        <f t="shared" ca="1" si="18"/>
        <v>0</v>
      </c>
      <c r="D31" s="488">
        <f t="shared" ca="1" si="18"/>
        <v>41181.587184952106</v>
      </c>
      <c r="E31" s="488">
        <f t="shared" si="18"/>
        <v>2257.9763807745094</v>
      </c>
      <c r="F31" s="488">
        <f t="shared" ca="1" si="18"/>
        <v>33851.528584371554</v>
      </c>
      <c r="G31" s="488">
        <f t="shared" si="18"/>
        <v>55300.131684120272</v>
      </c>
      <c r="H31" s="488">
        <f t="shared" si="18"/>
        <v>11539.141770976352</v>
      </c>
      <c r="I31" s="488">
        <f t="shared" si="18"/>
        <v>0</v>
      </c>
      <c r="J31" s="488">
        <f t="shared" si="18"/>
        <v>21.280992878299042</v>
      </c>
      <c r="K31" s="488">
        <f t="shared" si="18"/>
        <v>0</v>
      </c>
      <c r="L31" s="488">
        <f t="shared" ca="1" si="18"/>
        <v>0</v>
      </c>
      <c r="M31" s="488">
        <f t="shared" si="18"/>
        <v>0</v>
      </c>
      <c r="N31" s="488">
        <f t="shared" ca="1" si="18"/>
        <v>0</v>
      </c>
      <c r="O31" s="488">
        <f t="shared" si="18"/>
        <v>0</v>
      </c>
      <c r="P31" s="489">
        <f t="shared" si="18"/>
        <v>0</v>
      </c>
      <c r="Q31" s="489">
        <f t="shared" ca="1" si="18"/>
        <v>165160.70070796795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0.13999062813550184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0.13999062813550184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0.13999062813550184</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2019-01-01T21:21:22Z</dcterms:modified>
</cp:coreProperties>
</file>