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E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20" i="16"/>
  <c r="C22" s="1"/>
  <c r="D39" i="14" s="1"/>
  <c r="C18" i="15"/>
  <c r="C20" s="1"/>
  <c r="D36" i="14" s="1"/>
  <c r="C56" i="22"/>
  <c r="C58" s="1"/>
  <c r="D44" i="14" s="1"/>
  <c r="D46" s="1"/>
  <c r="C10" i="13"/>
  <c r="C16" i="48" s="1"/>
  <c r="C16" i="22"/>
  <c r="C10" i="17"/>
  <c r="C12" s="1"/>
  <c r="D48" i="14"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<sst xmlns="http://schemas.openxmlformats.org/spreadsheetml/2006/main" count="2108" uniqueCount="850">
  <si>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</si>
  <si>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</si>
  <si>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</si>
  <si>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</si>
  <si>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</si>
  <si>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</si>
  <si>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</si>
  <si>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</si>
  <si>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</si>
  <si>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</si>
  <si>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</si>
  <si>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</si>
  <si>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</si>
  <si>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</si>
  <si>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</si>
  <si>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</si>
  <si>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</si>
  <si>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</si>
  <si>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</si>
  <si>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</si>
  <si>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</si>
  <si>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</si>
  <si>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</si>
  <si>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</si>
  <si>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</si>
  <si>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</si>
  <si>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</si>
  <si>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</si>
  <si>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</si>
  <si>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</si>
  <si>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</si>
  <si>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</si>
  <si>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</si>
  <si>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</si>
  <si>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</si>
  <si>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</si>
  <si>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</si>
  <si>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</si>
  <si>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</si>
  <si>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</si>
  <si>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</si>
  <si>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</si>
  <si>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</si>
  <si>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</si>
  <si>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</si>
  <si>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</si>
  <si>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</si>
  <si>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</si>
  <si>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</si>
  <si>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</si>
  <si>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</si>
  <si>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</si>
  <si>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</si>
  <si>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</si>
  <si>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</si>
  <si>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</si>
  <si>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</si>
  <si>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</si>
  <si>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</si>
  <si>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</si>
  <si>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</si>
  <si>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</si>
  <si>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</si>
  <si>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</si>
  <si>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</si>
  <si>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</si>
  <si>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</si>
  <si>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</si>
  <si>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</si>
  <si>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</si>
  <si>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</si>
  <si>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</si>
  <si>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</si>
  <si>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</si>
  <si>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</si>
  <si>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</si>
  <si>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</si>
  <si>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</si>
  <si>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</si>
  <si>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</si>
  <si>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</si>
  <si>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</si>
  <si>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</si>
  <si>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</si>
  <si>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</si>
  <si>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</si>
  <si>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</si>
  <si>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</si>
  <si>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</si>
  <si>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</si>
  <si>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</si>
  <si>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</si>
  <si>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</si>
  <si>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</si>
  <si>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</si>
  <si>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</si>
  <si>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</si>
  <si>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</si>
  <si>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</si>
  <si>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</si>
  <si>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</si>
  <si>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</si>
  <si>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</si>
  <si>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</si>
  <si>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</si>
  <si>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</si>
  <si>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</si>
  <si>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</si>
  <si>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</si>
  <si>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</si>
  <si>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</si>
  <si>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</si>
  <si>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</si>
  <si>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</si>
  <si>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</si>
  <si>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</si>
  <si>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</si>
  <si>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</si>
  <si>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</si>
  <si>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</si>
  <si>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</si>
  <si>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</si>
  <si>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</si>
  <si>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</si>
  <si>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</si>
  <si>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</si>
  <si>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</si>
  <si>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</si>
  <si>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</si>
  <si>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</si>
  <si>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</si>
  <si>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</si>
  <si>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</si>
  <si>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</si>
  <si>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</si>
  <si>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</si>
  <si>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</si>
  <si>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</si>
  <si>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</si>
  <si>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</si>
  <si>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</si>
  <si>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</si>
  <si>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</si>
  <si>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</si>
  <si>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</si>
  <si>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</si>
  <si>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</si>
  <si>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</si>
  <si>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</si>
  <si>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</si>
  <si>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</si>
  <si>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</si>
  <si>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</si>
  <si>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</si>
  <si>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</si>
  <si>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</si>
  <si>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</si>
  <si>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</si>
  <si>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</si>
  <si>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</si>
  <si>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</si>
  <si>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</si>
  <si>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</si>
  <si>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</si>
  <si>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</si>
  <si>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</si>
  <si>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</si>
  <si>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</si>
  <si>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</si>
  <si>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</si>
  <si>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</si>
  <si>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</si>
  <si>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</si>
  <si>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</si>
  <si>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</si>
  <si>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</si>
  <si>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</si>
  <si>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</si>
  <si>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</si>
  <si>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</si>
  <si>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</si>
  <si>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</si>
  <si>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</si>
  <si>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</si>
  <si>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</si>
  <si>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</si>
  <si>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</si>
  <si>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</si>
  <si>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</si>
  <si>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</si>
  <si>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</si>
  <si>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</si>
  <si>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</si>
  <si>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</si>
  <si>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</si>
  <si>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</si>
  <si>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</si>
  <si>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</si>
  <si>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</si>
  <si>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</si>
  <si>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</si>
  <si>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</si>
  <si>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</si>
  <si>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</si>
  <si>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</si>
  <si>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</si>
  <si>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</si>
  <si>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</si>
  <si>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</si>
  <si>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</si>
  <si>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</si>
  <si>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</si>
  <si>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</si>
  <si>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</si>
  <si>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</si>
  <si>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</si>
  <si>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</si>
  <si>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</si>
  <si>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</si>
  <si>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</si>
  <si>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</si>
  <si>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</si>
  <si>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</si>
  <si>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</si>
  <si>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</si>
  <si>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</si>
  <si>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</si>
  <si>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</si>
  <si>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</si>
  <si>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</si>
  <si>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</si>
  <si>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</si>
  <si>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</si>
  <si>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</si>
  <si>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</si>
  <si>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</si>
  <si>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</si>
  <si>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</si>
  <si>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</si>
  <si>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</si>
  <si>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</si>
  <si>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</si>
  <si>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</si>
  <si>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</si>
  <si>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</si>
  <si>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</si>
  <si>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</si>
  <si>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</si>
  <si>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</si>
  <si>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</si>
  <si>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</si>
  <si>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</si>
  <si>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</si>
  <si>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</si>
  <si>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</si>
  <si>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</si>
  <si>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</si>
  <si>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</si>
  <si>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</si>
  <si>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</si>
  <si>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</si>
  <si>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</si>
  <si>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</si>
  <si>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</si>
  <si>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</si>
  <si>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</si>
  <si>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</si>
  <si>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</si>
  <si>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</si>
  <si>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</si>
  <si>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</si>
  <si>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</si>
  <si>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</si>
  <si>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</si>
  <si>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</si>
  <si>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</si>
  <si>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</si>
  <si>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</si>
  <si>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</si>
  <si>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</si>
  <si>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</si>
  <si>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</si>
  <si>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</si>
  <si>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</si>
  <si>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</si>
  <si>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</si>
  <si>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</si>
  <si>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</si>
  <si>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</si>
  <si>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</si>
  <si>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</si>
  <si>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</si>
  <si>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</si>
  <si>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</si>
  <si>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</si>
  <si>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</si>
  <si>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</si>
  <si>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</si>
  <si>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</si>
  <si>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</si>
  <si>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</si>
  <si>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</si>
  <si>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</si>
  <si>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</si>
  <si>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</si>
  <si>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</si>
  <si>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</si>
  <si>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</si>
  <si>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</si>
  <si>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</si>
  <si>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</si>
  <si>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</si>
  <si>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</si>
  <si>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</si>
  <si>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</si>
  <si>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</si>
  <si>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</si>
  <si>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</si>
  <si>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</si>
  <si>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</si>
  <si>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</si>
  <si>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</si>
  <si>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</si>
  <si>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</si>
  <si>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</si>
  <si>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</si>
  <si>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</si>
  <si>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</si>
  <si>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</si>
  <si>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</si>
  <si>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</si>
  <si>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</si>
  <si>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</si>
  <si>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</si>
  <si>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</si>
  <si>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</si>
  <si>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</si>
  <si>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</si>
  <si>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</si>
  <si>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</si>
  <si>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</si>
  <si>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</si>
  <si>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</si>
  <si>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</si>
  <si>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</si>
  <si>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</si>
  <si>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</si>
  <si>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</si>
  <si>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</si>
  <si>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</si>
  <si>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</si>
  <si>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</si>
  <si>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</si>
  <si>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</si>
  <si>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</si>
  <si>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</si>
  <si>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</si>
  <si>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</si>
  <si>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</si>
  <si>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</si>
  <si>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</si>
  <si>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</si>
  <si>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</si>
  <si>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</si>
  <si>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</si>
  <si>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</si>
  <si>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</si>
  <si>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</si>
  <si>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</si>
  <si>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</si>
  <si>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</si>
  <si>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</si>
  <si>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</si>
  <si>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</si>
  <si>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</si>
  <si>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</si>
  <si>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</si>
  <si>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</si>
  <si>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</si>
  <si>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</si>
  <si>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</si>
  <si>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</si>
  <si>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</si>
  <si>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</si>
  <si>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</si>
  <si>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</si>
  <si>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</si>
  <si>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</si>
  <si>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</si>
  <si>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</si>
  <si>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</si>
  <si>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</si>
  <si>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</si>
  <si>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</si>
  <si>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</si>
  <si>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</si>
  <si>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</si>
  <si>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</si>
  <si>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</si>
  <si>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</si>
  <si>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</si>
  <si>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</si>
  <si>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</si>
  <si>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</si>
  <si>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</si>
  <si>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</si>
  <si>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</si>
  <si>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</si>
  <si>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</si>
  <si>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</si>
  <si>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</si>
  <si>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</si>
  <si>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</si>
  <si>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</si>
  <si>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</si>
  <si>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</si>
  <si>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</si>
  <si>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</si>
  <si>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</si>
  <si>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</si>
  <si>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</si>
  <si>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</si>
  <si>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</si>
  <si>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</si>
  <si>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</si>
  <si>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</si>
  <si>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</si>
  <si>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</si>
  <si>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</si>
  <si>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</si>
  <si>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</si>
  <si>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</si>
  <si>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</si>
  <si>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</si>
  <si>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</si>
  <si>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</si>
  <si>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</si>
  <si>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</si>
  <si>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</si>
  <si>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</si>
  <si>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</si>
  <si>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</si>
  <si>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</si>
  <si>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</si>
  <si>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</si>
  <si>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</si>
  <si>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</si>
  <si>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</si>
  <si>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</si>
  <si>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</si>
  <si>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</si>
  <si>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</si>
  <si>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</si>
  <si>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</si>
  <si>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</si>
  <si>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</si>
  <si>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</si>
  <si>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</si>
  <si>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</si>
  <si>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</si>
  <si>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</si>
  <si>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</si>
  <si>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</si>
  <si>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</si>
  <si>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</si>
  <si>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</si>
  <si>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</si>
  <si>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</si>
  <si>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</si>
  <si>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</si>
  <si>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</si>
  <si>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</si>
  <si>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</si>
  <si>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</si>
  <si>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</si>
  <si>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</si>
  <si>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</si>
  <si>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</si>
  <si>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</si>
  <si>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</si>
  <si>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</si>
  <si>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</si>
  <si>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</si>
  <si>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</si>
  <si>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</si>
  <si>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</si>
  <si>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</si>
  <si>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</si>
  <si>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</si>
  <si>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</si>
  <si>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</si>
  <si>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</si>
  <si>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</si>
  <si>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</si>
  <si>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</si>
  <si>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</si>
  <si>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</si>
  <si>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</si>
  <si>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</si>
  <si>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</si>
  <si>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</si>
  <si>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</si>
  <si>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</si>
  <si>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</si>
  <si>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</si>
  <si>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</si>
  <si>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</si>
  <si>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</si>
  <si>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</si>
  <si>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</si>
  <si>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</si>
  <si>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</si>
  <si>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</si>
  <si>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</si>
  <si>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</si>
  <si>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</si>
  <si>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</si>
  <si>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</si>
  <si>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</si>
  <si>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</si>
  <si>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</si>
  <si>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</si>
  <si>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</si>
  <si>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</si>
  <si>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</si>
  <si>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</si>
  <si>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</si>
  <si>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</si>
  <si>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</si>
  <si>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</si>
  <si>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</si>
  <si>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</si>
  <si>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</si>
  <si>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</si>
  <si>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</si>
  <si>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</si>
  <si>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</si>
  <si>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</si>
  <si>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</si>
  <si>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</si>
  <si>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</si>
  <si>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</si>
  <si>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</si>
  <si>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</si>
  <si>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</si>
  <si>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</si>
  <si>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</si>
  <si>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</si>
  <si>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</si>
  <si>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</si>
  <si>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</si>
  <si>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</si>
  <si>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</si>
  <si>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</si>
  <si>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</si>
  <si>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</si>
  <si>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</si>
  <si>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</si>
  <si>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</si>
  <si>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</si>
  <si>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</si>
  <si>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</si>
  <si>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</si>
  <si>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</si>
  <si>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</si>
  <si>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</si>
  <si>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</si>
  <si>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</si>
  <si>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</si>
  <si>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</si>
  <si>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</si>
  <si>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</si>
  <si>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</si>
  <si>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</si>
  <si>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</si>
  <si>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</si>
  <si>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</si>
  <si>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</si>
  <si>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</si>
  <si>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</si>
  <si>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</si>
  <si>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</si>
  <si>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</si>
  <si>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</si>
  <si>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</si>
  <si>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</si>
  <si>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</si>
  <si>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</si>
  <si>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</si>
  <si>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</si>
  <si>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</si>
  <si>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</si>
  <si>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</si>
  <si>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</si>
  <si>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</si>
  <si>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</si>
  <si>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</si>
  <si>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</si>
  <si>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</si>
  <si>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</si>
  <si>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</si>
  <si>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</si>
  <si>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</si>
  <si>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</si>
  <si>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</si>
  <si>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</si>
  <si>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</si>
  <si>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</si>
  <si>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</si>
  <si>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</si>
  <si>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</si>
  <si>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</si>
  <si>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</si>
  <si>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</si>
  <si>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</si>
  <si>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</si>
  <si>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</si>
  <si>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</si>
  <si>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</si>
  <si>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</si>
  <si>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</si>
  <si>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</si>
  <si>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</si>
  <si>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</si>
  <si>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</si>
  <si>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</si>
  <si>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</si>
  <si>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</si>
  <si>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</si>
  <si>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</si>
  <si>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</si>
  <si>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</si>
  <si>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</si>
  <si>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</si>
  <si>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</si>
  <si>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</si>
  <si>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</si>
  <si>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</si>
  <si>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</si>
  <si>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</si>
  <si>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</si>
  <si>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</si>
  <si>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</si>
  <si>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</si>
  <si>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</si>
  <si>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</si>
  <si>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</si>
  <si>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</si>
  <si>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</si>
  <si>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</si>
  <si>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</si>
  <si>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</si>
  <si>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</si>
  <si>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</si>
  <si>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</si>
  <si>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</si>
  <si>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</si>
  <si>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</si>
  <si>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</si>
  <si>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</si>
  <si>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</si>
  <si>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</si>
  <si>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</si>
  <si>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</si>
  <si>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</si>
  <si>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</si>
  <si>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</si>
  <si>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</si>
  <si>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</si>
  <si>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</si>
  <si>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</si>
  <si>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</si>
  <si>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</si>
  <si>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</si>
  <si>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</si>
  <si>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</si>
  <si>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</si>
  <si>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</si>
  <si>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</si>
  <si>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</si>
  <si>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</si>
  <si>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</si>
  <si>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</si>
  <si>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</si>
  <si>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</si>
  <si>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</si>
  <si>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</si>
  <si>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</si>
  <si>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</si>
  <si>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</si>
  <si>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</si>
  <si>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</si>
  <si>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</si>
  <si>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</si>
  <si>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</si>
  <si>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</si>
  <si>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</si>
  <si>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</si>
  <si>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</si>
  <si>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</si>
  <si>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</si>
  <si>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</si>
  <si>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</si>
  <si>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</si>
  <si>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</si>
  <si>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</si>
  <si>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</si>
  <si>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</si>
  <si>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</si>
  <si>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</si>
  <si>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</si>
  <si>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</si>
  <si>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</si>
  <si>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</si>
  <si>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</si>
  <si>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</si>
  <si>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</si>
  <si>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</si>
  <si>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</si>
  <si>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</si>
  <si>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</si>
  <si>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</si>
  <si>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</si>
  <si>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</si>
  <si>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</si>
  <si>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</si>
  <si>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</si>
  <si>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</si>
  <si>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</si>
  <si>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</si>
  <si>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</si>
  <si>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</si>
  <si>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</si>
  <si>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</si>
  <si>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</si>
  <si>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</si>
  <si>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</si>
  <si>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</si>
  <si>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</si>
  <si>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</si>
  <si>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</si>
  <si>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</si>
  <si>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</si>
  <si>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</si>
  <si>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</si>
  <si>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</si>
  <si>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</si>
  <si>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</si>
  <si>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</si>
  <si>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</si>
  <si>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</si>
  <si>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</si>
  <si>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</si>
  <si>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</si>
  <si>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</si>
  <si>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</si>
  <si>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</si>
  <si>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</si>
  <si>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</si>
  <si>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</si>
  <si>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</si>
  <si>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</si>
  <si>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</si>
  <si>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</si>
  <si>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</si>
  <si>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</si>
  <si>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</si>
  <si>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</si>
  <si>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</si>
  <si>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</si>
  <si>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</si>
  <si>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</si>
  <si>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</si>
  <si>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</si>
  <si>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</si>
  <si>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</si>
  <si>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</si>
  <si>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</si>
  <si>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</si>
  <si>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</si>
  <si>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</si>
  <si>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</si>
  <si>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</si>
  <si>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</si>
  <si>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</si>
  <si>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</si>
  <si>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</si>
  <si>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</si>
  <si>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</si>
  <si>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</si>
  <si>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</si>
  <si>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</si>
  <si>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</si>
  <si>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</si>
  <si>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</si>
  <si>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</si>
  <si>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</si>
  <si>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</si>
  <si>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</si>
  <si>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</si>
  <si>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</si>
  <si>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</si>
  <si>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</si>
  <si>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</si>
  <si>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</si>
  <si>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</si>
  <si>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</si>
  <si>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</si>
  <si>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</si>
  <si>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</si>
  <si>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</si>
  <si>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</si>
  <si>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</si>
  <si>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</si>
  <si>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</si>
  <si>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</si>
  <si>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</si>
  <si>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</si>
  <si>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</si>
  <si>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</si>
  <si>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</si>
  <si>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</si>
  <si>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</si>
  <si>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</si>
  <si>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</si>
  <si>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</si>
  <si>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</si>
  <si>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</si>
  <si>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</si>
  <si>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</si>
  <si>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</si>
  <si>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</si>
  <si>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</si>
  <si>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</si>
  <si>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</si>
  <si>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</si>
  <si>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46025</t>
  </si>
  <si>
    <t>TEMSE</t>
  </si>
  <si>
    <t>Eandis (januari 2018); Infrax (juni 2018)</t>
  </si>
  <si>
    <t>MOW (september 2017)</t>
  </si>
  <si>
    <t>referentietaak LNE (2017); Jaarverslag De Lijn (2016)</t>
  </si>
  <si>
    <t>VEA (april 2018)</t>
  </si>
  <si>
    <t>VEA (januari 2017)</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</si>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</sst>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203903.89777666499</c:v>
                </c:pt>
                <c:pt idx="1">
                  <c:v>95586.238524924236</c:v>
                </c:pt>
                <c:pt idx="2">
                  <c:v>1651.29</c:v>
                </c:pt>
                <c:pt idx="3">
                  <c:v>14101.909657869495</c:v>
                </c:pt>
                <c:pt idx="4">
                  <c:v>93553.412128091339</c:v>
                </c:pt>
                <c:pt idx="5">
                  <c:v>352648.85021579103</c:v>
                </c:pt>
                <c:pt idx="6">
                  <c:v>2405.3964110208349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203903.89777666499</c:v>
                </c:pt>
                <c:pt idx="1">
                  <c:v>95586.238524924236</c:v>
                </c:pt>
                <c:pt idx="2">
                  <c:v>1651.29</c:v>
                </c:pt>
                <c:pt idx="3">
                  <c:v>14101.909657869495</c:v>
                </c:pt>
                <c:pt idx="4">
                  <c:v>93553.412128091339</c:v>
                </c:pt>
                <c:pt idx="5">
                  <c:v>352648.85021579103</c:v>
                </c:pt>
                <c:pt idx="6">
                  <c:v>2405.3964110208349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36248.876288278349</c:v>
                </c:pt>
                <c:pt idx="1">
                  <c:v>18733.801716165155</c:v>
                </c:pt>
                <c:pt idx="2">
                  <c:v>319.31681944202751</c:v>
                </c:pt>
                <c:pt idx="3">
                  <c:v>3261.5532279942381</c:v>
                </c:pt>
                <c:pt idx="4">
                  <c:v>17124.455376613525</c:v>
                </c:pt>
                <c:pt idx="5">
                  <c:v>88351.184134994677</c:v>
                </c:pt>
                <c:pt idx="6">
                  <c:v>607.72475831749557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36248.876288278349</c:v>
                </c:pt>
                <c:pt idx="1">
                  <c:v>18733.801716165155</c:v>
                </c:pt>
                <c:pt idx="2">
                  <c:v>319.31681944202751</c:v>
                </c:pt>
                <c:pt idx="3">
                  <c:v>3261.5532279942381</c:v>
                </c:pt>
                <c:pt idx="4">
                  <c:v>17124.455376613525</c:v>
                </c:pt>
                <c:pt idx="5">
                  <c:v>88351.184134994677</c:v>
                </c:pt>
                <c:pt idx="6">
                  <c:v>607.72475831749557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12082</v>
      </c>
      <c r="C9" s="342">
        <v>12726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1839.34</v>
      </c>
    </row>
    <row r="15" spans="1:6">
      <c r="A15" s="348" t="s">
        <v>184</v>
      </c>
      <c r="B15" s="334">
        <v>500</v>
      </c>
    </row>
    <row r="16" spans="1:6">
      <c r="A16" s="348" t="s">
        <v>6</v>
      </c>
      <c r="B16" s="334">
        <v>1234</v>
      </c>
    </row>
    <row r="17" spans="1:6">
      <c r="A17" s="348" t="s">
        <v>7</v>
      </c>
      <c r="B17" s="334">
        <v>683</v>
      </c>
    </row>
    <row r="18" spans="1:6">
      <c r="A18" s="348" t="s">
        <v>8</v>
      </c>
      <c r="B18" s="334">
        <v>1134</v>
      </c>
    </row>
    <row r="19" spans="1:6">
      <c r="A19" s="348" t="s">
        <v>9</v>
      </c>
      <c r="B19" s="334">
        <v>833</v>
      </c>
    </row>
    <row r="20" spans="1:6">
      <c r="A20" s="348" t="s">
        <v>10</v>
      </c>
      <c r="B20" s="334">
        <v>588</v>
      </c>
    </row>
    <row r="21" spans="1:6">
      <c r="A21" s="348" t="s">
        <v>11</v>
      </c>
      <c r="B21" s="334">
        <v>4294</v>
      </c>
    </row>
    <row r="22" spans="1:6">
      <c r="A22" s="348" t="s">
        <v>12</v>
      </c>
      <c r="B22" s="334">
        <v>8262</v>
      </c>
    </row>
    <row r="23" spans="1:6">
      <c r="A23" s="348" t="s">
        <v>13</v>
      </c>
      <c r="B23" s="334">
        <v>230</v>
      </c>
    </row>
    <row r="24" spans="1:6">
      <c r="A24" s="348" t="s">
        <v>14</v>
      </c>
      <c r="B24" s="334">
        <v>9</v>
      </c>
    </row>
    <row r="25" spans="1:6">
      <c r="A25" s="348" t="s">
        <v>15</v>
      </c>
      <c r="B25" s="334">
        <v>1093</v>
      </c>
    </row>
    <row r="26" spans="1:6">
      <c r="A26" s="348" t="s">
        <v>16</v>
      </c>
      <c r="B26" s="334">
        <v>241</v>
      </c>
    </row>
    <row r="27" spans="1:6">
      <c r="A27" s="348" t="s">
        <v>17</v>
      </c>
      <c r="B27" s="334">
        <v>0</v>
      </c>
    </row>
    <row r="28" spans="1:6" s="356" customFormat="1">
      <c r="A28" s="355" t="s">
        <v>18</v>
      </c>
      <c r="B28" s="355">
        <v>63421</v>
      </c>
    </row>
    <row r="29" spans="1:6">
      <c r="A29" s="355" t="s">
        <v>744</v>
      </c>
      <c r="B29" s="355">
        <v>153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14747.5814419376</v>
      </c>
    </row>
    <row r="37" spans="1:6">
      <c r="A37" s="348" t="s">
        <v>25</v>
      </c>
      <c r="B37" s="348" t="s">
        <v>28</v>
      </c>
      <c r="C37" s="334">
        <v>0</v>
      </c>
      <c r="D37" s="334">
        <v>0</v>
      </c>
      <c r="E37" s="334">
        <v>0</v>
      </c>
      <c r="F37" s="334">
        <v>0</v>
      </c>
    </row>
    <row r="38" spans="1:6">
      <c r="A38" s="348" t="s">
        <v>25</v>
      </c>
      <c r="B38" s="348" t="s">
        <v>29</v>
      </c>
      <c r="C38" s="334">
        <v>2</v>
      </c>
      <c r="D38" s="334">
        <v>182850.88185343301</v>
      </c>
      <c r="E38" s="334">
        <v>2</v>
      </c>
      <c r="F38" s="334">
        <v>9426.4932967479999</v>
      </c>
    </row>
    <row r="39" spans="1:6">
      <c r="A39" s="348" t="s">
        <v>30</v>
      </c>
      <c r="B39" s="348" t="s">
        <v>31</v>
      </c>
      <c r="C39" s="334">
        <v>9208</v>
      </c>
      <c r="D39" s="334">
        <v>136327581.423549</v>
      </c>
      <c r="E39" s="334">
        <v>11838</v>
      </c>
      <c r="F39" s="334">
        <v>43247521.357790701</v>
      </c>
    </row>
    <row r="40" spans="1:6">
      <c r="A40" s="348" t="s">
        <v>30</v>
      </c>
      <c r="B40" s="348" t="s">
        <v>29</v>
      </c>
      <c r="C40" s="334">
        <v>0</v>
      </c>
      <c r="D40" s="334">
        <v>0</v>
      </c>
      <c r="E40" s="334">
        <v>1</v>
      </c>
      <c r="F40" s="334">
        <v>20635.580146632699</v>
      </c>
    </row>
    <row r="41" spans="1:6">
      <c r="A41" s="348" t="s">
        <v>32</v>
      </c>
      <c r="B41" s="348" t="s">
        <v>33</v>
      </c>
      <c r="C41" s="334">
        <v>151</v>
      </c>
      <c r="D41" s="334">
        <v>7242152.8430110002</v>
      </c>
      <c r="E41" s="334">
        <v>269</v>
      </c>
      <c r="F41" s="334">
        <v>4630204.02458914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949307.99264453701</v>
      </c>
      <c r="E44" s="334">
        <v>28</v>
      </c>
      <c r="F44" s="334">
        <v>1798114.5614601399</v>
      </c>
    </row>
    <row r="45" spans="1:6">
      <c r="A45" s="348" t="s">
        <v>32</v>
      </c>
      <c r="B45" s="348" t="s">
        <v>37</v>
      </c>
      <c r="C45" s="334">
        <v>0</v>
      </c>
      <c r="D45" s="334">
        <v>0</v>
      </c>
      <c r="E45" s="334">
        <v>4</v>
      </c>
      <c r="F45" s="334">
        <v>192049.04716073599</v>
      </c>
    </row>
    <row r="46" spans="1:6">
      <c r="A46" s="348" t="s">
        <v>32</v>
      </c>
      <c r="B46" s="348" t="s">
        <v>38</v>
      </c>
      <c r="C46" s="334">
        <v>0</v>
      </c>
      <c r="D46" s="334">
        <v>0</v>
      </c>
      <c r="E46" s="334">
        <v>0</v>
      </c>
      <c r="F46" s="334">
        <v>0</v>
      </c>
    </row>
    <row r="47" spans="1:6">
      <c r="A47" s="348" t="s">
        <v>32</v>
      </c>
      <c r="B47" s="348" t="s">
        <v>39</v>
      </c>
      <c r="C47" s="334">
        <v>4</v>
      </c>
      <c r="D47" s="334">
        <v>80669.518831141206</v>
      </c>
      <c r="E47" s="334">
        <v>8</v>
      </c>
      <c r="F47" s="334">
        <v>650926.24469539896</v>
      </c>
    </row>
    <row r="48" spans="1:6">
      <c r="A48" s="348" t="s">
        <v>32</v>
      </c>
      <c r="B48" s="348" t="s">
        <v>29</v>
      </c>
      <c r="C48" s="334">
        <v>54</v>
      </c>
      <c r="D48" s="334">
        <v>19356589.2301828</v>
      </c>
      <c r="E48" s="334">
        <v>54</v>
      </c>
      <c r="F48" s="334">
        <v>31965201.285417899</v>
      </c>
    </row>
    <row r="49" spans="1:6">
      <c r="A49" s="348" t="s">
        <v>32</v>
      </c>
      <c r="B49" s="348" t="s">
        <v>40</v>
      </c>
      <c r="C49" s="334">
        <v>3</v>
      </c>
      <c r="D49" s="334">
        <v>119860.417624366</v>
      </c>
      <c r="E49" s="334">
        <v>7</v>
      </c>
      <c r="F49" s="334">
        <v>942543.44567968103</v>
      </c>
    </row>
    <row r="50" spans="1:6">
      <c r="A50" s="348" t="s">
        <v>32</v>
      </c>
      <c r="B50" s="348" t="s">
        <v>41</v>
      </c>
      <c r="C50" s="334">
        <v>23</v>
      </c>
      <c r="D50" s="334">
        <v>2022048.15109276</v>
      </c>
      <c r="E50" s="334">
        <v>27</v>
      </c>
      <c r="F50" s="334">
        <v>1896821.5093791401</v>
      </c>
    </row>
    <row r="51" spans="1:6">
      <c r="A51" s="348" t="s">
        <v>42</v>
      </c>
      <c r="B51" s="348" t="s">
        <v>43</v>
      </c>
      <c r="C51" s="334">
        <v>3</v>
      </c>
      <c r="D51" s="334">
        <v>59589.306158608997</v>
      </c>
      <c r="E51" s="334">
        <v>92</v>
      </c>
      <c r="F51" s="334">
        <v>1434035.0706078501</v>
      </c>
    </row>
    <row r="52" spans="1:6">
      <c r="A52" s="348" t="s">
        <v>42</v>
      </c>
      <c r="B52" s="348" t="s">
        <v>29</v>
      </c>
      <c r="C52" s="334">
        <v>13</v>
      </c>
      <c r="D52" s="334">
        <v>311777.42778619099</v>
      </c>
      <c r="E52" s="334">
        <v>9</v>
      </c>
      <c r="F52" s="334">
        <v>59605.543866253</v>
      </c>
    </row>
    <row r="53" spans="1:6">
      <c r="A53" s="348" t="s">
        <v>44</v>
      </c>
      <c r="B53" s="348" t="s">
        <v>45</v>
      </c>
      <c r="C53" s="334">
        <v>213</v>
      </c>
      <c r="D53" s="334">
        <v>6350569.7452561203</v>
      </c>
      <c r="E53" s="334">
        <v>439</v>
      </c>
      <c r="F53" s="334">
        <v>1599626.2570509601</v>
      </c>
    </row>
    <row r="54" spans="1:6">
      <c r="A54" s="348" t="s">
        <v>46</v>
      </c>
      <c r="B54" s="348" t="s">
        <v>47</v>
      </c>
      <c r="C54" s="334">
        <v>0</v>
      </c>
      <c r="D54" s="334">
        <v>0</v>
      </c>
      <c r="E54" s="334">
        <v>1</v>
      </c>
      <c r="F54" s="334">
        <v>1651290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105</v>
      </c>
      <c r="D57" s="334">
        <v>4759226.6931093698</v>
      </c>
      <c r="E57" s="334">
        <v>186</v>
      </c>
      <c r="F57" s="334">
        <v>3346000.20472416</v>
      </c>
    </row>
    <row r="58" spans="1:6">
      <c r="A58" s="348" t="s">
        <v>49</v>
      </c>
      <c r="B58" s="348" t="s">
        <v>51</v>
      </c>
      <c r="C58" s="334">
        <v>48</v>
      </c>
      <c r="D58" s="334">
        <v>2771547.4518806399</v>
      </c>
      <c r="E58" s="334">
        <v>61</v>
      </c>
      <c r="F58" s="334">
        <v>1248526.33438006</v>
      </c>
    </row>
    <row r="59" spans="1:6">
      <c r="A59" s="348" t="s">
        <v>49</v>
      </c>
      <c r="B59" s="348" t="s">
        <v>52</v>
      </c>
      <c r="C59" s="334">
        <v>228</v>
      </c>
      <c r="D59" s="334">
        <v>14615307.7815951</v>
      </c>
      <c r="E59" s="334">
        <v>400</v>
      </c>
      <c r="F59" s="334">
        <v>14260371.8896662</v>
      </c>
    </row>
    <row r="60" spans="1:6">
      <c r="A60" s="348" t="s">
        <v>49</v>
      </c>
      <c r="B60" s="348" t="s">
        <v>53</v>
      </c>
      <c r="C60" s="334">
        <v>103</v>
      </c>
      <c r="D60" s="334">
        <v>5239432.9540611897</v>
      </c>
      <c r="E60" s="334">
        <v>105</v>
      </c>
      <c r="F60" s="334">
        <v>2337609.18825706</v>
      </c>
    </row>
    <row r="61" spans="1:6">
      <c r="A61" s="348" t="s">
        <v>49</v>
      </c>
      <c r="B61" s="348" t="s">
        <v>54</v>
      </c>
      <c r="C61" s="334">
        <v>263</v>
      </c>
      <c r="D61" s="334">
        <v>12140587.988152601</v>
      </c>
      <c r="E61" s="334">
        <v>565</v>
      </c>
      <c r="F61" s="334">
        <v>11972461.268071299</v>
      </c>
    </row>
    <row r="62" spans="1:6">
      <c r="A62" s="348" t="s">
        <v>49</v>
      </c>
      <c r="B62" s="348" t="s">
        <v>55</v>
      </c>
      <c r="C62" s="334">
        <v>16</v>
      </c>
      <c r="D62" s="334">
        <v>1742806.2796452499</v>
      </c>
      <c r="E62" s="334">
        <v>18</v>
      </c>
      <c r="F62" s="334">
        <v>512631.95848403999</v>
      </c>
    </row>
    <row r="63" spans="1:6">
      <c r="A63" s="348" t="s">
        <v>49</v>
      </c>
      <c r="B63" s="348" t="s">
        <v>29</v>
      </c>
      <c r="C63" s="334">
        <v>96</v>
      </c>
      <c r="D63" s="334">
        <v>8768872.1188226007</v>
      </c>
      <c r="E63" s="334">
        <v>87</v>
      </c>
      <c r="F63" s="334">
        <v>5679818.4146544598</v>
      </c>
    </row>
    <row r="64" spans="1:6">
      <c r="A64" s="348" t="s">
        <v>56</v>
      </c>
      <c r="B64" s="348" t="s">
        <v>57</v>
      </c>
      <c r="C64" s="334">
        <v>0</v>
      </c>
      <c r="D64" s="334">
        <v>0</v>
      </c>
      <c r="E64" s="334">
        <v>0</v>
      </c>
      <c r="F64" s="334">
        <v>0</v>
      </c>
    </row>
    <row r="65" spans="1:6">
      <c r="A65" s="348" t="s">
        <v>56</v>
      </c>
      <c r="B65" s="348" t="s">
        <v>29</v>
      </c>
      <c r="C65" s="334">
        <v>4</v>
      </c>
      <c r="D65" s="334">
        <v>168700.192664659</v>
      </c>
      <c r="E65" s="334">
        <v>2</v>
      </c>
      <c r="F65" s="334">
        <v>36393.1450028299</v>
      </c>
    </row>
    <row r="66" spans="1:6">
      <c r="A66" s="348" t="s">
        <v>56</v>
      </c>
      <c r="B66" s="348" t="s">
        <v>58</v>
      </c>
      <c r="C66" s="334">
        <v>0</v>
      </c>
      <c r="D66" s="334">
        <v>0</v>
      </c>
      <c r="E66" s="334">
        <v>17</v>
      </c>
      <c r="F66" s="334">
        <v>719016.30070247804</v>
      </c>
    </row>
    <row r="67" spans="1:6">
      <c r="A67" s="355" t="s">
        <v>56</v>
      </c>
      <c r="B67" s="355" t="s">
        <v>59</v>
      </c>
      <c r="C67" s="334">
        <v>0</v>
      </c>
      <c r="D67" s="334">
        <v>0</v>
      </c>
      <c r="E67" s="334">
        <v>0</v>
      </c>
      <c r="F67" s="334">
        <v>0</v>
      </c>
    </row>
    <row r="68" spans="1:6">
      <c r="A68" s="341" t="s">
        <v>56</v>
      </c>
      <c r="B68" s="341" t="s">
        <v>60</v>
      </c>
      <c r="C68" s="334">
        <v>10</v>
      </c>
      <c r="D68" s="334">
        <v>419364.52592230402</v>
      </c>
      <c r="E68" s="334">
        <v>21</v>
      </c>
      <c r="F68" s="334">
        <v>528716.41245959804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108858377</v>
      </c>
      <c r="E73" s="476">
        <v>102920573.12230289</v>
      </c>
    </row>
    <row r="74" spans="1:6">
      <c r="A74" s="348" t="s">
        <v>64</v>
      </c>
      <c r="B74" s="348" t="s">
        <v>657</v>
      </c>
      <c r="C74" s="1272" t="s">
        <v>659</v>
      </c>
      <c r="D74" s="476">
        <v>11773396.146264339</v>
      </c>
      <c r="E74" s="476">
        <v>10834531.755290778</v>
      </c>
    </row>
    <row r="75" spans="1:6">
      <c r="A75" s="348" t="s">
        <v>65</v>
      </c>
      <c r="B75" s="348" t="s">
        <v>656</v>
      </c>
      <c r="C75" s="1272" t="s">
        <v>660</v>
      </c>
      <c r="D75" s="476">
        <v>82166505</v>
      </c>
      <c r="E75" s="476">
        <v>78300363.130996123</v>
      </c>
    </row>
    <row r="76" spans="1:6">
      <c r="A76" s="348" t="s">
        <v>65</v>
      </c>
      <c r="B76" s="348" t="s">
        <v>657</v>
      </c>
      <c r="C76" s="1272" t="s">
        <v>661</v>
      </c>
      <c r="D76" s="476">
        <v>3933688.1462643389</v>
      </c>
      <c r="E76" s="476">
        <v>3622140.2443073476</v>
      </c>
    </row>
    <row r="77" spans="1:6">
      <c r="A77" s="348" t="s">
        <v>66</v>
      </c>
      <c r="B77" s="348" t="s">
        <v>656</v>
      </c>
      <c r="C77" s="1272" t="s">
        <v>662</v>
      </c>
      <c r="D77" s="476">
        <v>126816099</v>
      </c>
      <c r="E77" s="476">
        <v>131080361.03167737</v>
      </c>
    </row>
    <row r="78" spans="1:6">
      <c r="A78" s="341" t="s">
        <v>66</v>
      </c>
      <c r="B78" s="341" t="s">
        <v>657</v>
      </c>
      <c r="C78" s="341" t="s">
        <v>663</v>
      </c>
      <c r="D78" s="1273">
        <v>31414034</v>
      </c>
      <c r="E78" s="1273">
        <v>32600514.178485975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652383.70747132215</v>
      </c>
      <c r="C83" s="476">
        <v>649878.70788050245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5593.1243399384739</v>
      </c>
    </row>
    <row r="92" spans="1:6">
      <c r="A92" s="341" t="s">
        <v>69</v>
      </c>
      <c r="B92" s="342">
        <v>11059.298680791861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47</v>
      </c>
      <c r="C123" s="334">
        <v>47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3</v>
      </c>
    </row>
    <row r="131" spans="1:6">
      <c r="A131" s="348" t="s">
        <v>296</v>
      </c>
      <c r="B131" s="334">
        <v>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133564.53096405152</v>
      </c>
      <c r="C3" s="43" t="s">
        <v>170</v>
      </c>
      <c r="D3" s="43"/>
      <c r="E3" s="154"/>
      <c r="F3" s="43"/>
      <c r="G3" s="43"/>
      <c r="H3" s="43"/>
      <c r="I3" s="43"/>
      <c r="J3" s="43"/>
      <c r="K3" s="96"/>
    </row>
    <row r="4" spans="1:11">
      <c r="A4" s="383" t="s">
        <v>171</v>
      </c>
      <c r="B4" s="49">
        <f>IF(ISERROR('SEAP template'!B69),0,'SEAP template'!B69)</f>
        <v>16696.073020730335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0.19337416168088434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1651.29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1651.29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0.19337416168088434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319.31681944202751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43268.156937937332</v>
      </c>
      <c r="C5" s="17">
        <f>IF(ISERROR('Eigen informatie GS &amp; warmtenet'!B57),0,'Eigen informatie GS &amp; warmtenet'!B57)</f>
        <v>0</v>
      </c>
      <c r="D5" s="30">
        <f>(SUM(HH_hh_gas_kWh,HH_rest_gas_kWh)/1000)*0.902</f>
        <v>122967.4784440412</v>
      </c>
      <c r="E5" s="17">
        <f>B46*B57</f>
        <v>5432.7165497681626</v>
      </c>
      <c r="F5" s="17">
        <f>B51*B62</f>
        <v>0</v>
      </c>
      <c r="G5" s="18"/>
      <c r="H5" s="17"/>
      <c r="I5" s="17"/>
      <c r="J5" s="17">
        <f>B50*B61+C50*C61</f>
        <v>2055.677062207717</v>
      </c>
      <c r="K5" s="17"/>
      <c r="L5" s="17"/>
      <c r="M5" s="17"/>
      <c r="N5" s="17">
        <f>B48*B59+C48*C59</f>
        <v>22844.384442772116</v>
      </c>
      <c r="O5" s="17">
        <f>B69*B70*B71</f>
        <v>331.42666666666673</v>
      </c>
      <c r="P5" s="17">
        <f>B77*B78*B79/1000-B77*B78*B79/1000/B80</f>
        <v>1410.9333333333334</v>
      </c>
    </row>
    <row r="6" spans="1:16">
      <c r="A6" s="16" t="s">
        <v>621</v>
      </c>
      <c r="B6" s="843">
        <f>kWh_PV_kleiner_dan_10kW</f>
        <v>5593.1243399384739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48861.281277875809</v>
      </c>
      <c r="C8" s="21">
        <f>C5</f>
        <v>0</v>
      </c>
      <c r="D8" s="21">
        <f>D5</f>
        <v>122967.4784440412</v>
      </c>
      <c r="E8" s="21">
        <f>E5</f>
        <v>5432.7165497681626</v>
      </c>
      <c r="F8" s="21">
        <f>F5</f>
        <v>0</v>
      </c>
      <c r="G8" s="21"/>
      <c r="H8" s="21"/>
      <c r="I8" s="21"/>
      <c r="J8" s="21">
        <f>J5</f>
        <v>2055.677062207717</v>
      </c>
      <c r="K8" s="21"/>
      <c r="L8" s="21">
        <f>L5</f>
        <v>0</v>
      </c>
      <c r="M8" s="21">
        <f>M5</f>
        <v>0</v>
      </c>
      <c r="N8" s="21">
        <f>N5</f>
        <v>22844.384442772116</v>
      </c>
      <c r="O8" s="21">
        <f>O5</f>
        <v>331.42666666666673</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0.19337416168088434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9448.5093057631238</v>
      </c>
      <c r="C12" s="23">
        <f ca="1">C10*C8</f>
        <v>0</v>
      </c>
      <c r="D12" s="23">
        <f>D8*D10</f>
        <v>24839.430645696324</v>
      </c>
      <c r="E12" s="23">
        <f>E10*E8</f>
        <v>1233.2266567973729</v>
      </c>
      <c r="F12" s="23">
        <f>F10*F8</f>
        <v>0</v>
      </c>
      <c r="G12" s="23"/>
      <c r="H12" s="23"/>
      <c r="I12" s="23"/>
      <c r="J12" s="23">
        <f>J10*J8</f>
        <v>727.70968002153177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12082</v>
      </c>
      <c r="C28" s="36"/>
      <c r="D28" s="228"/>
    </row>
    <row r="29" spans="1:7" s="15" customFormat="1">
      <c r="A29" s="230" t="s">
        <v>795</v>
      </c>
      <c r="B29" s="37">
        <f>SUM(HH_hh_gas_aantal,HH_rest_gas_aantal)</f>
        <v>9208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9208</v>
      </c>
      <c r="C32" s="167">
        <f>IF(ISERROR(B32/SUM($B$32,$B$34,$B$35,$B$36,$B$38,$B$39)*100),0,B32/SUM($B$32,$B$34,$B$35,$B$36,$B$38,$B$39)*100)</f>
        <v>76.682211858760837</v>
      </c>
      <c r="D32" s="233"/>
      <c r="G32" s="15"/>
    </row>
    <row r="33" spans="1:7">
      <c r="A33" s="171" t="s">
        <v>72</v>
      </c>
      <c r="B33" s="34" t="s">
        <v>111</v>
      </c>
      <c r="C33" s="167"/>
      <c r="D33" s="233"/>
      <c r="G33" s="15"/>
    </row>
    <row r="34" spans="1:7">
      <c r="A34" s="171" t="s">
        <v>73</v>
      </c>
      <c r="B34" s="33">
        <f>IF((($B$28-$B$32-$B$39-$B$77-$B$38)*C20/100)&lt;0,0,($B$28-$B$32-$B$39-$B$77-$B$38)*C20/100)</f>
        <v>256.58173584905654</v>
      </c>
      <c r="C34" s="167">
        <f>IF(ISERROR(B34/SUM($B$32,$B$34,$B$35,$B$36,$B$38,$B$39)*100),0,B34/SUM($B$32,$B$34,$B$35,$B$36,$B$38,$B$39)*100)</f>
        <v>2.1367566276570336</v>
      </c>
      <c r="D34" s="233"/>
      <c r="G34" s="15"/>
    </row>
    <row r="35" spans="1:7">
      <c r="A35" s="171" t="s">
        <v>74</v>
      </c>
      <c r="B35" s="33">
        <f>IF((($B$28-$B$32-$B$39-$B$77-$B$38)*C21/100)&lt;0,0,($B$28-$B$32-$B$39-$B$77-$B$38)*C21/100)</f>
        <v>2168.5295094339622</v>
      </c>
      <c r="C35" s="167">
        <f>IF(ISERROR(B35/SUM($B$32,$B$34,$B$35,$B$36,$B$38,$B$39)*100),0,B35/SUM($B$32,$B$34,$B$35,$B$36,$B$38,$B$39)*100)</f>
        <v>18.05903988535945</v>
      </c>
      <c r="D35" s="233"/>
      <c r="G35" s="15"/>
    </row>
    <row r="36" spans="1:7">
      <c r="A36" s="171" t="s">
        <v>75</v>
      </c>
      <c r="B36" s="33">
        <f>IF((($B$28-$B$32-$B$39-$B$77-$B$38)*C22/100)&lt;0,0,($B$28-$B$32-$B$39-$B$77-$B$38)*C22/100)</f>
        <v>316.58875471698116</v>
      </c>
      <c r="C36" s="167">
        <f>IF(ISERROR(B36/SUM($B$32,$B$34,$B$35,$B$36,$B$38,$B$39)*100),0,B36/SUM($B$32,$B$34,$B$35,$B$36,$B$38,$B$39)*100)</f>
        <v>2.6364819679961791</v>
      </c>
      <c r="D36" s="233"/>
      <c r="G36" s="15"/>
    </row>
    <row r="37" spans="1:7">
      <c r="A37" s="171" t="s">
        <v>76</v>
      </c>
      <c r="B37" s="34" t="s">
        <v>111</v>
      </c>
      <c r="C37" s="167"/>
      <c r="D37" s="173"/>
      <c r="G37" s="15"/>
    </row>
    <row r="38" spans="1:7">
      <c r="A38" s="171" t="s">
        <v>77</v>
      </c>
      <c r="B38" s="33">
        <f>IF((B24-(B29-B18)*0.1)&lt;0,0,B24-(B29-B18)*0.1)</f>
        <v>58.299999999999955</v>
      </c>
      <c r="C38" s="167">
        <f>IF(ISERROR(B38/SUM($B$32,$B$34,$B$35,$B$36,$B$38,$B$39)*100),0,B38/SUM($B$32,$B$34,$B$35,$B$36,$B$38,$B$39)*100)</f>
        <v>0.48550966022651532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9208</v>
      </c>
      <c r="C44" s="34" t="s">
        <v>111</v>
      </c>
      <c r="D44" s="174"/>
    </row>
    <row r="45" spans="1:7">
      <c r="A45" s="171" t="s">
        <v>72</v>
      </c>
      <c r="B45" s="33" t="str">
        <f t="shared" si="0"/>
        <v>-</v>
      </c>
      <c r="C45" s="34" t="s">
        <v>111</v>
      </c>
      <c r="D45" s="174"/>
    </row>
    <row r="46" spans="1:7">
      <c r="A46" s="171" t="s">
        <v>73</v>
      </c>
      <c r="B46" s="33">
        <f t="shared" si="0"/>
        <v>256.58173584905654</v>
      </c>
      <c r="C46" s="34" t="s">
        <v>111</v>
      </c>
      <c r="D46" s="174"/>
    </row>
    <row r="47" spans="1:7">
      <c r="A47" s="171" t="s">
        <v>74</v>
      </c>
      <c r="B47" s="33">
        <f t="shared" si="0"/>
        <v>2168.5295094339622</v>
      </c>
      <c r="C47" s="34" t="s">
        <v>111</v>
      </c>
      <c r="D47" s="174"/>
    </row>
    <row r="48" spans="1:7">
      <c r="A48" s="171" t="s">
        <v>75</v>
      </c>
      <c r="B48" s="33">
        <f t="shared" si="0"/>
        <v>316.58875471698116</v>
      </c>
      <c r="C48" s="33">
        <f>B48*10</f>
        <v>3165.8875471698116</v>
      </c>
      <c r="D48" s="234"/>
    </row>
    <row r="49" spans="1:6">
      <c r="A49" s="171" t="s">
        <v>76</v>
      </c>
      <c r="B49" s="33" t="str">
        <f t="shared" si="0"/>
        <v>-</v>
      </c>
      <c r="C49" s="34" t="s">
        <v>111</v>
      </c>
      <c r="D49" s="234"/>
    </row>
    <row r="50" spans="1:6">
      <c r="A50" s="171" t="s">
        <v>77</v>
      </c>
      <c r="B50" s="33">
        <f t="shared" si="0"/>
        <v>58.299999999999955</v>
      </c>
      <c r="C50" s="33">
        <f>B50*2</f>
        <v>116.59999999999991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39357.419258237278</v>
      </c>
      <c r="C5" s="17">
        <f>IF(ISERROR('Eigen informatie GS &amp; warmtenet'!B58),0,'Eigen informatie GS &amp; warmtenet'!B58)</f>
        <v>0</v>
      </c>
      <c r="D5" s="30">
        <f>SUM(D6:D12)</f>
        <v>45134.078703074607</v>
      </c>
      <c r="E5" s="17">
        <f>SUM(E6:E12)</f>
        <v>633.10430177198089</v>
      </c>
      <c r="F5" s="17">
        <f>SUM(F6:F12)</f>
        <v>6974.773810102577</v>
      </c>
      <c r="G5" s="18"/>
      <c r="H5" s="17"/>
      <c r="I5" s="17"/>
      <c r="J5" s="17">
        <f>SUM(J6:J12)</f>
        <v>8.6382372115842501E-2</v>
      </c>
      <c r="K5" s="17"/>
      <c r="L5" s="17"/>
      <c r="M5" s="17"/>
      <c r="N5" s="17">
        <f>SUM(N6:N12)</f>
        <v>3443.9527360323386</v>
      </c>
      <c r="O5" s="17">
        <f>B38*B39*B40</f>
        <v>4.6900000000000004</v>
      </c>
      <c r="P5" s="17">
        <f>B46*B47*B48/1000-B46*B47*B48/1000/B49</f>
        <v>38.133333333333333</v>
      </c>
      <c r="R5" s="32"/>
    </row>
    <row r="6" spans="1:18">
      <c r="A6" s="32" t="s">
        <v>54</v>
      </c>
      <c r="B6" s="37">
        <f>B26</f>
        <v>11972.4612680713</v>
      </c>
      <c r="C6" s="33"/>
      <c r="D6" s="37">
        <f>IF(ISERROR(TER_kantoor_gas_kWh/1000),0,TER_kantoor_gas_kWh/1000)*0.902</f>
        <v>10950.810365313648</v>
      </c>
      <c r="E6" s="33">
        <f>$C$26*'E Balans VL '!I12/100/3.6*1000000</f>
        <v>7.5039405250036453E-2</v>
      </c>
      <c r="F6" s="33">
        <f>$C$26*('E Balans VL '!L12+'E Balans VL '!N12)/100/3.6*1000000</f>
        <v>1799.1263861167115</v>
      </c>
      <c r="G6" s="34"/>
      <c r="H6" s="33"/>
      <c r="I6" s="33"/>
      <c r="J6" s="33">
        <f>$C$26*('E Balans VL '!D12+'E Balans VL '!E12)/100/3.6*1000000</f>
        <v>0</v>
      </c>
      <c r="K6" s="33"/>
      <c r="L6" s="33"/>
      <c r="M6" s="33"/>
      <c r="N6" s="33">
        <f>$C$26*'E Balans VL '!Y12/100/3.6*1000000</f>
        <v>11.449884090719001</v>
      </c>
      <c r="O6" s="33"/>
      <c r="P6" s="33"/>
      <c r="R6" s="32"/>
    </row>
    <row r="7" spans="1:18">
      <c r="A7" s="32" t="s">
        <v>53</v>
      </c>
      <c r="B7" s="37">
        <f t="shared" ref="B7:B12" si="0">B27</f>
        <v>2337.6091882570599</v>
      </c>
      <c r="C7" s="33"/>
      <c r="D7" s="37">
        <f>IF(ISERROR(TER_horeca_gas_kWh/1000),0,TER_horeca_gas_kWh/1000)*0.902</f>
        <v>4725.9685245631936</v>
      </c>
      <c r="E7" s="33">
        <f>$C$27*'E Balans VL '!I9/100/3.6*1000000</f>
        <v>33.47417420448059</v>
      </c>
      <c r="F7" s="33">
        <f>$C$27*('E Balans VL '!L9+'E Balans VL '!N9)/100/3.6*1000000</f>
        <v>296.01842055461344</v>
      </c>
      <c r="G7" s="34"/>
      <c r="H7" s="33"/>
      <c r="I7" s="33"/>
      <c r="J7" s="33">
        <f>$C$27*('E Balans VL '!D9+'E Balans VL '!E9)/100/3.6*1000000</f>
        <v>0</v>
      </c>
      <c r="K7" s="33"/>
      <c r="L7" s="33"/>
      <c r="M7" s="33"/>
      <c r="N7" s="33">
        <f>$C$27*'E Balans VL '!Y9/100/3.6*1000000</f>
        <v>0.67201110176546786</v>
      </c>
      <c r="O7" s="33"/>
      <c r="P7" s="33"/>
      <c r="R7" s="32"/>
    </row>
    <row r="8" spans="1:18">
      <c r="A8" s="6" t="s">
        <v>52</v>
      </c>
      <c r="B8" s="37">
        <f t="shared" si="0"/>
        <v>14260.371889666199</v>
      </c>
      <c r="C8" s="33"/>
      <c r="D8" s="37">
        <f>IF(ISERROR(TER_handel_gas_kWh/1000),0,TER_handel_gas_kWh/1000)*0.902</f>
        <v>13183.007618998781</v>
      </c>
      <c r="E8" s="33">
        <f>$C$28*'E Balans VL '!I13/100/3.6*1000000</f>
        <v>517.22192992791565</v>
      </c>
      <c r="F8" s="33">
        <f>$C$28*('E Balans VL '!L13+'E Balans VL '!N13)/100/3.6*1000000</f>
        <v>2746.6920213954691</v>
      </c>
      <c r="G8" s="34"/>
      <c r="H8" s="33"/>
      <c r="I8" s="33"/>
      <c r="J8" s="33">
        <f>$C$28*('E Balans VL '!D13+'E Balans VL '!E13)/100/3.6*1000000</f>
        <v>0</v>
      </c>
      <c r="K8" s="33"/>
      <c r="L8" s="33"/>
      <c r="M8" s="33"/>
      <c r="N8" s="33">
        <f>$C$28*'E Balans VL '!Y13/100/3.6*1000000</f>
        <v>19.753896232423916</v>
      </c>
      <c r="O8" s="33"/>
      <c r="P8" s="33"/>
      <c r="R8" s="32"/>
    </row>
    <row r="9" spans="1:18">
      <c r="A9" s="32" t="s">
        <v>51</v>
      </c>
      <c r="B9" s="37">
        <f t="shared" si="0"/>
        <v>1248.52633438006</v>
      </c>
      <c r="C9" s="33"/>
      <c r="D9" s="37">
        <f>IF(ISERROR(TER_gezond_gas_kWh/1000),0,TER_gezond_gas_kWh/1000)*0.902</f>
        <v>2499.9358015963371</v>
      </c>
      <c r="E9" s="33">
        <f>$C$29*'E Balans VL '!I10/100/3.6*1000000</f>
        <v>7.8170075502747752E-2</v>
      </c>
      <c r="F9" s="33">
        <f>$C$29*('E Balans VL '!L10+'E Balans VL '!N10)/100/3.6*1000000</f>
        <v>185.47238837281981</v>
      </c>
      <c r="G9" s="34"/>
      <c r="H9" s="33"/>
      <c r="I9" s="33"/>
      <c r="J9" s="33">
        <f>$C$29*('E Balans VL '!D10+'E Balans VL '!E10)/100/3.6*1000000</f>
        <v>0</v>
      </c>
      <c r="K9" s="33"/>
      <c r="L9" s="33"/>
      <c r="M9" s="33"/>
      <c r="N9" s="33">
        <f>$C$29*'E Balans VL '!Y10/100/3.6*1000000</f>
        <v>19.312325812684023</v>
      </c>
      <c r="O9" s="33"/>
      <c r="P9" s="33"/>
      <c r="R9" s="32"/>
    </row>
    <row r="10" spans="1:18">
      <c r="A10" s="32" t="s">
        <v>50</v>
      </c>
      <c r="B10" s="37">
        <f t="shared" si="0"/>
        <v>3346.0002047241601</v>
      </c>
      <c r="C10" s="33"/>
      <c r="D10" s="37">
        <f>IF(ISERROR(TER_ander_gas_kWh/1000),0,TER_ander_gas_kWh/1000)*0.902</f>
        <v>4292.8224771846517</v>
      </c>
      <c r="E10" s="33">
        <f>$C$30*'E Balans VL '!I14/100/3.6*1000000</f>
        <v>3.9883126781869596</v>
      </c>
      <c r="F10" s="33">
        <f>$C$30*('E Balans VL '!L14+'E Balans VL '!N14)/100/3.6*1000000</f>
        <v>875.46240504153309</v>
      </c>
      <c r="G10" s="34"/>
      <c r="H10" s="33"/>
      <c r="I10" s="33"/>
      <c r="J10" s="33">
        <f>$C$30*('E Balans VL '!D14+'E Balans VL '!E14)/100/3.6*1000000</f>
        <v>7.2628548485916308E-2</v>
      </c>
      <c r="K10" s="33"/>
      <c r="L10" s="33"/>
      <c r="M10" s="33"/>
      <c r="N10" s="33">
        <f>$C$30*'E Balans VL '!Y14/100/3.6*1000000</f>
        <v>2841.3414983792268</v>
      </c>
      <c r="O10" s="33"/>
      <c r="P10" s="33"/>
      <c r="R10" s="32"/>
    </row>
    <row r="11" spans="1:18">
      <c r="A11" s="32" t="s">
        <v>55</v>
      </c>
      <c r="B11" s="37">
        <f t="shared" si="0"/>
        <v>512.63195848403996</v>
      </c>
      <c r="C11" s="33"/>
      <c r="D11" s="37">
        <f>IF(ISERROR(TER_onderwijs_gas_kWh/1000),0,TER_onderwijs_gas_kWh/1000)*0.902</f>
        <v>1572.0112642400156</v>
      </c>
      <c r="E11" s="33">
        <f>$C$31*'E Balans VL '!I11/100/3.6*1000000</f>
        <v>7.7347905812420974</v>
      </c>
      <c r="F11" s="33">
        <f>$C$31*('E Balans VL '!L11+'E Balans VL '!N11)/100/3.6*1000000</f>
        <v>89.821308665576623</v>
      </c>
      <c r="G11" s="34"/>
      <c r="H11" s="33"/>
      <c r="I11" s="33"/>
      <c r="J11" s="33">
        <f>$C$31*('E Balans VL '!D11+'E Balans VL '!E11)/100/3.6*1000000</f>
        <v>0</v>
      </c>
      <c r="K11" s="33"/>
      <c r="L11" s="33"/>
      <c r="M11" s="33"/>
      <c r="N11" s="33">
        <f>$C$31*'E Balans VL '!Y11/100/3.6*1000000</f>
        <v>1.4425853029396898</v>
      </c>
      <c r="O11" s="33"/>
      <c r="P11" s="33"/>
      <c r="R11" s="32"/>
    </row>
    <row r="12" spans="1:18">
      <c r="A12" s="32" t="s">
        <v>260</v>
      </c>
      <c r="B12" s="37">
        <f t="shared" si="0"/>
        <v>5679.81841465446</v>
      </c>
      <c r="C12" s="33"/>
      <c r="D12" s="37">
        <f>IF(ISERROR(TER_rest_gas_kWh/1000),0,TER_rest_gas_kWh/1000)*0.902</f>
        <v>7909.5226511779865</v>
      </c>
      <c r="E12" s="33">
        <f>$C$32*'E Balans VL '!I8/100/3.6*1000000</f>
        <v>70.531884899402783</v>
      </c>
      <c r="F12" s="33">
        <f>$C$32*('E Balans VL '!L8+'E Balans VL '!N8)/100/3.6*1000000</f>
        <v>982.18087995585256</v>
      </c>
      <c r="G12" s="34"/>
      <c r="H12" s="33"/>
      <c r="I12" s="33"/>
      <c r="J12" s="33">
        <f>$C$32*('E Balans VL '!D8+'E Balans VL '!E8)/100/3.6*1000000</f>
        <v>1.3753823629926193E-2</v>
      </c>
      <c r="K12" s="33"/>
      <c r="L12" s="33"/>
      <c r="M12" s="33"/>
      <c r="N12" s="33">
        <f>$C$32*'E Balans VL '!Y8/100/3.6*1000000</f>
        <v>549.98053511257956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39357.419258237278</v>
      </c>
      <c r="C16" s="21">
        <f t="shared" ca="1" si="1"/>
        <v>0</v>
      </c>
      <c r="D16" s="21">
        <f t="shared" ca="1" si="1"/>
        <v>45134.078703074607</v>
      </c>
      <c r="E16" s="21">
        <f t="shared" si="1"/>
        <v>633.10430177198089</v>
      </c>
      <c r="F16" s="21">
        <f t="shared" ca="1" si="1"/>
        <v>6974.773810102577</v>
      </c>
      <c r="G16" s="21">
        <f t="shared" si="1"/>
        <v>0</v>
      </c>
      <c r="H16" s="21">
        <f t="shared" si="1"/>
        <v>0</v>
      </c>
      <c r="I16" s="21">
        <f t="shared" si="1"/>
        <v>0</v>
      </c>
      <c r="J16" s="21">
        <f t="shared" si="1"/>
        <v>8.6382372115842501E-2</v>
      </c>
      <c r="K16" s="21">
        <f t="shared" si="1"/>
        <v>0</v>
      </c>
      <c r="L16" s="21">
        <f t="shared" ca="1" si="1"/>
        <v>0</v>
      </c>
      <c r="M16" s="21">
        <f t="shared" si="1"/>
        <v>0</v>
      </c>
      <c r="N16" s="21">
        <f t="shared" ca="1" si="1"/>
        <v>3443.9527360323386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0.19337416168088434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7610.7079549847267</v>
      </c>
      <c r="C20" s="23">
        <f t="shared" ref="C20:P20" ca="1" si="2">C16*C18</f>
        <v>0</v>
      </c>
      <c r="D20" s="23">
        <f t="shared" ca="1" si="2"/>
        <v>9117.0838980210719</v>
      </c>
      <c r="E20" s="23">
        <f t="shared" si="2"/>
        <v>143.71467650223966</v>
      </c>
      <c r="F20" s="23">
        <f t="shared" ca="1" si="2"/>
        <v>1862.2646072973882</v>
      </c>
      <c r="G20" s="23">
        <f t="shared" si="2"/>
        <v>0</v>
      </c>
      <c r="H20" s="23">
        <f t="shared" si="2"/>
        <v>0</v>
      </c>
      <c r="I20" s="23">
        <f t="shared" si="2"/>
        <v>0</v>
      </c>
      <c r="J20" s="23">
        <f t="shared" si="2"/>
        <v>3.0579359729008243E-2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11972.4612680713</v>
      </c>
      <c r="C26" s="39">
        <f>IF(ISERROR(B26*3.6/1000000/'E Balans VL '!Z12*100),0,B26*3.6/1000000/'E Balans VL '!Z12*100)</f>
        <v>0.25307886529640589</v>
      </c>
      <c r="D26" s="237" t="s">
        <v>754</v>
      </c>
      <c r="F26" s="6"/>
    </row>
    <row r="27" spans="1:18">
      <c r="A27" s="231" t="s">
        <v>53</v>
      </c>
      <c r="B27" s="33">
        <f>IF(ISERROR(TER_horeca_ele_kWh/1000),0,TER_horeca_ele_kWh/1000)</f>
        <v>2337.6091882570599</v>
      </c>
      <c r="C27" s="39">
        <f>IF(ISERROR(B27*3.6/1000000/'E Balans VL '!Z9*100),0,B27*3.6/1000000/'E Balans VL '!Z9*100)</f>
        <v>0.18427286103887955</v>
      </c>
      <c r="D27" s="237" t="s">
        <v>754</v>
      </c>
      <c r="F27" s="6"/>
    </row>
    <row r="28" spans="1:18">
      <c r="A28" s="171" t="s">
        <v>52</v>
      </c>
      <c r="B28" s="33">
        <f>IF(ISERROR(TER_handel_ele_kWh/1000),0,TER_handel_ele_kWh/1000)</f>
        <v>14260.371889666199</v>
      </c>
      <c r="C28" s="39">
        <f>IF(ISERROR(B28*3.6/1000000/'E Balans VL '!Z13*100),0,B28*3.6/1000000/'E Balans VL '!Z13*100)</f>
        <v>0.41389361059703622</v>
      </c>
      <c r="D28" s="237" t="s">
        <v>754</v>
      </c>
      <c r="F28" s="6"/>
    </row>
    <row r="29" spans="1:18">
      <c r="A29" s="231" t="s">
        <v>51</v>
      </c>
      <c r="B29" s="33">
        <f>IF(ISERROR(TER_gezond_ele_kWh/1000),0,TER_gezond_ele_kWh/1000)</f>
        <v>1248.52633438006</v>
      </c>
      <c r="C29" s="39">
        <f>IF(ISERROR(B29*3.6/1000000/'E Balans VL '!Z10*100),0,B29*3.6/1000000/'E Balans VL '!Z10*100)</f>
        <v>0.13149032435378705</v>
      </c>
      <c r="D29" s="237" t="s">
        <v>754</v>
      </c>
      <c r="F29" s="6"/>
    </row>
    <row r="30" spans="1:18">
      <c r="A30" s="231" t="s">
        <v>50</v>
      </c>
      <c r="B30" s="33">
        <f>IF(ISERROR(TER_ander_ele_kWh/1000),0,TER_ander_ele_kWh/1000)</f>
        <v>3346.0002047241601</v>
      </c>
      <c r="C30" s="39">
        <f>IF(ISERROR(B30*3.6/1000000/'E Balans VL '!Z14*100),0,B30*3.6/1000000/'E Balans VL '!Z14*100)</f>
        <v>0.24680170184808339</v>
      </c>
      <c r="D30" s="237" t="s">
        <v>754</v>
      </c>
      <c r="F30" s="6"/>
    </row>
    <row r="31" spans="1:18">
      <c r="A31" s="231" t="s">
        <v>55</v>
      </c>
      <c r="B31" s="33">
        <f>IF(ISERROR(TER_onderwijs_ele_kWh/1000),0,TER_onderwijs_ele_kWh/1000)</f>
        <v>512.63195848403996</v>
      </c>
      <c r="C31" s="39">
        <f>IF(ISERROR(B31*3.6/1000000/'E Balans VL '!Z11*100),0,B31*3.6/1000000/'E Balans VL '!Z11*100)</f>
        <v>0.12731052838670312</v>
      </c>
      <c r="D31" s="237" t="s">
        <v>754</v>
      </c>
    </row>
    <row r="32" spans="1:18">
      <c r="A32" s="231" t="s">
        <v>260</v>
      </c>
      <c r="B32" s="33">
        <f>IF(ISERROR(TER_rest_ele_kWh/1000),0,TER_rest_ele_kWh/1000)</f>
        <v>5679.81841465446</v>
      </c>
      <c r="C32" s="39">
        <f>IF(ISERROR(B32*3.6/1000000/'E Balans VL '!Z8*100),0,B32*3.6/1000000/'E Balans VL '!Z8*100)</f>
        <v>4.673736636003957E-2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42075.860118382137</v>
      </c>
      <c r="C5" s="17">
        <f>IF(ISERROR('Eigen informatie GS &amp; warmtenet'!B59),0,'Eigen informatie GS &amp; warmtenet'!B59)</f>
        <v>0</v>
      </c>
      <c r="D5" s="30">
        <f>SUM(D6:D15)</f>
        <v>26853.106594354715</v>
      </c>
      <c r="E5" s="17">
        <f>SUM(E6:E15)</f>
        <v>3148.3216338885259</v>
      </c>
      <c r="F5" s="17">
        <f>SUM(F6:F15)</f>
        <v>10518.417132112199</v>
      </c>
      <c r="G5" s="18"/>
      <c r="H5" s="17"/>
      <c r="I5" s="17"/>
      <c r="J5" s="17">
        <f>SUM(J6:J15)</f>
        <v>114.85107907603934</v>
      </c>
      <c r="K5" s="17"/>
      <c r="L5" s="17"/>
      <c r="M5" s="17"/>
      <c r="N5" s="17">
        <f>SUM(N6:N15)</f>
        <v>10842.855570277741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1798.1145614601398</v>
      </c>
      <c r="C8" s="33"/>
      <c r="D8" s="37">
        <f>IF( ISERROR(IND_metaal_Gas_kWH/1000),0,IND_metaal_Gas_kWH/1000)*0.902</f>
        <v>856.27580936537231</v>
      </c>
      <c r="E8" s="33">
        <f>C30*'E Balans VL '!I18/100/3.6*1000000</f>
        <v>16.531926757067072</v>
      </c>
      <c r="F8" s="33">
        <f>C30*'E Balans VL '!L18/100/3.6*1000000+C30*'E Balans VL '!N18/100/3.6*1000000</f>
        <v>168.60328057137062</v>
      </c>
      <c r="G8" s="34"/>
      <c r="H8" s="33"/>
      <c r="I8" s="33"/>
      <c r="J8" s="40">
        <f>C30*'E Balans VL '!D18/100/3.6*1000000+C30*'E Balans VL '!E18/100/3.6*1000000</f>
        <v>0</v>
      </c>
      <c r="K8" s="33"/>
      <c r="L8" s="33"/>
      <c r="M8" s="33"/>
      <c r="N8" s="33">
        <f>C30*'E Balans VL '!Y18/100/3.6*1000000</f>
        <v>25.653075728675081</v>
      </c>
      <c r="O8" s="33"/>
      <c r="P8" s="33"/>
      <c r="R8" s="32"/>
    </row>
    <row r="9" spans="1:18">
      <c r="A9" s="6" t="s">
        <v>33</v>
      </c>
      <c r="B9" s="37">
        <f t="shared" si="0"/>
        <v>4630.2040245891403</v>
      </c>
      <c r="C9" s="33"/>
      <c r="D9" s="37">
        <f>IF( ISERROR(IND_andere_gas_kWh/1000),0,IND_andere_gas_kWh/1000)*0.902</f>
        <v>6532.4218643959221</v>
      </c>
      <c r="E9" s="33">
        <f>C31*'E Balans VL '!I19/100/3.6*1000000</f>
        <v>1353.4987758278787</v>
      </c>
      <c r="F9" s="33">
        <f>C31*'E Balans VL '!L19/100/3.6*1000000+C31*'E Balans VL '!N19/100/3.6*1000000</f>
        <v>3720.7194079983865</v>
      </c>
      <c r="G9" s="34"/>
      <c r="H9" s="33"/>
      <c r="I9" s="33"/>
      <c r="J9" s="40">
        <f>C31*'E Balans VL '!D19/100/3.6*1000000+C31*'E Balans VL '!E19/100/3.6*1000000</f>
        <v>0</v>
      </c>
      <c r="K9" s="33"/>
      <c r="L9" s="33"/>
      <c r="M9" s="33"/>
      <c r="N9" s="33">
        <f>C31*'E Balans VL '!Y19/100/3.6*1000000</f>
        <v>1529.8912190973845</v>
      </c>
      <c r="O9" s="33"/>
      <c r="P9" s="33"/>
      <c r="R9" s="32"/>
    </row>
    <row r="10" spans="1:18">
      <c r="A10" s="6" t="s">
        <v>41</v>
      </c>
      <c r="B10" s="37">
        <f t="shared" si="0"/>
        <v>1896.82150937914</v>
      </c>
      <c r="C10" s="33"/>
      <c r="D10" s="37">
        <f>IF( ISERROR(IND_voed_gas_kWh/1000),0,IND_voed_gas_kWh/1000)*0.902</f>
        <v>1823.8874322856695</v>
      </c>
      <c r="E10" s="33">
        <f>C32*'E Balans VL '!I20/100/3.6*1000000</f>
        <v>4.0127553136574088</v>
      </c>
      <c r="F10" s="33">
        <f>C32*'E Balans VL '!L20/100/3.6*1000000+C32*'E Balans VL '!N20/100/3.6*1000000</f>
        <v>120.60184911267986</v>
      </c>
      <c r="G10" s="34"/>
      <c r="H10" s="33"/>
      <c r="I10" s="33"/>
      <c r="J10" s="40">
        <f>C32*'E Balans VL '!D20/100/3.6*1000000+C32*'E Balans VL '!E20/100/3.6*1000000</f>
        <v>0</v>
      </c>
      <c r="K10" s="33"/>
      <c r="L10" s="33"/>
      <c r="M10" s="33"/>
      <c r="N10" s="33">
        <f>C32*'E Balans VL '!Y20/100/3.6*1000000</f>
        <v>130.89940243918886</v>
      </c>
      <c r="O10" s="33"/>
      <c r="P10" s="33"/>
      <c r="R10" s="32"/>
    </row>
    <row r="11" spans="1:18">
      <c r="A11" s="6" t="s">
        <v>40</v>
      </c>
      <c r="B11" s="37">
        <f t="shared" si="0"/>
        <v>942.54344567968099</v>
      </c>
      <c r="C11" s="33"/>
      <c r="D11" s="37">
        <f>IF( ISERROR(IND_textiel_gas_kWh/1000),0,IND_textiel_gas_kWh/1000)*0.902</f>
        <v>108.11409669717814</v>
      </c>
      <c r="E11" s="33">
        <f>C33*'E Balans VL '!I21/100/3.6*1000000</f>
        <v>2.7992727708014526</v>
      </c>
      <c r="F11" s="33">
        <f>C33*'E Balans VL '!L21/100/3.6*1000000+C33*'E Balans VL '!N21/100/3.6*1000000</f>
        <v>95.222764711318234</v>
      </c>
      <c r="G11" s="34"/>
      <c r="H11" s="33"/>
      <c r="I11" s="33"/>
      <c r="J11" s="40">
        <f>C33*'E Balans VL '!D21/100/3.6*1000000+C33*'E Balans VL '!E21/100/3.6*1000000</f>
        <v>0</v>
      </c>
      <c r="K11" s="33"/>
      <c r="L11" s="33"/>
      <c r="M11" s="33"/>
      <c r="N11" s="33">
        <f>C33*'E Balans VL '!Y21/100/3.6*1000000</f>
        <v>51.984279019266801</v>
      </c>
      <c r="O11" s="33"/>
      <c r="P11" s="33"/>
      <c r="R11" s="32"/>
    </row>
    <row r="12" spans="1:18">
      <c r="A12" s="6" t="s">
        <v>37</v>
      </c>
      <c r="B12" s="37">
        <f t="shared" si="0"/>
        <v>192.049047160736</v>
      </c>
      <c r="C12" s="33"/>
      <c r="D12" s="37">
        <f>IF( ISERROR(IND_min_gas_kWh/1000),0,IND_min_gas_kWh/1000)*0.902</f>
        <v>0</v>
      </c>
      <c r="E12" s="33">
        <f>C34*'E Balans VL '!I22/100/3.6*1000000</f>
        <v>5.5667110837168448</v>
      </c>
      <c r="F12" s="33">
        <f>C34*'E Balans VL '!L22/100/3.6*1000000+C34*'E Balans VL '!N22/100/3.6*1000000</f>
        <v>66.028632616461465</v>
      </c>
      <c r="G12" s="34"/>
      <c r="H12" s="33"/>
      <c r="I12" s="33"/>
      <c r="J12" s="40">
        <f>C34*'E Balans VL '!D22/100/3.6*1000000+C34*'E Balans VL '!E22/100/3.6*1000000</f>
        <v>0.31559445760219762</v>
      </c>
      <c r="K12" s="33"/>
      <c r="L12" s="33"/>
      <c r="M12" s="33"/>
      <c r="N12" s="33">
        <f>C34*'E Balans VL '!Y22/100/3.6*1000000</f>
        <v>42.042692421418032</v>
      </c>
      <c r="O12" s="33"/>
      <c r="P12" s="33"/>
      <c r="R12" s="32"/>
    </row>
    <row r="13" spans="1:18">
      <c r="A13" s="6" t="s">
        <v>39</v>
      </c>
      <c r="B13" s="37">
        <f t="shared" si="0"/>
        <v>650.92624469539896</v>
      </c>
      <c r="C13" s="33"/>
      <c r="D13" s="37">
        <f>IF( ISERROR(IND_papier_gas_kWh/1000),0,IND_papier_gas_kWh/1000)*0.902</f>
        <v>72.763905985689362</v>
      </c>
      <c r="E13" s="33">
        <f>C35*'E Balans VL '!I23/100/3.6*1000000</f>
        <v>0.92351547554625069</v>
      </c>
      <c r="F13" s="33">
        <f>C35*'E Balans VL '!L23/100/3.6*1000000+C35*'E Balans VL '!N23/100/3.6*1000000</f>
        <v>15.891557273504921</v>
      </c>
      <c r="G13" s="34"/>
      <c r="H13" s="33"/>
      <c r="I13" s="33"/>
      <c r="J13" s="40">
        <f>C35*'E Balans VL '!D23/100/3.6*1000000+C35*'E Balans VL '!E23/100/3.6*1000000</f>
        <v>0.10067185501013377</v>
      </c>
      <c r="K13" s="33"/>
      <c r="L13" s="33"/>
      <c r="M13" s="33"/>
      <c r="N13" s="33">
        <f>C35*'E Balans VL '!Y23/100/3.6*1000000</f>
        <v>1892.0885085038494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31965.201285417901</v>
      </c>
      <c r="C15" s="33"/>
      <c r="D15" s="37">
        <f>IF( ISERROR(IND_rest_gas_kWh/1000),0,IND_rest_gas_kWh/1000)*0.902</f>
        <v>17459.643485624885</v>
      </c>
      <c r="E15" s="33">
        <f>C37*'E Balans VL '!I15/100/3.6*1000000</f>
        <v>1764.9886766598579</v>
      </c>
      <c r="F15" s="33">
        <f>C37*'E Balans VL '!L15/100/3.6*1000000+C37*'E Balans VL '!N15/100/3.6*1000000</f>
        <v>6331.3496398284778</v>
      </c>
      <c r="G15" s="34"/>
      <c r="H15" s="33"/>
      <c r="I15" s="33"/>
      <c r="J15" s="40">
        <f>C37*'E Balans VL '!D15/100/3.6*1000000+C37*'E Balans VL '!E15/100/3.6*1000000</f>
        <v>114.434812763427</v>
      </c>
      <c r="K15" s="33"/>
      <c r="L15" s="33"/>
      <c r="M15" s="33"/>
      <c r="N15" s="33">
        <f>C37*'E Balans VL '!Y15/100/3.6*1000000</f>
        <v>7170.296393067958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42075.860118382137</v>
      </c>
      <c r="C18" s="21">
        <f>C5+C16</f>
        <v>0</v>
      </c>
      <c r="D18" s="21">
        <f>MAX((D5+D16),0)</f>
        <v>26853.106594354715</v>
      </c>
      <c r="E18" s="21">
        <f>MAX((E5+E16),0)</f>
        <v>3148.3216338885259</v>
      </c>
      <c r="F18" s="21">
        <f>MAX((F5+F16),0)</f>
        <v>10518.417132112199</v>
      </c>
      <c r="G18" s="21"/>
      <c r="H18" s="21"/>
      <c r="I18" s="21"/>
      <c r="J18" s="21">
        <f>MAX((J5+J16),0)</f>
        <v>114.85107907603934</v>
      </c>
      <c r="K18" s="21"/>
      <c r="L18" s="21">
        <f>MAX((L5+L16),0)</f>
        <v>0</v>
      </c>
      <c r="M18" s="21"/>
      <c r="N18" s="21">
        <f>MAX((N5+N16),0)</f>
        <v>10842.855570277741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0.19337416168088434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8136.3841773943004</v>
      </c>
      <c r="C22" s="23">
        <f ca="1">C18*C20</f>
        <v>0</v>
      </c>
      <c r="D22" s="23">
        <f>D18*D20</f>
        <v>5424.3275320596531</v>
      </c>
      <c r="E22" s="23">
        <f>E18*E20</f>
        <v>714.66901089269538</v>
      </c>
      <c r="F22" s="23">
        <f>F18*F20</f>
        <v>2808.4173742739572</v>
      </c>
      <c r="G22" s="23"/>
      <c r="H22" s="23"/>
      <c r="I22" s="23"/>
      <c r="J22" s="23">
        <f>J18*J20</f>
        <v>40.657281992917923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1798.1145614601398</v>
      </c>
      <c r="C30" s="39">
        <f>IF(ISERROR(B30*3.6/1000000/'E Balans VL '!Z18*100),0,B30*3.6/1000000/'E Balans VL '!Z18*100)</f>
        <v>0.10190376286524165</v>
      </c>
      <c r="D30" s="237" t="s">
        <v>754</v>
      </c>
    </row>
    <row r="31" spans="1:18">
      <c r="A31" s="6" t="s">
        <v>33</v>
      </c>
      <c r="B31" s="37">
        <f>IF( ISERROR(IND_ander_ele_kWh/1000),0,IND_ander_ele_kWh/1000)</f>
        <v>4630.2040245891403</v>
      </c>
      <c r="C31" s="39">
        <f>IF(ISERROR(B31*3.6/1000000/'E Balans VL '!Z19*100),0,B31*3.6/1000000/'E Balans VL '!Z19*100)</f>
        <v>0.21000677472136461</v>
      </c>
      <c r="D31" s="237" t="s">
        <v>754</v>
      </c>
    </row>
    <row r="32" spans="1:18">
      <c r="A32" s="171" t="s">
        <v>41</v>
      </c>
      <c r="B32" s="37">
        <f>IF( ISERROR(IND_voed_ele_kWh/1000),0,IND_voed_ele_kWh/1000)</f>
        <v>1896.82150937914</v>
      </c>
      <c r="C32" s="39">
        <f>IF(ISERROR(B32*3.6/1000000/'E Balans VL '!Z20*100),0,B32*3.6/1000000/'E Balans VL '!Z20*100)</f>
        <v>5.8677300127688632E-2</v>
      </c>
      <c r="D32" s="237" t="s">
        <v>754</v>
      </c>
    </row>
    <row r="33" spans="1:5">
      <c r="A33" s="171" t="s">
        <v>40</v>
      </c>
      <c r="B33" s="37">
        <f>IF( ISERROR(IND_textiel_ele_kWh/1000),0,IND_textiel_ele_kWh/1000)</f>
        <v>942.54344567968099</v>
      </c>
      <c r="C33" s="39">
        <f>IF(ISERROR(B33*3.6/1000000/'E Balans VL '!Z21*100),0,B33*3.6/1000000/'E Balans VL '!Z21*100)</f>
        <v>0.1228971884127463</v>
      </c>
      <c r="D33" s="237" t="s">
        <v>754</v>
      </c>
    </row>
    <row r="34" spans="1:5">
      <c r="A34" s="171" t="s">
        <v>37</v>
      </c>
      <c r="B34" s="37">
        <f>IF( ISERROR(IND_min_ele_kWh/1000),0,IND_min_ele_kWh/1000)</f>
        <v>192.049047160736</v>
      </c>
      <c r="C34" s="39">
        <f>IF(ISERROR(B34*3.6/1000000/'E Balans VL '!Z22*100),0,B34*3.6/1000000/'E Balans VL '!Z22*100)</f>
        <v>3.4543631722952751E-2</v>
      </c>
      <c r="D34" s="237" t="s">
        <v>754</v>
      </c>
    </row>
    <row r="35" spans="1:5">
      <c r="A35" s="171" t="s">
        <v>39</v>
      </c>
      <c r="B35" s="37">
        <f>IF( ISERROR(IND_papier_ele_kWh/1000),0,IND_papier_ele_kWh/1000)</f>
        <v>650.92624469539896</v>
      </c>
      <c r="C35" s="39">
        <f>IF(ISERROR(B35*3.6/1000000/'E Balans VL '!Z22*100),0,B35*3.6/1000000/'E Balans VL '!Z22*100)</f>
        <v>0.11708132275576098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31965.201285417901</v>
      </c>
      <c r="C37" s="39">
        <f>IF(ISERROR(B37*3.6/1000000/'E Balans VL '!Z15*100),0,B37*3.6/1000000/'E Balans VL '!Z15*100)</f>
        <v>0.25336347718764507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1493.6406144741031</v>
      </c>
      <c r="C5" s="17">
        <f>'Eigen informatie GS &amp; warmtenet'!B60</f>
        <v>0</v>
      </c>
      <c r="D5" s="30">
        <f>IF(ISERROR(SUM(LB_lb_gas_kWh,LB_rest_gas_kWh,onbekend_gas_kWh)/1000),0,SUM(LB_lb_gas_kWh,LB_rest_gas_kWh,onbekend_gas_kWh)/1000)*0.902</f>
        <v>6063.1867042392305</v>
      </c>
      <c r="E5" s="17">
        <f>B17*'E Balans VL '!I25/3.6*1000000/100</f>
        <v>43.902659764395487</v>
      </c>
      <c r="F5" s="17">
        <f>B17*('E Balans VL '!L25/3.6*1000000+'E Balans VL '!N25/3.6*1000000)/100</f>
        <v>6222.4260877966963</v>
      </c>
      <c r="G5" s="18"/>
      <c r="H5" s="17"/>
      <c r="I5" s="17"/>
      <c r="J5" s="17">
        <f>('E Balans VL '!D25+'E Balans VL '!E25)/3.6*1000000*landbouw!B17/100</f>
        <v>216.3964487379279</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1493.6406144741031</v>
      </c>
      <c r="C8" s="21">
        <f>C5+C6</f>
        <v>62.357142857142847</v>
      </c>
      <c r="D8" s="21">
        <f>MAX((D5+D6),0)</f>
        <v>6063.1867042392305</v>
      </c>
      <c r="E8" s="21">
        <f>MAX((E5+E6),0)</f>
        <v>43.902659764395487</v>
      </c>
      <c r="F8" s="21">
        <f>MAX((F5+F6),0)</f>
        <v>6222.4260877966963</v>
      </c>
      <c r="G8" s="21"/>
      <c r="H8" s="21"/>
      <c r="I8" s="21"/>
      <c r="J8" s="21">
        <f>MAX((J5+J6),0)</f>
        <v>216.3964487379279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0.19337416168088434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288.83150167645067</v>
      </c>
      <c r="C12" s="23">
        <f ca="1">C8*C10</f>
        <v>0</v>
      </c>
      <c r="D12" s="23">
        <f>D8*D10</f>
        <v>1224.7637142563246</v>
      </c>
      <c r="E12" s="23">
        <f>E8*E10</f>
        <v>9.9659037665177763</v>
      </c>
      <c r="F12" s="23">
        <f>F8*F10</f>
        <v>1661.3877654417181</v>
      </c>
      <c r="G12" s="23"/>
      <c r="H12" s="23"/>
      <c r="I12" s="23"/>
      <c r="J12" s="23">
        <f>J8*J10</f>
        <v>76.60434285322647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0.21195228934838997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380.11719962282984</v>
      </c>
      <c r="C26" s="247">
        <f>B26*'GWP N2O_CH4'!B5</f>
        <v>7982.4611920794268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120.9871268803216</v>
      </c>
      <c r="C27" s="247">
        <f>B27*'GWP N2O_CH4'!B5</f>
        <v>2540.7296644867533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4.9640876856578782</v>
      </c>
      <c r="C28" s="247">
        <f>B28*'GWP N2O_CH4'!B4</f>
        <v>1538.8671825539423</v>
      </c>
      <c r="D28" s="50"/>
    </row>
    <row r="29" spans="1:4">
      <c r="A29" s="41" t="s">
        <v>277</v>
      </c>
      <c r="B29" s="247">
        <f>B34*'ha_N2O bodem landbouw'!B4</f>
        <v>11.967188189781309</v>
      </c>
      <c r="C29" s="247">
        <f>B29*'GWP N2O_CH4'!B4</f>
        <v>3709.8283388322056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2.7308711041429115E-3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4.501429022958698E-4</v>
      </c>
      <c r="C5" s="463" t="s">
        <v>211</v>
      </c>
      <c r="D5" s="448">
        <f>SUM(D6:D11)</f>
        <v>1.646529952813917E-3</v>
      </c>
      <c r="E5" s="448">
        <f>SUM(E6:E11)</f>
        <v>2.3756545466275328E-3</v>
      </c>
      <c r="F5" s="461" t="s">
        <v>211</v>
      </c>
      <c r="G5" s="448">
        <f>SUM(G6:G11)</f>
        <v>1.0122778532804482</v>
      </c>
      <c r="H5" s="448">
        <f>SUM(H6:H11)</f>
        <v>0.18806087317743081</v>
      </c>
      <c r="I5" s="463" t="s">
        <v>211</v>
      </c>
      <c r="J5" s="463" t="s">
        <v>211</v>
      </c>
      <c r="K5" s="463" t="s">
        <v>211</v>
      </c>
      <c r="L5" s="463" t="s">
        <v>211</v>
      </c>
      <c r="M5" s="448">
        <f>SUM(M6:M11)</f>
        <v>6.4724806917231467E-2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1.5417088635904369E-4</v>
      </c>
      <c r="C6" s="449"/>
      <c r="D6" s="962">
        <f>vkm_2011_GW_PW*SUMIFS(TableVerdeelsleutelVkm[CNG],TableVerdeelsleutelVkm[Voertuigtype],"Lichte voertuigen")*SUMIFS(TableECFTransport[EnergieConsumptieFactor (PJ per km)],TableECFTransport[Index],CONCATENATE($A6,"_CNG_CNG"))</f>
        <v>4.6242417303713851E-4</v>
      </c>
      <c r="E6" s="962">
        <f>vkm_2011_GW_PW*SUMIFS(TableVerdeelsleutelVkm[LPG],TableVerdeelsleutelVkm[Voertuigtype],"Lichte voertuigen")*SUMIFS(TableECFTransport[EnergieConsumptieFactor (PJ per km)],TableECFTransport[Index],CONCATENATE($A6,"_LPG_LPG"))</f>
        <v>6.3173784432766545E-4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0.16333844723024485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5.258622951034133E-2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1.1103723373066393E-2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0.11048212736412354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3.366681784337567E-5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6.456208667188235E-3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1.1636847116391231E-4</v>
      </c>
      <c r="C8" s="449"/>
      <c r="D8" s="451">
        <f>vkm_2011_NGW_PW*SUMIFS(TableVerdeelsleutelVkm[CNG],TableVerdeelsleutelVkm[Voertuigtype],"Lichte voertuigen")*SUMIFS(TableECFTransport[EnergieConsumptieFactor (PJ per km)],TableECFTransport[Index],CONCATENATE($A8,"_CNG_CNG"))</f>
        <v>6.2059458364284946E-4</v>
      </c>
      <c r="E8" s="451">
        <f>vkm_2011_NGW_PW*SUMIFS(TableVerdeelsleutelVkm[LPG],TableVerdeelsleutelVkm[Voertuigtype],"Lichte voertuigen")*SUMIFS(TableECFTransport[EnergieConsumptieFactor (PJ per km)],TableECFTransport[Index],CONCATENATE($A8,"_LPG_LPG"))</f>
        <v>7.8517877125868418E-4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0.1891849926348691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6.8581641499702306E-2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1.3088462966350608E-2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4.7332644724638856E-2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1.3578483359180382E-5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2.7659375176724999E-3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1.7960354477291384E-4</v>
      </c>
      <c r="C10" s="449"/>
      <c r="D10" s="451">
        <f>vkm_2011_SW_PW*SUMIFS(TableVerdeelsleutelVkm[CNG],TableVerdeelsleutelVkm[Voertuigtype],"Lichte voertuigen")*SUMIFS(TableECFTransport[EnergieConsumptieFactor (PJ per km)],TableECFTransport[Index],CONCATENATE($A10,"_CNG_CNG"))</f>
        <v>5.6351119613392902E-4</v>
      </c>
      <c r="E10" s="451">
        <f>vkm_2011_SW_PW*SUMIFS(TableVerdeelsleutelVkm[LPG],TableVerdeelsleutelVkm[Voertuigtype],"Lichte voertuigen")*SUMIFS(TableECFTransport[EnergieConsumptieFactor (PJ per km)],TableECFTransport[Index],CONCATENATE($A10,"_LPG_LPG"))</f>
        <v>9.5873793104118326E-4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0.22099126531520996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6.6753304912258712E-2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1.4892581256593127E-2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0.28094837601136191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9.2451953925913344E-5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1.6417893136360603E-2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125.03969508218604</v>
      </c>
      <c r="C14" s="21"/>
      <c r="D14" s="21">
        <f t="shared" ref="D14:M14" si="0">((D5)*10^9/3600)+D12</f>
        <v>457.36943133719916</v>
      </c>
      <c r="E14" s="21">
        <f t="shared" si="0"/>
        <v>659.90404072987019</v>
      </c>
      <c r="F14" s="21"/>
      <c r="G14" s="21">
        <f t="shared" si="0"/>
        <v>281188.29257790226</v>
      </c>
      <c r="H14" s="21">
        <f t="shared" si="0"/>
        <v>52239.131438175224</v>
      </c>
      <c r="I14" s="21"/>
      <c r="J14" s="21"/>
      <c r="K14" s="21"/>
      <c r="L14" s="21"/>
      <c r="M14" s="21">
        <f t="shared" si="0"/>
        <v>17979.113032564299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0.19337416168088434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24.17944621335112</v>
      </c>
      <c r="C18" s="23"/>
      <c r="D18" s="23">
        <f t="shared" ref="D18:M18" si="1">D14*D16</f>
        <v>92.388625130114235</v>
      </c>
      <c r="E18" s="23">
        <f t="shared" si="1"/>
        <v>149.79821724568055</v>
      </c>
      <c r="F18" s="23"/>
      <c r="G18" s="23">
        <f t="shared" si="1"/>
        <v>75077.274118299902</v>
      </c>
      <c r="H18" s="23">
        <f t="shared" si="1"/>
        <v>13007.543728105631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8.1940416851797159E-3</v>
      </c>
      <c r="H50" s="321">
        <f t="shared" si="2"/>
        <v>0</v>
      </c>
      <c r="I50" s="321">
        <f t="shared" si="2"/>
        <v>0</v>
      </c>
      <c r="J50" s="321">
        <f t="shared" si="2"/>
        <v>0</v>
      </c>
      <c r="K50" s="321">
        <f t="shared" si="2"/>
        <v>0</v>
      </c>
      <c r="L50" s="321">
        <f t="shared" si="2"/>
        <v>0</v>
      </c>
      <c r="M50" s="321">
        <f t="shared" si="2"/>
        <v>4.6538539449529018E-4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8.1940416851797159E-3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4.6538539449529018E-4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2276.1226903276988</v>
      </c>
      <c r="H54" s="21">
        <f t="shared" si="3"/>
        <v>0</v>
      </c>
      <c r="I54" s="21">
        <f t="shared" si="3"/>
        <v>0</v>
      </c>
      <c r="J54" s="21">
        <f t="shared" si="3"/>
        <v>0</v>
      </c>
      <c r="K54" s="21">
        <f t="shared" si="3"/>
        <v>0</v>
      </c>
      <c r="L54" s="21">
        <f t="shared" si="3"/>
        <v>0</v>
      </c>
      <c r="M54" s="21">
        <f t="shared" si="3"/>
        <v>129.27372069313617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0.19337416168088434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607.72475831749557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16652.423020730334</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16696.073020730335</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46025</v>
      </c>
      <c r="C27" s="851">
        <v>9140</v>
      </c>
      <c r="D27" s="672" t="s">
        <v>844</v>
      </c>
      <c r="E27" s="671" t="s">
        <v>845</v>
      </c>
      <c r="F27" s="671" t="s">
        <v>846</v>
      </c>
      <c r="G27" s="671" t="s">
        <v>847</v>
      </c>
      <c r="H27" s="671" t="s">
        <v>848</v>
      </c>
      <c r="I27" s="671" t="s">
        <v>845</v>
      </c>
      <c r="J27" s="850">
        <v>41158</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41008.709258237279</v>
      </c>
      <c r="D10" s="718">
        <f ca="1">tertiair!C16</f>
        <v>0</v>
      </c>
      <c r="E10" s="718">
        <f ca="1">tertiair!D16</f>
        <v>45134.078703074607</v>
      </c>
      <c r="F10" s="718">
        <f>tertiair!E16</f>
        <v>633.10430177198089</v>
      </c>
      <c r="G10" s="718">
        <f ca="1">tertiair!F16</f>
        <v>6974.773810102577</v>
      </c>
      <c r="H10" s="718">
        <f>tertiair!G16</f>
        <v>0</v>
      </c>
      <c r="I10" s="718">
        <f>tertiair!H16</f>
        <v>0</v>
      </c>
      <c r="J10" s="718">
        <f>tertiair!I16</f>
        <v>0</v>
      </c>
      <c r="K10" s="718">
        <f>tertiair!J16</f>
        <v>8.6382372115842501E-2</v>
      </c>
      <c r="L10" s="718">
        <f>tertiair!K16</f>
        <v>0</v>
      </c>
      <c r="M10" s="718">
        <f ca="1">tertiair!L16</f>
        <v>0</v>
      </c>
      <c r="N10" s="718">
        <f>tertiair!M16</f>
        <v>0</v>
      </c>
      <c r="O10" s="718">
        <f ca="1">tertiair!N16</f>
        <v>3443.9527360323386</v>
      </c>
      <c r="P10" s="718">
        <f>tertiair!O16</f>
        <v>4.6900000000000004</v>
      </c>
      <c r="Q10" s="719">
        <f>tertiair!P16</f>
        <v>38.133333333333333</v>
      </c>
      <c r="R10" s="721">
        <f ca="1">SUM(C10:Q10)</f>
        <v>97237.52852492423</v>
      </c>
      <c r="S10" s="67"/>
    </row>
    <row r="11" spans="1:19" s="474" customFormat="1">
      <c r="A11" s="870" t="s">
        <v>225</v>
      </c>
      <c r="B11" s="875"/>
      <c r="C11" s="718">
        <f>huishoudens!B8</f>
        <v>48861.281277875809</v>
      </c>
      <c r="D11" s="718">
        <f>huishoudens!C8</f>
        <v>0</v>
      </c>
      <c r="E11" s="718">
        <f>huishoudens!D8</f>
        <v>122967.4784440412</v>
      </c>
      <c r="F11" s="718">
        <f>huishoudens!E8</f>
        <v>5432.7165497681626</v>
      </c>
      <c r="G11" s="718">
        <f>huishoudens!F8</f>
        <v>0</v>
      </c>
      <c r="H11" s="718">
        <f>huishoudens!G8</f>
        <v>0</v>
      </c>
      <c r="I11" s="718">
        <f>huishoudens!H8</f>
        <v>0</v>
      </c>
      <c r="J11" s="718">
        <f>huishoudens!I8</f>
        <v>0</v>
      </c>
      <c r="K11" s="718">
        <f>huishoudens!J8</f>
        <v>2055.677062207717</v>
      </c>
      <c r="L11" s="718">
        <f>huishoudens!K8</f>
        <v>0</v>
      </c>
      <c r="M11" s="718">
        <f>huishoudens!L8</f>
        <v>0</v>
      </c>
      <c r="N11" s="718">
        <f>huishoudens!M8</f>
        <v>0</v>
      </c>
      <c r="O11" s="718">
        <f>huishoudens!N8</f>
        <v>22844.384442772116</v>
      </c>
      <c r="P11" s="718">
        <f>huishoudens!O8</f>
        <v>331.42666666666673</v>
      </c>
      <c r="Q11" s="719">
        <f>huishoudens!P8</f>
        <v>1410.9333333333334</v>
      </c>
      <c r="R11" s="721">
        <f>SUM(C11:Q11)</f>
        <v>203903.89777666499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42075.860118382137</v>
      </c>
      <c r="D13" s="718">
        <f>industrie!C18</f>
        <v>0</v>
      </c>
      <c r="E13" s="718">
        <f>industrie!D18</f>
        <v>26853.106594354715</v>
      </c>
      <c r="F13" s="718">
        <f>industrie!E18</f>
        <v>3148.3216338885259</v>
      </c>
      <c r="G13" s="718">
        <f>industrie!F18</f>
        <v>10518.417132112199</v>
      </c>
      <c r="H13" s="718">
        <f>industrie!G18</f>
        <v>0</v>
      </c>
      <c r="I13" s="718">
        <f>industrie!H18</f>
        <v>0</v>
      </c>
      <c r="J13" s="718">
        <f>industrie!I18</f>
        <v>0</v>
      </c>
      <c r="K13" s="718">
        <f>industrie!J18</f>
        <v>114.85107907603934</v>
      </c>
      <c r="L13" s="718">
        <f>industrie!K18</f>
        <v>0</v>
      </c>
      <c r="M13" s="718">
        <f>industrie!L18</f>
        <v>0</v>
      </c>
      <c r="N13" s="718">
        <f>industrie!M18</f>
        <v>0</v>
      </c>
      <c r="O13" s="718">
        <f>industrie!N18</f>
        <v>10842.855570277741</v>
      </c>
      <c r="P13" s="718">
        <f>industrie!O18</f>
        <v>0</v>
      </c>
      <c r="Q13" s="719">
        <f>industrie!P18</f>
        <v>0</v>
      </c>
      <c r="R13" s="721">
        <f>SUM(C13:Q13)</f>
        <v>93553.412128091339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131945.85065449524</v>
      </c>
      <c r="D15" s="723">
        <f t="shared" ref="D15:Q15" ca="1" si="0">SUM(D9:D14)</f>
        <v>0</v>
      </c>
      <c r="E15" s="723">
        <f t="shared" ca="1" si="0"/>
        <v>194954.66374147055</v>
      </c>
      <c r="F15" s="723">
        <f t="shared" si="0"/>
        <v>9214.1424854286706</v>
      </c>
      <c r="G15" s="723">
        <f t="shared" ca="1" si="0"/>
        <v>17493.190942214776</v>
      </c>
      <c r="H15" s="723">
        <f t="shared" si="0"/>
        <v>0</v>
      </c>
      <c r="I15" s="723">
        <f t="shared" si="0"/>
        <v>0</v>
      </c>
      <c r="J15" s="723">
        <f t="shared" si="0"/>
        <v>0</v>
      </c>
      <c r="K15" s="723">
        <f t="shared" si="0"/>
        <v>2170.6145236558718</v>
      </c>
      <c r="L15" s="723">
        <f t="shared" si="0"/>
        <v>0</v>
      </c>
      <c r="M15" s="723">
        <f t="shared" ca="1" si="0"/>
        <v>0</v>
      </c>
      <c r="N15" s="723">
        <f t="shared" si="0"/>
        <v>0</v>
      </c>
      <c r="O15" s="723">
        <f t="shared" ca="1" si="0"/>
        <v>37131.192749082198</v>
      </c>
      <c r="P15" s="723">
        <f t="shared" si="0"/>
        <v>336.11666666666673</v>
      </c>
      <c r="Q15" s="724">
        <f t="shared" si="0"/>
        <v>1449.0666666666668</v>
      </c>
      <c r="R15" s="725">
        <f ca="1">SUM(R9:R14)</f>
        <v>394694.83842968056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2276.1226903276988</v>
      </c>
      <c r="I18" s="718">
        <f>transport!H54</f>
        <v>0</v>
      </c>
      <c r="J18" s="718">
        <f>transport!I54</f>
        <v>0</v>
      </c>
      <c r="K18" s="718">
        <f>transport!J54</f>
        <v>0</v>
      </c>
      <c r="L18" s="718">
        <f>transport!K54</f>
        <v>0</v>
      </c>
      <c r="M18" s="718">
        <f>transport!L54</f>
        <v>0</v>
      </c>
      <c r="N18" s="718">
        <f>transport!M54</f>
        <v>129.27372069313617</v>
      </c>
      <c r="O18" s="718">
        <f>transport!N54</f>
        <v>0</v>
      </c>
      <c r="P18" s="718">
        <f>transport!O54</f>
        <v>0</v>
      </c>
      <c r="Q18" s="719">
        <f>transport!P54</f>
        <v>0</v>
      </c>
      <c r="R18" s="721">
        <f>SUM(C18:Q18)</f>
        <v>2405.3964110208349</v>
      </c>
      <c r="S18" s="67"/>
    </row>
    <row r="19" spans="1:19" s="474" customFormat="1" ht="15" thickBot="1">
      <c r="A19" s="870" t="s">
        <v>307</v>
      </c>
      <c r="B19" s="875"/>
      <c r="C19" s="727">
        <f>transport!B14</f>
        <v>125.03969508218604</v>
      </c>
      <c r="D19" s="727">
        <f>transport!C14</f>
        <v>0</v>
      </c>
      <c r="E19" s="727">
        <f>transport!D14</f>
        <v>457.36943133719916</v>
      </c>
      <c r="F19" s="727">
        <f>transport!E14</f>
        <v>659.90404072987019</v>
      </c>
      <c r="G19" s="727">
        <f>transport!F14</f>
        <v>0</v>
      </c>
      <c r="H19" s="727">
        <f>transport!G14</f>
        <v>281188.29257790226</v>
      </c>
      <c r="I19" s="727">
        <f>transport!H14</f>
        <v>52239.131438175224</v>
      </c>
      <c r="J19" s="727">
        <f>transport!I14</f>
        <v>0</v>
      </c>
      <c r="K19" s="727">
        <f>transport!J14</f>
        <v>0</v>
      </c>
      <c r="L19" s="727">
        <f>transport!K14</f>
        <v>0</v>
      </c>
      <c r="M19" s="727">
        <f>transport!L14</f>
        <v>0</v>
      </c>
      <c r="N19" s="727">
        <f>transport!M14</f>
        <v>17979.113032564299</v>
      </c>
      <c r="O19" s="727">
        <f>transport!N14</f>
        <v>0</v>
      </c>
      <c r="P19" s="727">
        <f>transport!O14</f>
        <v>0</v>
      </c>
      <c r="Q19" s="728">
        <f>transport!P14</f>
        <v>0</v>
      </c>
      <c r="R19" s="729">
        <f>SUM(C19:Q19)</f>
        <v>352648.85021579103</v>
      </c>
      <c r="S19" s="67"/>
    </row>
    <row r="20" spans="1:19" s="474" customFormat="1" ht="15.75" thickBot="1">
      <c r="A20" s="730" t="s">
        <v>230</v>
      </c>
      <c r="B20" s="878"/>
      <c r="C20" s="873">
        <f>SUM(C17:C19)</f>
        <v>125.03969508218604</v>
      </c>
      <c r="D20" s="731">
        <f t="shared" ref="D20:R20" si="1">SUM(D17:D19)</f>
        <v>0</v>
      </c>
      <c r="E20" s="731">
        <f t="shared" si="1"/>
        <v>457.36943133719916</v>
      </c>
      <c r="F20" s="731">
        <f t="shared" si="1"/>
        <v>659.90404072987019</v>
      </c>
      <c r="G20" s="731">
        <f t="shared" si="1"/>
        <v>0</v>
      </c>
      <c r="H20" s="731">
        <f t="shared" si="1"/>
        <v>283464.41526822996</v>
      </c>
      <c r="I20" s="731">
        <f t="shared" si="1"/>
        <v>52239.131438175224</v>
      </c>
      <c r="J20" s="731">
        <f t="shared" si="1"/>
        <v>0</v>
      </c>
      <c r="K20" s="731">
        <f t="shared" si="1"/>
        <v>0</v>
      </c>
      <c r="L20" s="731">
        <f t="shared" si="1"/>
        <v>0</v>
      </c>
      <c r="M20" s="731">
        <f t="shared" si="1"/>
        <v>0</v>
      </c>
      <c r="N20" s="731">
        <f t="shared" si="1"/>
        <v>18108.386753257437</v>
      </c>
      <c r="O20" s="731">
        <f t="shared" si="1"/>
        <v>0</v>
      </c>
      <c r="P20" s="731">
        <f t="shared" si="1"/>
        <v>0</v>
      </c>
      <c r="Q20" s="732">
        <f t="shared" si="1"/>
        <v>0</v>
      </c>
      <c r="R20" s="733">
        <f t="shared" si="1"/>
        <v>355054.24662681186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1493.6406144741031</v>
      </c>
      <c r="D22" s="727">
        <f>+landbouw!C8</f>
        <v>62.357142857142847</v>
      </c>
      <c r="E22" s="727">
        <f>+landbouw!D8</f>
        <v>6063.1867042392305</v>
      </c>
      <c r="F22" s="727">
        <f>+landbouw!E8</f>
        <v>43.902659764395487</v>
      </c>
      <c r="G22" s="727">
        <f>+landbouw!F8</f>
        <v>6222.4260877966963</v>
      </c>
      <c r="H22" s="727">
        <f>+landbouw!G8</f>
        <v>0</v>
      </c>
      <c r="I22" s="727">
        <f>+landbouw!H8</f>
        <v>0</v>
      </c>
      <c r="J22" s="727">
        <f>+landbouw!I8</f>
        <v>0</v>
      </c>
      <c r="K22" s="727">
        <f>+landbouw!J8</f>
        <v>216.3964487379279</v>
      </c>
      <c r="L22" s="727">
        <f>+landbouw!K8</f>
        <v>0</v>
      </c>
      <c r="M22" s="727">
        <f>+landbouw!L8</f>
        <v>0</v>
      </c>
      <c r="N22" s="727">
        <f>+landbouw!M8</f>
        <v>0</v>
      </c>
      <c r="O22" s="727">
        <f>+landbouw!N8</f>
        <v>0</v>
      </c>
      <c r="P22" s="727">
        <f>+landbouw!O8</f>
        <v>0</v>
      </c>
      <c r="Q22" s="728">
        <f>+landbouw!P8</f>
        <v>0</v>
      </c>
      <c r="R22" s="729">
        <f>SUM(C22:Q22)</f>
        <v>14101.909657869495</v>
      </c>
      <c r="S22" s="67"/>
    </row>
    <row r="23" spans="1:19" s="474" customFormat="1" ht="17.25" thickTop="1" thickBot="1">
      <c r="A23" s="734" t="s">
        <v>116</v>
      </c>
      <c r="B23" s="864"/>
      <c r="C23" s="735">
        <f ca="1">C20+C15+C22</f>
        <v>133564.53096405152</v>
      </c>
      <c r="D23" s="735">
        <f t="shared" ref="D23:Q23" ca="1" si="2">D20+D15+D22</f>
        <v>62.357142857142847</v>
      </c>
      <c r="E23" s="735">
        <f t="shared" ca="1" si="2"/>
        <v>201475.21987704697</v>
      </c>
      <c r="F23" s="735">
        <f t="shared" si="2"/>
        <v>9917.9491859229365</v>
      </c>
      <c r="G23" s="735">
        <f t="shared" ca="1" si="2"/>
        <v>23715.617030011472</v>
      </c>
      <c r="H23" s="735">
        <f t="shared" si="2"/>
        <v>283464.41526822996</v>
      </c>
      <c r="I23" s="735">
        <f t="shared" si="2"/>
        <v>52239.131438175224</v>
      </c>
      <c r="J23" s="735">
        <f t="shared" si="2"/>
        <v>0</v>
      </c>
      <c r="K23" s="735">
        <f t="shared" si="2"/>
        <v>2387.0109723937999</v>
      </c>
      <c r="L23" s="735">
        <f t="shared" si="2"/>
        <v>0</v>
      </c>
      <c r="M23" s="735">
        <f t="shared" ca="1" si="2"/>
        <v>0</v>
      </c>
      <c r="N23" s="735">
        <f t="shared" si="2"/>
        <v>18108.386753257437</v>
      </c>
      <c r="O23" s="735">
        <f t="shared" ca="1" si="2"/>
        <v>37131.192749082198</v>
      </c>
      <c r="P23" s="735">
        <f t="shared" si="2"/>
        <v>336.11666666666673</v>
      </c>
      <c r="Q23" s="736">
        <f t="shared" si="2"/>
        <v>1449.0666666666668</v>
      </c>
      <c r="R23" s="737">
        <f ca="1">R20+R15+R22</f>
        <v>763850.99471436185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7930.0247744267544</v>
      </c>
      <c r="D36" s="718">
        <f ca="1">tertiair!C20</f>
        <v>0</v>
      </c>
      <c r="E36" s="718">
        <f ca="1">tertiair!D20</f>
        <v>9117.0838980210719</v>
      </c>
      <c r="F36" s="718">
        <f>tertiair!E20</f>
        <v>143.71467650223966</v>
      </c>
      <c r="G36" s="718">
        <f ca="1">tertiair!F20</f>
        <v>1862.2646072973882</v>
      </c>
      <c r="H36" s="718">
        <f>tertiair!G20</f>
        <v>0</v>
      </c>
      <c r="I36" s="718">
        <f>tertiair!H20</f>
        <v>0</v>
      </c>
      <c r="J36" s="718">
        <f>tertiair!I20</f>
        <v>0</v>
      </c>
      <c r="K36" s="718">
        <f>tertiair!J20</f>
        <v>3.0579359729008243E-2</v>
      </c>
      <c r="L36" s="718">
        <f>tertiair!K20</f>
        <v>0</v>
      </c>
      <c r="M36" s="718">
        <f ca="1">tertiair!L20</f>
        <v>0</v>
      </c>
      <c r="N36" s="718">
        <f>tertiair!M20</f>
        <v>0</v>
      </c>
      <c r="O36" s="718">
        <f ca="1">tertiair!N20</f>
        <v>0</v>
      </c>
      <c r="P36" s="718">
        <f>tertiair!O20</f>
        <v>0</v>
      </c>
      <c r="Q36" s="828">
        <f>tertiair!P20</f>
        <v>0</v>
      </c>
      <c r="R36" s="917">
        <f ca="1">SUM(C36:Q36)</f>
        <v>19053.118535607184</v>
      </c>
    </row>
    <row r="37" spans="1:18">
      <c r="A37" s="885" t="s">
        <v>225</v>
      </c>
      <c r="B37" s="892"/>
      <c r="C37" s="718">
        <f ca="1">huishoudens!B12</f>
        <v>9448.5093057631238</v>
      </c>
      <c r="D37" s="718">
        <f ca="1">huishoudens!C12</f>
        <v>0</v>
      </c>
      <c r="E37" s="718">
        <f>huishoudens!D12</f>
        <v>24839.430645696324</v>
      </c>
      <c r="F37" s="718">
        <f>huishoudens!E12</f>
        <v>1233.2266567973729</v>
      </c>
      <c r="G37" s="718">
        <f>huishoudens!F12</f>
        <v>0</v>
      </c>
      <c r="H37" s="718">
        <f>huishoudens!G12</f>
        <v>0</v>
      </c>
      <c r="I37" s="718">
        <f>huishoudens!H12</f>
        <v>0</v>
      </c>
      <c r="J37" s="718">
        <f>huishoudens!I12</f>
        <v>0</v>
      </c>
      <c r="K37" s="718">
        <f>huishoudens!J12</f>
        <v>727.70968002153177</v>
      </c>
      <c r="L37" s="718">
        <f>huishoudens!K12</f>
        <v>0</v>
      </c>
      <c r="M37" s="718">
        <f>huishoudens!L12</f>
        <v>0</v>
      </c>
      <c r="N37" s="718">
        <f>huishoudens!M12</f>
        <v>0</v>
      </c>
      <c r="O37" s="718">
        <f>huishoudens!N12</f>
        <v>0</v>
      </c>
      <c r="P37" s="718">
        <f>huishoudens!O12</f>
        <v>0</v>
      </c>
      <c r="Q37" s="828">
        <f>huishoudens!P12</f>
        <v>0</v>
      </c>
      <c r="R37" s="917">
        <f ca="1">SUM(C37:Q37)</f>
        <v>36248.876288278349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8136.3841773943004</v>
      </c>
      <c r="D39" s="718">
        <f ca="1">industrie!C22</f>
        <v>0</v>
      </c>
      <c r="E39" s="718">
        <f>industrie!D22</f>
        <v>5424.3275320596531</v>
      </c>
      <c r="F39" s="718">
        <f>industrie!E22</f>
        <v>714.66901089269538</v>
      </c>
      <c r="G39" s="718">
        <f>industrie!F22</f>
        <v>2808.4173742739572</v>
      </c>
      <c r="H39" s="718">
        <f>industrie!G22</f>
        <v>0</v>
      </c>
      <c r="I39" s="718">
        <f>industrie!H22</f>
        <v>0</v>
      </c>
      <c r="J39" s="718">
        <f>industrie!I22</f>
        <v>0</v>
      </c>
      <c r="K39" s="718">
        <f>industrie!J22</f>
        <v>40.657281992917923</v>
      </c>
      <c r="L39" s="718">
        <f>industrie!K22</f>
        <v>0</v>
      </c>
      <c r="M39" s="718">
        <f>industrie!L22</f>
        <v>0</v>
      </c>
      <c r="N39" s="718">
        <f>industrie!M22</f>
        <v>0</v>
      </c>
      <c r="O39" s="718">
        <f>industrie!N22</f>
        <v>0</v>
      </c>
      <c r="P39" s="718">
        <f>industrie!O22</f>
        <v>0</v>
      </c>
      <c r="Q39" s="828">
        <f>industrie!P22</f>
        <v>0</v>
      </c>
      <c r="R39" s="918">
        <f ca="1">SUM(C39:Q39)</f>
        <v>17124.455376613525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25514.918257584177</v>
      </c>
      <c r="D41" s="763">
        <f t="shared" ref="D41:R41" ca="1" si="4">SUM(D35:D40)</f>
        <v>0</v>
      </c>
      <c r="E41" s="763">
        <f t="shared" ca="1" si="4"/>
        <v>39380.842075777044</v>
      </c>
      <c r="F41" s="763">
        <f t="shared" si="4"/>
        <v>2091.6103441923078</v>
      </c>
      <c r="G41" s="763">
        <f t="shared" ca="1" si="4"/>
        <v>4670.6819815713452</v>
      </c>
      <c r="H41" s="763">
        <f t="shared" si="4"/>
        <v>0</v>
      </c>
      <c r="I41" s="763">
        <f t="shared" si="4"/>
        <v>0</v>
      </c>
      <c r="J41" s="763">
        <f t="shared" si="4"/>
        <v>0</v>
      </c>
      <c r="K41" s="763">
        <f t="shared" si="4"/>
        <v>768.39754137417867</v>
      </c>
      <c r="L41" s="763">
        <f t="shared" si="4"/>
        <v>0</v>
      </c>
      <c r="M41" s="763">
        <f t="shared" ca="1" si="4"/>
        <v>0</v>
      </c>
      <c r="N41" s="763">
        <f t="shared" si="4"/>
        <v>0</v>
      </c>
      <c r="O41" s="763">
        <f t="shared" ca="1" si="4"/>
        <v>0</v>
      </c>
      <c r="P41" s="763">
        <f t="shared" si="4"/>
        <v>0</v>
      </c>
      <c r="Q41" s="764">
        <f t="shared" si="4"/>
        <v>0</v>
      </c>
      <c r="R41" s="765">
        <f t="shared" ca="1" si="4"/>
        <v>72426.45020049905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607.72475831749557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607.72475831749557</v>
      </c>
    </row>
    <row r="45" spans="1:18" ht="15" thickBot="1">
      <c r="A45" s="888" t="s">
        <v>307</v>
      </c>
      <c r="B45" s="898"/>
      <c r="C45" s="727">
        <f ca="1">transport!B18</f>
        <v>24.17944621335112</v>
      </c>
      <c r="D45" s="727">
        <f>transport!C18</f>
        <v>0</v>
      </c>
      <c r="E45" s="727">
        <f>transport!D18</f>
        <v>92.388625130114235</v>
      </c>
      <c r="F45" s="727">
        <f>transport!E18</f>
        <v>149.79821724568055</v>
      </c>
      <c r="G45" s="727">
        <f>transport!F18</f>
        <v>0</v>
      </c>
      <c r="H45" s="727">
        <f>transport!G18</f>
        <v>75077.274118299902</v>
      </c>
      <c r="I45" s="727">
        <f>transport!H18</f>
        <v>13007.543728105631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88351.184134994677</v>
      </c>
    </row>
    <row r="46" spans="1:18" ht="15.75" thickBot="1">
      <c r="A46" s="886" t="s">
        <v>230</v>
      </c>
      <c r="B46" s="899"/>
      <c r="C46" s="763">
        <f t="shared" ref="C46:R46" ca="1" si="5">SUM(C43:C45)</f>
        <v>24.17944621335112</v>
      </c>
      <c r="D46" s="763">
        <f t="shared" ca="1" si="5"/>
        <v>0</v>
      </c>
      <c r="E46" s="763">
        <f t="shared" si="5"/>
        <v>92.388625130114235</v>
      </c>
      <c r="F46" s="763">
        <f t="shared" si="5"/>
        <v>149.79821724568055</v>
      </c>
      <c r="G46" s="763">
        <f t="shared" si="5"/>
        <v>0</v>
      </c>
      <c r="H46" s="763">
        <f t="shared" si="5"/>
        <v>75684.998876617392</v>
      </c>
      <c r="I46" s="763">
        <f t="shared" si="5"/>
        <v>13007.543728105631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88958.908893312167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288.83150167645067</v>
      </c>
      <c r="D48" s="718">
        <f ca="1">+landbouw!C12</f>
        <v>0</v>
      </c>
      <c r="E48" s="718">
        <f>+landbouw!D12</f>
        <v>1224.7637142563246</v>
      </c>
      <c r="F48" s="718">
        <f>+landbouw!E12</f>
        <v>9.9659037665177763</v>
      </c>
      <c r="G48" s="718">
        <f>+landbouw!F12</f>
        <v>1661.3877654417181</v>
      </c>
      <c r="H48" s="718">
        <f>+landbouw!G12</f>
        <v>0</v>
      </c>
      <c r="I48" s="718">
        <f>+landbouw!H12</f>
        <v>0</v>
      </c>
      <c r="J48" s="718">
        <f>+landbouw!I12</f>
        <v>0</v>
      </c>
      <c r="K48" s="718">
        <f>+landbouw!J12</f>
        <v>76.60434285322647</v>
      </c>
      <c r="L48" s="718">
        <f>+landbouw!K12</f>
        <v>0</v>
      </c>
      <c r="M48" s="718">
        <f>+landbouw!L12</f>
        <v>0</v>
      </c>
      <c r="N48" s="718">
        <f>+landbouw!M12</f>
        <v>0</v>
      </c>
      <c r="O48" s="718">
        <f>+landbouw!N12</f>
        <v>0</v>
      </c>
      <c r="P48" s="718">
        <f>+landbouw!O12</f>
        <v>0</v>
      </c>
      <c r="Q48" s="719">
        <f>+landbouw!P12</f>
        <v>0</v>
      </c>
      <c r="R48" s="761">
        <f ca="1">SUM(C48:Q48)</f>
        <v>3261.5532279942381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25827.929205473978</v>
      </c>
      <c r="D53" s="773">
        <f t="shared" ref="D53:Q53" ca="1" si="6">D41+D46+D48</f>
        <v>0</v>
      </c>
      <c r="E53" s="773">
        <f t="shared" ca="1" si="6"/>
        <v>40697.994415163485</v>
      </c>
      <c r="F53" s="773">
        <f t="shared" si="6"/>
        <v>2251.3744652045061</v>
      </c>
      <c r="G53" s="773">
        <f t="shared" ca="1" si="6"/>
        <v>6332.0697470130635</v>
      </c>
      <c r="H53" s="773">
        <f t="shared" si="6"/>
        <v>75684.998876617392</v>
      </c>
      <c r="I53" s="773">
        <f t="shared" si="6"/>
        <v>13007.543728105631</v>
      </c>
      <c r="J53" s="773">
        <f t="shared" si="6"/>
        <v>0</v>
      </c>
      <c r="K53" s="773">
        <f t="shared" si="6"/>
        <v>845.00188422740518</v>
      </c>
      <c r="L53" s="773">
        <f t="shared" si="6"/>
        <v>0</v>
      </c>
      <c r="M53" s="773">
        <f t="shared" ca="1" si="6"/>
        <v>0</v>
      </c>
      <c r="N53" s="773">
        <f t="shared" si="6"/>
        <v>0</v>
      </c>
      <c r="O53" s="773">
        <f t="shared" ca="1" si="6"/>
        <v>0</v>
      </c>
      <c r="P53" s="773">
        <f>P41+P46+P48</f>
        <v>0</v>
      </c>
      <c r="Q53" s="774">
        <f t="shared" si="6"/>
        <v>0</v>
      </c>
      <c r="R53" s="775">
        <f ca="1">R41+R46+R48</f>
        <v>164646.91232180546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0.19337416168088431</v>
      </c>
      <c r="D55" s="836">
        <f t="shared" ca="1" si="7"/>
        <v>0</v>
      </c>
      <c r="E55" s="836">
        <f t="shared" ca="1" si="7"/>
        <v>0.20199999999999999</v>
      </c>
      <c r="F55" s="836">
        <f t="shared" si="7"/>
        <v>0.22699999999999995</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16652.423020730334</v>
      </c>
      <c r="C66" s="795">
        <f>'lokale energieproductie'!B6</f>
        <v>16652.423020730334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16696.073020730335</v>
      </c>
      <c r="C69" s="803">
        <f>SUM(C64:C68)</f>
        <v>16696.073020730335</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48861.281277875809</v>
      </c>
      <c r="C4" s="478">
        <f>huishoudens!C8</f>
        <v>0</v>
      </c>
      <c r="D4" s="478">
        <f>huishoudens!D8</f>
        <v>122967.4784440412</v>
      </c>
      <c r="E4" s="478">
        <f>huishoudens!E8</f>
        <v>5432.7165497681626</v>
      </c>
      <c r="F4" s="478">
        <f>huishoudens!F8</f>
        <v>0</v>
      </c>
      <c r="G4" s="478">
        <f>huishoudens!G8</f>
        <v>0</v>
      </c>
      <c r="H4" s="478">
        <f>huishoudens!H8</f>
        <v>0</v>
      </c>
      <c r="I4" s="478">
        <f>huishoudens!I8</f>
        <v>0</v>
      </c>
      <c r="J4" s="478">
        <f>huishoudens!J8</f>
        <v>2055.677062207717</v>
      </c>
      <c r="K4" s="478">
        <f>huishoudens!K8</f>
        <v>0</v>
      </c>
      <c r="L4" s="478">
        <f>huishoudens!L8</f>
        <v>0</v>
      </c>
      <c r="M4" s="478">
        <f>huishoudens!M8</f>
        <v>0</v>
      </c>
      <c r="N4" s="478">
        <f>huishoudens!N8</f>
        <v>22844.384442772116</v>
      </c>
      <c r="O4" s="478">
        <f>huishoudens!O8</f>
        <v>331.42666666666673</v>
      </c>
      <c r="P4" s="479">
        <f>huishoudens!P8</f>
        <v>1410.9333333333334</v>
      </c>
      <c r="Q4" s="480">
        <f>SUM(B4:P4)</f>
        <v>203903.89777666499</v>
      </c>
    </row>
    <row r="5" spans="1:17">
      <c r="A5" s="477" t="s">
        <v>156</v>
      </c>
      <c r="B5" s="478">
        <f ca="1">tertiair!B16</f>
        <v>39357.419258237278</v>
      </c>
      <c r="C5" s="478">
        <f ca="1">tertiair!C16</f>
        <v>0</v>
      </c>
      <c r="D5" s="478">
        <f ca="1">tertiair!D16</f>
        <v>45134.078703074607</v>
      </c>
      <c r="E5" s="478">
        <f>tertiair!E16</f>
        <v>633.10430177198089</v>
      </c>
      <c r="F5" s="478">
        <f ca="1">tertiair!F16</f>
        <v>6974.773810102577</v>
      </c>
      <c r="G5" s="478">
        <f>tertiair!G16</f>
        <v>0</v>
      </c>
      <c r="H5" s="478">
        <f>tertiair!H16</f>
        <v>0</v>
      </c>
      <c r="I5" s="478">
        <f>tertiair!I16</f>
        <v>0</v>
      </c>
      <c r="J5" s="478">
        <f>tertiair!J16</f>
        <v>8.6382372115842501E-2</v>
      </c>
      <c r="K5" s="478">
        <f>tertiair!K16</f>
        <v>0</v>
      </c>
      <c r="L5" s="478">
        <f ca="1">tertiair!L16</f>
        <v>0</v>
      </c>
      <c r="M5" s="478">
        <f>tertiair!M16</f>
        <v>0</v>
      </c>
      <c r="N5" s="478">
        <f ca="1">tertiair!N16</f>
        <v>3443.9527360323386</v>
      </c>
      <c r="O5" s="478">
        <f>tertiair!O16</f>
        <v>4.6900000000000004</v>
      </c>
      <c r="P5" s="479">
        <f>tertiair!P16</f>
        <v>38.133333333333333</v>
      </c>
      <c r="Q5" s="477">
        <f t="shared" ref="Q5:Q13" ca="1" si="0">SUM(B5:P5)</f>
        <v>95586.238524924236</v>
      </c>
    </row>
    <row r="6" spans="1:17">
      <c r="A6" s="477" t="s">
        <v>194</v>
      </c>
      <c r="B6" s="478">
        <f>'openbare verlichting'!B8</f>
        <v>1651.29</v>
      </c>
      <c r="C6" s="478"/>
      <c r="D6" s="478"/>
      <c r="E6" s="478"/>
      <c r="F6" s="478"/>
      <c r="G6" s="478"/>
      <c r="H6" s="478"/>
      <c r="I6" s="478"/>
      <c r="J6" s="478"/>
      <c r="K6" s="478"/>
      <c r="L6" s="478"/>
      <c r="M6" s="478"/>
      <c r="N6" s="478"/>
      <c r="O6" s="478"/>
      <c r="P6" s="479"/>
      <c r="Q6" s="477">
        <f t="shared" si="0"/>
        <v>1651.29</v>
      </c>
    </row>
    <row r="7" spans="1:17">
      <c r="A7" s="477" t="s">
        <v>112</v>
      </c>
      <c r="B7" s="478">
        <f>landbouw!B8</f>
        <v>1493.6406144741031</v>
      </c>
      <c r="C7" s="478">
        <f>landbouw!C8</f>
        <v>62.357142857142847</v>
      </c>
      <c r="D7" s="478">
        <f>landbouw!D8</f>
        <v>6063.1867042392305</v>
      </c>
      <c r="E7" s="478">
        <f>landbouw!E8</f>
        <v>43.902659764395487</v>
      </c>
      <c r="F7" s="478">
        <f>landbouw!F8</f>
        <v>6222.4260877966963</v>
      </c>
      <c r="G7" s="478">
        <f>landbouw!G8</f>
        <v>0</v>
      </c>
      <c r="H7" s="478">
        <f>landbouw!H8</f>
        <v>0</v>
      </c>
      <c r="I7" s="478">
        <f>landbouw!I8</f>
        <v>0</v>
      </c>
      <c r="J7" s="478">
        <f>landbouw!J8</f>
        <v>216.3964487379279</v>
      </c>
      <c r="K7" s="478">
        <f>landbouw!K8</f>
        <v>0</v>
      </c>
      <c r="L7" s="478">
        <f>landbouw!L8</f>
        <v>0</v>
      </c>
      <c r="M7" s="478">
        <f>landbouw!M8</f>
        <v>0</v>
      </c>
      <c r="N7" s="478">
        <f>landbouw!N8</f>
        <v>0</v>
      </c>
      <c r="O7" s="478">
        <f>landbouw!O8</f>
        <v>0</v>
      </c>
      <c r="P7" s="479">
        <f>landbouw!P8</f>
        <v>0</v>
      </c>
      <c r="Q7" s="477">
        <f t="shared" si="0"/>
        <v>14101.909657869495</v>
      </c>
    </row>
    <row r="8" spans="1:17">
      <c r="A8" s="477" t="s">
        <v>635</v>
      </c>
      <c r="B8" s="478">
        <f>industrie!B18</f>
        <v>42075.860118382137</v>
      </c>
      <c r="C8" s="478">
        <f>industrie!C18</f>
        <v>0</v>
      </c>
      <c r="D8" s="478">
        <f>industrie!D18</f>
        <v>26853.106594354715</v>
      </c>
      <c r="E8" s="478">
        <f>industrie!E18</f>
        <v>3148.3216338885259</v>
      </c>
      <c r="F8" s="478">
        <f>industrie!F18</f>
        <v>10518.417132112199</v>
      </c>
      <c r="G8" s="478">
        <f>industrie!G18</f>
        <v>0</v>
      </c>
      <c r="H8" s="478">
        <f>industrie!H18</f>
        <v>0</v>
      </c>
      <c r="I8" s="478">
        <f>industrie!I18</f>
        <v>0</v>
      </c>
      <c r="J8" s="478">
        <f>industrie!J18</f>
        <v>114.85107907603934</v>
      </c>
      <c r="K8" s="478">
        <f>industrie!K18</f>
        <v>0</v>
      </c>
      <c r="L8" s="478">
        <f>industrie!L18</f>
        <v>0</v>
      </c>
      <c r="M8" s="478">
        <f>industrie!M18</f>
        <v>0</v>
      </c>
      <c r="N8" s="478">
        <f>industrie!N18</f>
        <v>10842.855570277741</v>
      </c>
      <c r="O8" s="478">
        <f>industrie!O18</f>
        <v>0</v>
      </c>
      <c r="P8" s="479">
        <f>industrie!P18</f>
        <v>0</v>
      </c>
      <c r="Q8" s="477">
        <f t="shared" si="0"/>
        <v>93553.412128091339</v>
      </c>
    </row>
    <row r="9" spans="1:17" s="483" customFormat="1">
      <c r="A9" s="481" t="s">
        <v>561</v>
      </c>
      <c r="B9" s="482">
        <f>transport!B14</f>
        <v>125.03969508218604</v>
      </c>
      <c r="C9" s="482"/>
      <c r="D9" s="482">
        <f>transport!D14</f>
        <v>457.36943133719916</v>
      </c>
      <c r="E9" s="482">
        <f>transport!E14</f>
        <v>659.90404072987019</v>
      </c>
      <c r="F9" s="482"/>
      <c r="G9" s="482">
        <f>transport!G14</f>
        <v>281188.29257790226</v>
      </c>
      <c r="H9" s="482">
        <f>transport!H14</f>
        <v>52239.131438175224</v>
      </c>
      <c r="I9" s="482"/>
      <c r="J9" s="482"/>
      <c r="K9" s="482"/>
      <c r="L9" s="482"/>
      <c r="M9" s="482">
        <f>transport!M14</f>
        <v>17979.113032564299</v>
      </c>
      <c r="N9" s="482"/>
      <c r="O9" s="482"/>
      <c r="P9" s="482"/>
      <c r="Q9" s="481">
        <f>SUM(B9:P9)</f>
        <v>352648.85021579103</v>
      </c>
    </row>
    <row r="10" spans="1:17">
      <c r="A10" s="477" t="s">
        <v>551</v>
      </c>
      <c r="B10" s="478">
        <f>transport!B54</f>
        <v>0</v>
      </c>
      <c r="C10" s="478"/>
      <c r="D10" s="478">
        <f>transport!D54</f>
        <v>0</v>
      </c>
      <c r="E10" s="478"/>
      <c r="F10" s="478"/>
      <c r="G10" s="478">
        <f>transport!G54</f>
        <v>2276.1226903276988</v>
      </c>
      <c r="H10" s="478"/>
      <c r="I10" s="478"/>
      <c r="J10" s="478"/>
      <c r="K10" s="478"/>
      <c r="L10" s="478"/>
      <c r="M10" s="478">
        <f>transport!M54</f>
        <v>129.27372069313617</v>
      </c>
      <c r="N10" s="478"/>
      <c r="O10" s="478"/>
      <c r="P10" s="479"/>
      <c r="Q10" s="477">
        <f t="shared" si="0"/>
        <v>2405.3964110208349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133564.53096405149</v>
      </c>
      <c r="C14" s="488">
        <f t="shared" ref="C14:Q14" ca="1" si="1">SUM(C4:C13)</f>
        <v>62.357142857142847</v>
      </c>
      <c r="D14" s="488">
        <f t="shared" ca="1" si="1"/>
        <v>201475.21987704697</v>
      </c>
      <c r="E14" s="488">
        <f t="shared" si="1"/>
        <v>9917.9491859229347</v>
      </c>
      <c r="F14" s="488">
        <f t="shared" ca="1" si="1"/>
        <v>23715.617030011475</v>
      </c>
      <c r="G14" s="488">
        <f t="shared" si="1"/>
        <v>283464.41526822996</v>
      </c>
      <c r="H14" s="488">
        <f t="shared" si="1"/>
        <v>52239.131438175224</v>
      </c>
      <c r="I14" s="488">
        <f t="shared" si="1"/>
        <v>0</v>
      </c>
      <c r="J14" s="488">
        <f t="shared" si="1"/>
        <v>2387.0109723937999</v>
      </c>
      <c r="K14" s="488">
        <f t="shared" si="1"/>
        <v>0</v>
      </c>
      <c r="L14" s="488">
        <f t="shared" ca="1" si="1"/>
        <v>0</v>
      </c>
      <c r="M14" s="488">
        <f t="shared" si="1"/>
        <v>18108.386753257437</v>
      </c>
      <c r="N14" s="488">
        <f t="shared" ca="1" si="1"/>
        <v>37131.192749082198</v>
      </c>
      <c r="O14" s="488">
        <f t="shared" si="1"/>
        <v>336.11666666666673</v>
      </c>
      <c r="P14" s="489">
        <f t="shared" si="1"/>
        <v>1449.0666666666668</v>
      </c>
      <c r="Q14" s="489">
        <f t="shared" ca="1" si="1"/>
        <v>763850.99471436196</v>
      </c>
    </row>
    <row r="16" spans="1:17">
      <c r="A16" s="491" t="s">
        <v>556</v>
      </c>
      <c r="B16" s="841">
        <f ca="1">huishoudens!B10</f>
        <v>0.19337416168088434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9448.5093057631238</v>
      </c>
      <c r="C21" s="478">
        <f t="shared" ref="C21:C28" ca="1" si="3">C4*$C$16</f>
        <v>0</v>
      </c>
      <c r="D21" s="478">
        <f t="shared" ref="D21:D30" si="4">D4*$D$16</f>
        <v>24839.430645696324</v>
      </c>
      <c r="E21" s="478">
        <f t="shared" ref="E21:E30" si="5">E4*$E$16</f>
        <v>1233.2266567973729</v>
      </c>
      <c r="F21" s="478">
        <f t="shared" ref="F21:F28" si="6">F4*$F$16</f>
        <v>0</v>
      </c>
      <c r="G21" s="478">
        <f t="shared" ref="G21:G30" si="7">G4*$G$16</f>
        <v>0</v>
      </c>
      <c r="H21" s="478">
        <f t="shared" ref="H21:H30" si="8">H4*$H$16</f>
        <v>0</v>
      </c>
      <c r="I21" s="478">
        <f t="shared" ref="I21:I28" si="9">I4*$I$16</f>
        <v>0</v>
      </c>
      <c r="J21" s="478">
        <f t="shared" ref="J21:J28" si="10">J4*$J$16</f>
        <v>727.70968002153177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36248.876288278349</v>
      </c>
    </row>
    <row r="22" spans="1:17">
      <c r="A22" s="477" t="s">
        <v>156</v>
      </c>
      <c r="B22" s="478">
        <f t="shared" ca="1" si="2"/>
        <v>7610.7079549847267</v>
      </c>
      <c r="C22" s="478">
        <f t="shared" ca="1" si="3"/>
        <v>0</v>
      </c>
      <c r="D22" s="478">
        <f t="shared" ca="1" si="4"/>
        <v>9117.0838980210719</v>
      </c>
      <c r="E22" s="478">
        <f t="shared" si="5"/>
        <v>143.71467650223966</v>
      </c>
      <c r="F22" s="478">
        <f t="shared" ca="1" si="6"/>
        <v>1862.2646072973882</v>
      </c>
      <c r="G22" s="478">
        <f t="shared" si="7"/>
        <v>0</v>
      </c>
      <c r="H22" s="478">
        <f t="shared" si="8"/>
        <v>0</v>
      </c>
      <c r="I22" s="478">
        <f t="shared" si="9"/>
        <v>0</v>
      </c>
      <c r="J22" s="478">
        <f t="shared" si="10"/>
        <v>3.0579359729008243E-2</v>
      </c>
      <c r="K22" s="478">
        <f t="shared" si="11"/>
        <v>0</v>
      </c>
      <c r="L22" s="478">
        <f t="shared" ca="1" si="12"/>
        <v>0</v>
      </c>
      <c r="M22" s="478">
        <f t="shared" si="13"/>
        <v>0</v>
      </c>
      <c r="N22" s="478">
        <f t="shared" ca="1" si="14"/>
        <v>0</v>
      </c>
      <c r="O22" s="478">
        <f t="shared" si="15"/>
        <v>0</v>
      </c>
      <c r="P22" s="479">
        <f t="shared" si="16"/>
        <v>0</v>
      </c>
      <c r="Q22" s="477">
        <f t="shared" ref="Q22:Q30" ca="1" si="17">SUM(B22:P22)</f>
        <v>18733.801716165155</v>
      </c>
    </row>
    <row r="23" spans="1:17">
      <c r="A23" s="477" t="s">
        <v>194</v>
      </c>
      <c r="B23" s="478">
        <f t="shared" ca="1" si="2"/>
        <v>319.31681944202751</v>
      </c>
      <c r="C23" s="478"/>
      <c r="D23" s="478"/>
      <c r="E23" s="478"/>
      <c r="F23" s="478"/>
      <c r="G23" s="478"/>
      <c r="H23" s="478"/>
      <c r="I23" s="478"/>
      <c r="J23" s="478"/>
      <c r="K23" s="478"/>
      <c r="L23" s="478"/>
      <c r="M23" s="478"/>
      <c r="N23" s="478"/>
      <c r="O23" s="478"/>
      <c r="P23" s="479"/>
      <c r="Q23" s="477">
        <f t="shared" ca="1" si="17"/>
        <v>319.31681944202751</v>
      </c>
    </row>
    <row r="24" spans="1:17">
      <c r="A24" s="477" t="s">
        <v>112</v>
      </c>
      <c r="B24" s="478">
        <f t="shared" ca="1" si="2"/>
        <v>288.83150167645067</v>
      </c>
      <c r="C24" s="478">
        <f t="shared" ca="1" si="3"/>
        <v>0</v>
      </c>
      <c r="D24" s="478">
        <f t="shared" si="4"/>
        <v>1224.7637142563246</v>
      </c>
      <c r="E24" s="478">
        <f t="shared" si="5"/>
        <v>9.9659037665177763</v>
      </c>
      <c r="F24" s="478">
        <f t="shared" si="6"/>
        <v>1661.3877654417181</v>
      </c>
      <c r="G24" s="478">
        <f t="shared" si="7"/>
        <v>0</v>
      </c>
      <c r="H24" s="478">
        <f t="shared" si="8"/>
        <v>0</v>
      </c>
      <c r="I24" s="478">
        <f t="shared" si="9"/>
        <v>0</v>
      </c>
      <c r="J24" s="478">
        <f t="shared" si="10"/>
        <v>76.60434285322647</v>
      </c>
      <c r="K24" s="478">
        <f t="shared" si="11"/>
        <v>0</v>
      </c>
      <c r="L24" s="478">
        <f t="shared" si="12"/>
        <v>0</v>
      </c>
      <c r="M24" s="478">
        <f t="shared" si="13"/>
        <v>0</v>
      </c>
      <c r="N24" s="478">
        <f t="shared" si="14"/>
        <v>0</v>
      </c>
      <c r="O24" s="478">
        <f t="shared" si="15"/>
        <v>0</v>
      </c>
      <c r="P24" s="479">
        <f t="shared" si="16"/>
        <v>0</v>
      </c>
      <c r="Q24" s="477">
        <f t="shared" ca="1" si="17"/>
        <v>3261.5532279942381</v>
      </c>
    </row>
    <row r="25" spans="1:17">
      <c r="A25" s="477" t="s">
        <v>635</v>
      </c>
      <c r="B25" s="478">
        <f t="shared" ca="1" si="2"/>
        <v>8136.3841773943004</v>
      </c>
      <c r="C25" s="478">
        <f t="shared" ca="1" si="3"/>
        <v>0</v>
      </c>
      <c r="D25" s="478">
        <f t="shared" si="4"/>
        <v>5424.3275320596531</v>
      </c>
      <c r="E25" s="478">
        <f t="shared" si="5"/>
        <v>714.66901089269538</v>
      </c>
      <c r="F25" s="478">
        <f t="shared" si="6"/>
        <v>2808.4173742739572</v>
      </c>
      <c r="G25" s="478">
        <f t="shared" si="7"/>
        <v>0</v>
      </c>
      <c r="H25" s="478">
        <f t="shared" si="8"/>
        <v>0</v>
      </c>
      <c r="I25" s="478">
        <f t="shared" si="9"/>
        <v>0</v>
      </c>
      <c r="J25" s="478">
        <f t="shared" si="10"/>
        <v>40.657281992917923</v>
      </c>
      <c r="K25" s="478">
        <f t="shared" si="11"/>
        <v>0</v>
      </c>
      <c r="L25" s="478">
        <f t="shared" si="12"/>
        <v>0</v>
      </c>
      <c r="M25" s="478">
        <f t="shared" si="13"/>
        <v>0</v>
      </c>
      <c r="N25" s="478">
        <f t="shared" si="14"/>
        <v>0</v>
      </c>
      <c r="O25" s="478">
        <f t="shared" si="15"/>
        <v>0</v>
      </c>
      <c r="P25" s="479">
        <f t="shared" si="16"/>
        <v>0</v>
      </c>
      <c r="Q25" s="477">
        <f t="shared" ca="1" si="17"/>
        <v>17124.455376613525</v>
      </c>
    </row>
    <row r="26" spans="1:17" s="483" customFormat="1">
      <c r="A26" s="481" t="s">
        <v>561</v>
      </c>
      <c r="B26" s="835">
        <f t="shared" ca="1" si="2"/>
        <v>24.17944621335112</v>
      </c>
      <c r="C26" s="482"/>
      <c r="D26" s="482">
        <f t="shared" si="4"/>
        <v>92.388625130114235</v>
      </c>
      <c r="E26" s="482">
        <f t="shared" si="5"/>
        <v>149.79821724568055</v>
      </c>
      <c r="F26" s="482"/>
      <c r="G26" s="482">
        <f t="shared" si="7"/>
        <v>75077.274118299902</v>
      </c>
      <c r="H26" s="482">
        <f t="shared" si="8"/>
        <v>13007.543728105631</v>
      </c>
      <c r="I26" s="482"/>
      <c r="J26" s="482"/>
      <c r="K26" s="482"/>
      <c r="L26" s="482"/>
      <c r="M26" s="482">
        <f t="shared" si="13"/>
        <v>0</v>
      </c>
      <c r="N26" s="482"/>
      <c r="O26" s="482"/>
      <c r="P26" s="493"/>
      <c r="Q26" s="481">
        <f t="shared" ca="1" si="17"/>
        <v>88351.184134994677</v>
      </c>
    </row>
    <row r="27" spans="1:17">
      <c r="A27" s="477" t="s">
        <v>551</v>
      </c>
      <c r="B27" s="478">
        <f t="shared" ca="1" si="2"/>
        <v>0</v>
      </c>
      <c r="C27" s="478"/>
      <c r="D27" s="482">
        <f t="shared" si="4"/>
        <v>0</v>
      </c>
      <c r="E27" s="478"/>
      <c r="F27" s="478"/>
      <c r="G27" s="478">
        <f t="shared" si="7"/>
        <v>607.72475831749557</v>
      </c>
      <c r="H27" s="478"/>
      <c r="I27" s="478"/>
      <c r="J27" s="478"/>
      <c r="K27" s="478"/>
      <c r="L27" s="478"/>
      <c r="M27" s="478">
        <f t="shared" si="13"/>
        <v>0</v>
      </c>
      <c r="N27" s="478"/>
      <c r="O27" s="478"/>
      <c r="P27" s="479"/>
      <c r="Q27" s="477">
        <f t="shared" ca="1" si="17"/>
        <v>607.72475831749557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25827.929205473982</v>
      </c>
      <c r="C31" s="488">
        <f t="shared" ca="1" si="18"/>
        <v>0</v>
      </c>
      <c r="D31" s="488">
        <f t="shared" ca="1" si="18"/>
        <v>40697.994415163485</v>
      </c>
      <c r="E31" s="488">
        <f t="shared" si="18"/>
        <v>2251.3744652045061</v>
      </c>
      <c r="F31" s="488">
        <f t="shared" ca="1" si="18"/>
        <v>6332.0697470130635</v>
      </c>
      <c r="G31" s="488">
        <f t="shared" si="18"/>
        <v>75684.998876617392</v>
      </c>
      <c r="H31" s="488">
        <f t="shared" si="18"/>
        <v>13007.543728105631</v>
      </c>
      <c r="I31" s="488">
        <f t="shared" si="18"/>
        <v>0</v>
      </c>
      <c r="J31" s="488">
        <f t="shared" si="18"/>
        <v>845.00188422740518</v>
      </c>
      <c r="K31" s="488">
        <f t="shared" si="18"/>
        <v>0</v>
      </c>
      <c r="L31" s="488">
        <f t="shared" ca="1" si="18"/>
        <v>0</v>
      </c>
      <c r="M31" s="488">
        <f t="shared" si="18"/>
        <v>0</v>
      </c>
      <c r="N31" s="488">
        <f t="shared" ca="1" si="18"/>
        <v>0</v>
      </c>
      <c r="O31" s="488">
        <f t="shared" si="18"/>
        <v>0</v>
      </c>
      <c r="P31" s="489">
        <f t="shared" si="18"/>
        <v>0</v>
      </c>
      <c r="Q31" s="489">
        <f t="shared" ca="1" si="18"/>
        <v>164646.91232180546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0.19337416168088434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0.19337416168088434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0.19337416168088434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2019-01-01T21:21:20Z</dcterms:modified>
</cp:coreProperties>
</file>