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C16" i="15"/>
  <c r="D10" i="14" s="1"/>
  <c r="L6" i="17"/>
  <c r="L5" s="1"/>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D28"/>
  <c r="D30"/>
  <c r="I28"/>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29" i="20" s="1"/>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R10" i="14"/>
  <c r="C18" i="15" l="1"/>
  <c r="C20" s="1"/>
  <c r="D36" i="14" s="1"/>
  <c r="C20" i="16"/>
  <c r="C22" s="1"/>
  <c r="D39" i="14" s="1"/>
  <c r="C17" i="19"/>
  <c r="C19" s="1"/>
  <c r="D35" i="14"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<sst xmlns="http://schemas.openxmlformats.org/spreadsheetml/2006/main" count="2126" uniqueCount="856">
  <si>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</si>
  <si>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</si>
  <si>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</si>
  <si>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</si>
  <si>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</si>
  <si>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</si>
  <si>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</si>
  <si>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</si>
  <si>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</si>
  <si>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</si>
  <si>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</si>
  <si>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</si>
  <si>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</si>
  <si>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</si>
  <si>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</si>
  <si>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</si>
  <si>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</si>
  <si>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</si>
  <si>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</si>
  <si>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</si>
  <si>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</si>
  <si>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</si>
  <si>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</si>
  <si>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</si>
  <si>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</si>
  <si>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</si>
  <si>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</si>
  <si>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</si>
  <si>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</si>
  <si>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</si>
  <si>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</si>
  <si>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</si>
  <si>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</si>
  <si>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</si>
  <si>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</si>
  <si>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</si>
  <si>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</si>
  <si>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</si>
  <si>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</si>
  <si>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</si>
  <si>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</si>
  <si>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</si>
  <si>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</si>
  <si>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</si>
  <si>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</si>
  <si>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</si>
  <si>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</si>
  <si>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</si>
  <si>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</si>
  <si>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</si>
  <si>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</si>
  <si>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</si>
  <si>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</si>
  <si>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</si>
  <si>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</si>
  <si>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</si>
  <si>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</si>
  <si>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</si>
  <si>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</si>
  <si>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</si>
  <si>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</si>
  <si>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</si>
  <si>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</si>
  <si>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</si>
  <si>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</si>
  <si>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</si>
  <si>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</si>
  <si>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</si>
  <si>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</si>
  <si>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</si>
  <si>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</si>
  <si>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</si>
  <si>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</si>
  <si>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</si>
  <si>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</si>
  <si>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</si>
  <si>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</si>
  <si>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</si>
  <si>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</si>
  <si>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</si>
  <si>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</si>
  <si>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</si>
  <si>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</si>
  <si>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</si>
  <si>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</si>
  <si>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</si>
  <si>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</si>
  <si>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</si>
  <si>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</si>
  <si>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</si>
  <si>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</si>
  <si>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</si>
  <si>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</si>
  <si>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</si>
  <si>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</si>
  <si>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</si>
  <si>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</si>
  <si>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</si>
  <si>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</si>
  <si>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</si>
  <si>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</si>
  <si>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</si>
  <si>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</si>
  <si>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</si>
  <si>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</si>
  <si>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</si>
  <si>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</si>
  <si>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</si>
  <si>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</si>
  <si>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</si>
  <si>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</si>
  <si>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</si>
  <si>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</si>
  <si>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</si>
  <si>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</si>
  <si>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</si>
  <si>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</si>
  <si>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</si>
  <si>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</si>
  <si>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</si>
  <si>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</si>
  <si>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</si>
  <si>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</si>
  <si>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</si>
  <si>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</si>
  <si>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</si>
  <si>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</si>
  <si>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</si>
  <si>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</si>
  <si>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</si>
  <si>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</si>
  <si>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</si>
  <si>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</si>
  <si>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</si>
  <si>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</si>
  <si>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</si>
  <si>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</si>
  <si>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</si>
  <si>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</si>
  <si>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</si>
  <si>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</si>
  <si>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</si>
  <si>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</si>
  <si>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</si>
  <si>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</si>
  <si>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</si>
  <si>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</si>
  <si>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</si>
  <si>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</si>
  <si>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</si>
  <si>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</si>
  <si>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</si>
  <si>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</si>
  <si>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</si>
  <si>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</si>
  <si>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</si>
  <si>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</si>
  <si>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</si>
  <si>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</si>
  <si>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</si>
  <si>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</si>
  <si>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</si>
  <si>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</si>
  <si>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</si>
  <si>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</si>
  <si>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</si>
  <si>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</si>
  <si>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</si>
  <si>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</si>
  <si>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</si>
  <si>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</si>
  <si>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</si>
  <si>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</si>
  <si>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</si>
  <si>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</si>
  <si>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</si>
  <si>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</si>
  <si>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</si>
  <si>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</si>
  <si>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</si>
  <si>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</si>
  <si>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</si>
  <si>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</si>
  <si>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</si>
  <si>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</si>
  <si>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</si>
  <si>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</si>
  <si>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</si>
  <si>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</si>
  <si>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</si>
  <si>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</si>
  <si>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</si>
  <si>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</si>
  <si>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</si>
  <si>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</si>
  <si>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</si>
  <si>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</si>
  <si>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</si>
  <si>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</si>
  <si>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</si>
  <si>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</si>
  <si>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</si>
  <si>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</si>
  <si>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</si>
  <si>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</si>
  <si>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</si>
  <si>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</si>
  <si>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</si>
  <si>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</si>
  <si>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</si>
  <si>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</si>
  <si>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</si>
  <si>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</si>
  <si>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</si>
  <si>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</si>
  <si>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</si>
  <si>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</si>
  <si>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</si>
  <si>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</si>
  <si>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</si>
  <si>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</si>
  <si>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</si>
  <si>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</si>
  <si>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</si>
  <si>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</si>
  <si>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</si>
  <si>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</si>
  <si>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</si>
  <si>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</si>
  <si>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</si>
  <si>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</si>
  <si>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</si>
  <si>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</si>
  <si>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</si>
  <si>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</si>
  <si>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</si>
  <si>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</si>
  <si>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</si>
  <si>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</si>
  <si>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</si>
  <si>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</si>
  <si>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</si>
  <si>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</si>
  <si>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</si>
  <si>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</si>
  <si>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</si>
  <si>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</si>
  <si>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</si>
  <si>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</si>
  <si>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</si>
  <si>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</si>
  <si>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</si>
  <si>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</si>
  <si>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</si>
  <si>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</si>
  <si>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</si>
  <si>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</si>
  <si>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</si>
  <si>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</si>
  <si>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</si>
  <si>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</si>
  <si>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</si>
  <si>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</si>
  <si>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</si>
  <si>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</si>
  <si>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</si>
  <si>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</si>
  <si>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</si>
  <si>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</si>
  <si>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</si>
  <si>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</si>
  <si>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</si>
  <si>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</si>
  <si>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</si>
  <si>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</si>
  <si>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</si>
  <si>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</si>
  <si>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</si>
  <si>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</si>
  <si>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</si>
  <si>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</si>
  <si>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</si>
  <si>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</si>
  <si>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</si>
  <si>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</si>
  <si>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</si>
  <si>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</si>
  <si>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</si>
  <si>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</si>
  <si>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</si>
  <si>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</si>
  <si>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</si>
  <si>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</si>
  <si>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</si>
  <si>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</si>
  <si>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</si>
  <si>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</si>
  <si>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</si>
  <si>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</si>
  <si>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</si>
  <si>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</si>
  <si>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</si>
  <si>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</si>
  <si>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</si>
  <si>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</si>
  <si>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</si>
  <si>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</si>
  <si>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</si>
  <si>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</si>
  <si>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</si>
  <si>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</si>
  <si>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</si>
  <si>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</si>
  <si>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</si>
  <si>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</si>
  <si>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</si>
  <si>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</si>
  <si>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</si>
  <si>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</si>
  <si>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</si>
  <si>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</si>
  <si>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</si>
  <si>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</si>
  <si>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</si>
  <si>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</si>
  <si>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</si>
  <si>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</si>
  <si>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</si>
  <si>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</si>
  <si>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</si>
  <si>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</si>
  <si>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</si>
  <si>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</si>
  <si>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</si>
  <si>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</si>
  <si>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</si>
  <si>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</si>
  <si>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</si>
  <si>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</si>
  <si>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</si>
  <si>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</si>
  <si>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</si>
  <si>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</si>
  <si>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</si>
  <si>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</si>
  <si>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</si>
  <si>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</si>
  <si>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</si>
  <si>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</si>
  <si>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</si>
  <si>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</si>
  <si>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</si>
  <si>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</si>
  <si>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</si>
  <si>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</si>
  <si>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</si>
  <si>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</si>
  <si>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</si>
  <si>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</si>
  <si>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</si>
  <si>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</si>
  <si>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</si>
  <si>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</si>
  <si>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</si>
  <si>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</si>
  <si>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</si>
  <si>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</si>
  <si>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</si>
  <si>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</si>
  <si>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</si>
  <si>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</si>
  <si>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</si>
  <si>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</si>
  <si>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</si>
  <si>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</si>
  <si>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</si>
  <si>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</si>
  <si>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</si>
  <si>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</si>
  <si>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</si>
  <si>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</si>
  <si>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</si>
  <si>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</si>
  <si>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</si>
  <si>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</si>
  <si>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</si>
  <si>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</si>
  <si>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</si>
  <si>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</si>
  <si>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</si>
  <si>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</si>
  <si>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</si>
  <si>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</si>
  <si>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</si>
  <si>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</si>
  <si>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</si>
  <si>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</si>
  <si>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</si>
  <si>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</si>
  <si>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</si>
  <si>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</si>
  <si>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</si>
  <si>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</si>
  <si>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</si>
  <si>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</si>
  <si>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</si>
  <si>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</si>
  <si>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</si>
  <si>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</si>
  <si>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</si>
  <si>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</si>
  <si>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</si>
  <si>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</si>
  <si>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</si>
  <si>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</si>
  <si>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</si>
  <si>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</si>
  <si>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</si>
  <si>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</si>
  <si>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</si>
  <si>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</si>
  <si>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</si>
  <si>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</si>
  <si>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</si>
  <si>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</si>
  <si>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</si>
  <si>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</si>
  <si>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</si>
  <si>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</si>
  <si>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</si>
  <si>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</si>
  <si>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</si>
  <si>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</si>
  <si>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</si>
  <si>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</si>
  <si>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</si>
  <si>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</si>
  <si>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</si>
  <si>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</si>
  <si>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</si>
  <si>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</si>
  <si>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</si>
  <si>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</si>
  <si>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</si>
  <si>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</si>
  <si>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</si>
  <si>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</si>
  <si>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</si>
  <si>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</si>
  <si>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</si>
  <si>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</si>
  <si>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</si>
  <si>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</si>
  <si>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</si>
  <si>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</si>
  <si>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</si>
  <si>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</si>
  <si>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</si>
  <si>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</si>
  <si>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</si>
  <si>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</si>
  <si>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</si>
  <si>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</si>
  <si>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</si>
  <si>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</si>
  <si>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</si>
  <si>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</si>
  <si>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</si>
  <si>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</si>
  <si>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</si>
  <si>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</si>
  <si>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</si>
  <si>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</si>
  <si>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</si>
  <si>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</si>
  <si>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</si>
  <si>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</si>
  <si>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</si>
  <si>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</si>
  <si>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</si>
  <si>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</si>
  <si>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</si>
  <si>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</si>
  <si>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</si>
  <si>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</si>
  <si>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</si>
  <si>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</si>
  <si>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</si>
  <si>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</si>
  <si>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</si>
  <si>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</si>
  <si>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</si>
  <si>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</si>
  <si>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</si>
  <si>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</si>
  <si>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</si>
  <si>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</si>
  <si>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</si>
  <si>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</si>
  <si>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</si>
  <si>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</si>
  <si>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</si>
  <si>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</si>
  <si>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</si>
  <si>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</si>
  <si>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</si>
  <si>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</si>
  <si>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</si>
  <si>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</si>
  <si>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</si>
  <si>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</si>
  <si>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</si>
  <si>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</si>
  <si>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</si>
  <si>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</si>
  <si>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</si>
  <si>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</si>
  <si>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</si>
  <si>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</si>
  <si>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</si>
  <si>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</si>
  <si>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</si>
  <si>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</si>
  <si>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</si>
  <si>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</si>
  <si>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</si>
  <si>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</si>
  <si>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</si>
  <si>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</si>
  <si>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</si>
  <si>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</si>
  <si>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</si>
  <si>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</si>
  <si>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</si>
  <si>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</si>
  <si>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</si>
  <si>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</si>
  <si>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</si>
  <si>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</si>
  <si>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</si>
  <si>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</si>
  <si>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</si>
  <si>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</si>
  <si>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</si>
  <si>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</si>
  <si>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</si>
  <si>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</si>
  <si>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</si>
  <si>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</si>
  <si>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</si>
  <si>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</si>
  <si>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</si>
  <si>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</si>
  <si>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</si>
  <si>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</si>
  <si>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</si>
  <si>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</si>
  <si>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</si>
  <si>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</si>
  <si>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</si>
  <si>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</si>
  <si>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</si>
  <si>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</si>
  <si>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</si>
  <si>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</si>
  <si>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</si>
  <si>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</si>
  <si>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</si>
  <si>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</si>
  <si>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</si>
  <si>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</si>
  <si>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</si>
  <si>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</si>
  <si>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</si>
  <si>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</si>
  <si>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</si>
  <si>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</si>
  <si>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</si>
  <si>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</si>
  <si>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</si>
  <si>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</si>
  <si>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</si>
  <si>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</si>
  <si>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</si>
  <si>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</si>
  <si>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</si>
  <si>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</si>
  <si>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</si>
  <si>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</si>
  <si>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</si>
  <si>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</si>
  <si>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</si>
  <si>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</si>
  <si>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</si>
  <si>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</si>
  <si>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</si>
  <si>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</si>
  <si>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</si>
  <si>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</si>
  <si>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</si>
  <si>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</si>
  <si>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</si>
  <si>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</si>
  <si>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</si>
  <si>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</si>
  <si>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</si>
  <si>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</si>
  <si>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</si>
  <si>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</si>
  <si>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</si>
  <si>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</si>
  <si>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</si>
  <si>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</si>
  <si>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</si>
  <si>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</si>
  <si>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</si>
  <si>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</si>
  <si>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</si>
  <si>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</si>
  <si>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</si>
  <si>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</si>
  <si>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</si>
  <si>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</si>
  <si>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</si>
  <si>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</si>
  <si>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</si>
  <si>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</si>
  <si>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</si>
  <si>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</si>
  <si>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</si>
  <si>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</si>
  <si>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</si>
  <si>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</si>
  <si>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</si>
  <si>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</si>
  <si>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</si>
  <si>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</si>
  <si>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</si>
  <si>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</si>
  <si>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</si>
  <si>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</si>
  <si>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</si>
  <si>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</si>
  <si>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</si>
  <si>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</si>
  <si>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</si>
  <si>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</si>
  <si>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</si>
  <si>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</si>
  <si>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</si>
  <si>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</si>
  <si>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</si>
  <si>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</si>
  <si>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</si>
  <si>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</si>
  <si>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</si>
  <si>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</si>
  <si>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</si>
  <si>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</si>
  <si>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</si>
  <si>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</si>
  <si>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</si>
  <si>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</si>
  <si>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</si>
  <si>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</si>
  <si>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</si>
  <si>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</si>
  <si>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</si>
  <si>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</si>
  <si>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</si>
  <si>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</si>
  <si>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</si>
  <si>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</si>
  <si>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</si>
  <si>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</si>
  <si>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</si>
  <si>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</si>
  <si>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</si>
  <si>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</si>
  <si>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</si>
  <si>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</si>
  <si>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</si>
  <si>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</si>
  <si>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</si>
  <si>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</si>
  <si>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</si>
  <si>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</si>
  <si>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</si>
  <si>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</si>
  <si>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</si>
  <si>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</si>
  <si>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</si>
  <si>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</si>
  <si>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</si>
  <si>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</si>
  <si>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</si>
  <si>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</si>
  <si>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</si>
  <si>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</si>
  <si>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</si>
  <si>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</si>
  <si>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</si>
  <si>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</si>
  <si>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</si>
  <si>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</si>
  <si>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</si>
  <si>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</si>
  <si>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</si>
  <si>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</si>
  <si>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</si>
  <si>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</si>
  <si>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</si>
  <si>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</si>
  <si>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</si>
  <si>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</si>
  <si>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</si>
  <si>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</si>
  <si>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</si>
  <si>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</si>
  <si>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</si>
  <si>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</si>
  <si>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</si>
  <si>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</si>
  <si>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</si>
  <si>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</si>
  <si>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</si>
  <si>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</si>
  <si>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</si>
  <si>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</si>
  <si>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</si>
  <si>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</si>
  <si>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</si>
  <si>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</si>
  <si>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</si>
  <si>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</si>
  <si>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</si>
  <si>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</si>
  <si>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</si>
  <si>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</si>
  <si>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</si>
  <si>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</si>
  <si>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</si>
  <si>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</si>
  <si>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</si>
  <si>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</si>
  <si>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</si>
  <si>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</si>
  <si>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</si>
  <si>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</si>
  <si>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</si>
  <si>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</si>
  <si>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</si>
  <si>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</si>
  <si>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</si>
  <si>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</si>
  <si>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</si>
  <si>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</si>
  <si>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</si>
  <si>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</si>
  <si>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</si>
  <si>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</si>
  <si>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</si>
  <si>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</si>
  <si>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</si>
  <si>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</si>
  <si>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</si>
  <si>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</si>
  <si>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</si>
  <si>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</si>
  <si>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</si>
  <si>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</si>
  <si>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</si>
  <si>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</si>
  <si>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</si>
  <si>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</si>
  <si>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</si>
  <si>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</si>
  <si>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</si>
  <si>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</si>
  <si>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</si>
  <si>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</si>
  <si>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</si>
  <si>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</si>
  <si>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</si>
  <si>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</si>
  <si>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</si>
  <si>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</si>
  <si>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</si>
  <si>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</si>
  <si>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</si>
  <si>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</si>
  <si>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</si>
  <si>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</si>
  <si>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</si>
  <si>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</si>
  <si>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</si>
  <si>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</si>
  <si>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</si>
  <si>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</si>
  <si>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</si>
  <si>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</si>
  <si>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</si>
  <si>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</si>
  <si>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</si>
  <si>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</si>
  <si>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</si>
  <si>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</si>
  <si>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</si>
  <si>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</si>
  <si>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</si>
  <si>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</si>
  <si>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</si>
  <si>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</si>
  <si>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</si>
  <si>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</si>
  <si>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</si>
  <si>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</si>
  <si>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</si>
  <si>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</si>
  <si>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</si>
  <si>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</si>
  <si>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</si>
  <si>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</si>
  <si>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</si>
  <si>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</si>
  <si>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</si>
  <si>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</si>
  <si>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</si>
  <si>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</si>
  <si>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</si>
  <si>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</si>
  <si>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</si>
  <si>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</si>
  <si>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</si>
  <si>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</si>
  <si>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</si>
  <si>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46021</t>
  </si>
  <si>
    <t>SINT-NIKLAAS</t>
  </si>
  <si>
    <t>Eandis (januari 2018); Infrax (juni 2018)</t>
  </si>
  <si>
    <t>MOW (september 2017)</t>
  </si>
  <si>
    <t>referentietaak LNE (2017); Jaarverslag De Lijn (2016)</t>
  </si>
  <si>
    <t>VEA (april 2018)</t>
  </si>
  <si>
    <t>VEA (januari 2017)</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</si>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</sst>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509806.06917998346</c:v>
                </c:pt>
                <c:pt idx="1">
                  <c:v>328003.05329881719</c:v>
                </c:pt>
                <c:pt idx="2">
                  <c:v>3422.3209999999999</c:v>
                </c:pt>
                <c:pt idx="3">
                  <c:v>37216.342698890854</c:v>
                </c:pt>
                <c:pt idx="4">
                  <c:v>174916.7329453344</c:v>
                </c:pt>
                <c:pt idx="5">
                  <c:v>536236.59118733532</c:v>
                </c:pt>
                <c:pt idx="6">
                  <c:v>10232.365377588278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509806.06917998346</c:v>
                </c:pt>
                <c:pt idx="1">
                  <c:v>328003.05329881719</c:v>
                </c:pt>
                <c:pt idx="2">
                  <c:v>3422.3209999999999</c:v>
                </c:pt>
                <c:pt idx="3">
                  <c:v>37216.342698890854</c:v>
                </c:pt>
                <c:pt idx="4">
                  <c:v>174916.7329453344</c:v>
                </c:pt>
                <c:pt idx="5">
                  <c:v>536236.59118733532</c:v>
                </c:pt>
                <c:pt idx="6">
                  <c:v>10232.365377588278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91912.326475680442</c:v>
                </c:pt>
                <c:pt idx="1">
                  <c:v>66454.310143399023</c:v>
                </c:pt>
                <c:pt idx="2">
                  <c:v>702.0817782130589</c:v>
                </c:pt>
                <c:pt idx="3">
                  <c:v>8722.9029285972501</c:v>
                </c:pt>
                <c:pt idx="4">
                  <c:v>33203.860747217092</c:v>
                </c:pt>
                <c:pt idx="5">
                  <c:v>134306.83649657061</c:v>
                </c:pt>
                <c:pt idx="6">
                  <c:v>2585.2128770209938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91912.326475680442</c:v>
                </c:pt>
                <c:pt idx="1">
                  <c:v>66454.310143399023</c:v>
                </c:pt>
                <c:pt idx="2">
                  <c:v>702.0817782130589</c:v>
                </c:pt>
                <c:pt idx="3">
                  <c:v>8722.9029285972501</c:v>
                </c:pt>
                <c:pt idx="4">
                  <c:v>33203.860747217092</c:v>
                </c:pt>
                <c:pt idx="5">
                  <c:v>134306.83649657061</c:v>
                </c:pt>
                <c:pt idx="6">
                  <c:v>2585.2128770209938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46021</v>
      </c>
      <c r="B6" s="415"/>
      <c r="C6" s="416"/>
    </row>
    <row r="7" spans="1:7" s="413" customFormat="1" ht="15.75" customHeight="1">
      <c r="A7" s="417" t="str">
        <f>txtMunicipality</f>
        <v>SINT-NIKLAAS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131161.83812317104</v>
      </c>
      <c r="D10" s="718">
        <f ca="1">tertiair!C16</f>
        <v>67.5</v>
      </c>
      <c r="E10" s="718">
        <f ca="1">tertiair!D16</f>
        <v>168100.65521274778</v>
      </c>
      <c r="F10" s="718">
        <f>tertiair!E16</f>
        <v>1862.2883009486734</v>
      </c>
      <c r="G10" s="718">
        <f ca="1">tertiair!F16</f>
        <v>21923.751202314244</v>
      </c>
      <c r="H10" s="718">
        <f>tertiair!G16</f>
        <v>0</v>
      </c>
      <c r="I10" s="718">
        <f>tertiair!H16</f>
        <v>0</v>
      </c>
      <c r="J10" s="718">
        <f>tertiair!I16</f>
        <v>0</v>
      </c>
      <c r="K10" s="718">
        <f>tertiair!J16</f>
        <v>0.1947268622738047</v>
      </c>
      <c r="L10" s="718">
        <f>tertiair!K16</f>
        <v>0</v>
      </c>
      <c r="M10" s="718">
        <f ca="1">tertiair!L16</f>
        <v>0</v>
      </c>
      <c r="N10" s="718">
        <f>tertiair!M16</f>
        <v>0</v>
      </c>
      <c r="O10" s="718">
        <f ca="1">tertiair!N16</f>
        <v>8044.0833994399291</v>
      </c>
      <c r="P10" s="718">
        <f>tertiair!O16</f>
        <v>17.196666666666669</v>
      </c>
      <c r="Q10" s="719">
        <f>tertiair!P16</f>
        <v>247.86666666666667</v>
      </c>
      <c r="R10" s="721">
        <f ca="1">SUM(C10:Q10)</f>
        <v>331425.37429881719</v>
      </c>
      <c r="S10" s="67"/>
    </row>
    <row r="11" spans="1:19" s="474" customFormat="1">
      <c r="A11" s="870" t="s">
        <v>225</v>
      </c>
      <c r="B11" s="875"/>
      <c r="C11" s="718">
        <f>huishoudens!B8</f>
        <v>114149.46652370263</v>
      </c>
      <c r="D11" s="718">
        <f>huishoudens!C8</f>
        <v>0</v>
      </c>
      <c r="E11" s="718">
        <f>huishoudens!D8</f>
        <v>309729.51683775027</v>
      </c>
      <c r="F11" s="718">
        <f>huishoudens!E8</f>
        <v>12841.437845542787</v>
      </c>
      <c r="G11" s="718">
        <f>huishoudens!F8</f>
        <v>0</v>
      </c>
      <c r="H11" s="718">
        <f>huishoudens!G8</f>
        <v>0</v>
      </c>
      <c r="I11" s="718">
        <f>huishoudens!H8</f>
        <v>0</v>
      </c>
      <c r="J11" s="718">
        <f>huishoudens!I8</f>
        <v>0</v>
      </c>
      <c r="K11" s="718">
        <f>huishoudens!J8</f>
        <v>8515.368962661476</v>
      </c>
      <c r="L11" s="718">
        <f>huishoudens!K8</f>
        <v>0</v>
      </c>
      <c r="M11" s="718">
        <f>huishoudens!L8</f>
        <v>0</v>
      </c>
      <c r="N11" s="718">
        <f>huishoudens!M8</f>
        <v>0</v>
      </c>
      <c r="O11" s="718">
        <f>huishoudens!N8</f>
        <v>59029.059010326258</v>
      </c>
      <c r="P11" s="718">
        <f>huishoudens!O8</f>
        <v>1022.4200000000001</v>
      </c>
      <c r="Q11" s="719">
        <f>huishoudens!P8</f>
        <v>4518.8</v>
      </c>
      <c r="R11" s="721">
        <f>SUM(C11:Q11)</f>
        <v>509806.06917998346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77592.41060286283</v>
      </c>
      <c r="D13" s="718">
        <f>industrie!C18</f>
        <v>919.28571428571433</v>
      </c>
      <c r="E13" s="718">
        <f>industrie!D18</f>
        <v>58951.484004670398</v>
      </c>
      <c r="F13" s="718">
        <f>industrie!E18</f>
        <v>4302.5017038228643</v>
      </c>
      <c r="G13" s="718">
        <f>industrie!F18</f>
        <v>15484.129448415544</v>
      </c>
      <c r="H13" s="718">
        <f>industrie!G18</f>
        <v>0</v>
      </c>
      <c r="I13" s="718">
        <f>industrie!H18</f>
        <v>0</v>
      </c>
      <c r="J13" s="718">
        <f>industrie!I18</f>
        <v>0</v>
      </c>
      <c r="K13" s="718">
        <f>industrie!J18</f>
        <v>136.57953472103381</v>
      </c>
      <c r="L13" s="718">
        <f>industrie!K18</f>
        <v>0</v>
      </c>
      <c r="M13" s="718">
        <f>industrie!L18</f>
        <v>0</v>
      </c>
      <c r="N13" s="718">
        <f>industrie!M18</f>
        <v>0</v>
      </c>
      <c r="O13" s="718">
        <f>industrie!N18</f>
        <v>17530.341936556026</v>
      </c>
      <c r="P13" s="718">
        <f>industrie!O18</f>
        <v>0</v>
      </c>
      <c r="Q13" s="719">
        <f>industrie!P18</f>
        <v>0</v>
      </c>
      <c r="R13" s="721">
        <f>SUM(C13:Q13)</f>
        <v>174916.7329453344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322903.7152497365</v>
      </c>
      <c r="D15" s="723">
        <f t="shared" ref="D15:Q15" ca="1" si="0">SUM(D9:D14)</f>
        <v>986.78571428571433</v>
      </c>
      <c r="E15" s="723">
        <f t="shared" ca="1" si="0"/>
        <v>536781.65605516848</v>
      </c>
      <c r="F15" s="723">
        <f t="shared" si="0"/>
        <v>19006.227850314324</v>
      </c>
      <c r="G15" s="723">
        <f t="shared" ca="1" si="0"/>
        <v>37407.880650729785</v>
      </c>
      <c r="H15" s="723">
        <f t="shared" si="0"/>
        <v>0</v>
      </c>
      <c r="I15" s="723">
        <f t="shared" si="0"/>
        <v>0</v>
      </c>
      <c r="J15" s="723">
        <f t="shared" si="0"/>
        <v>0</v>
      </c>
      <c r="K15" s="723">
        <f t="shared" si="0"/>
        <v>8652.1432242447827</v>
      </c>
      <c r="L15" s="723">
        <f t="shared" si="0"/>
        <v>0</v>
      </c>
      <c r="M15" s="723">
        <f t="shared" ca="1" si="0"/>
        <v>0</v>
      </c>
      <c r="N15" s="723">
        <f t="shared" si="0"/>
        <v>0</v>
      </c>
      <c r="O15" s="723">
        <f t="shared" ca="1" si="0"/>
        <v>84603.484346322206</v>
      </c>
      <c r="P15" s="723">
        <f t="shared" si="0"/>
        <v>1039.6166666666668</v>
      </c>
      <c r="Q15" s="724">
        <f t="shared" si="0"/>
        <v>4766.666666666667</v>
      </c>
      <c r="R15" s="725">
        <f ca="1">SUM(R9:R14)</f>
        <v>1016148.176424135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9682.4452322883662</v>
      </c>
      <c r="I18" s="718">
        <f>transport!H54</f>
        <v>0</v>
      </c>
      <c r="J18" s="718">
        <f>transport!I54</f>
        <v>0</v>
      </c>
      <c r="K18" s="718">
        <f>transport!J54</f>
        <v>0</v>
      </c>
      <c r="L18" s="718">
        <f>transport!K54</f>
        <v>0</v>
      </c>
      <c r="M18" s="718">
        <f>transport!L54</f>
        <v>0</v>
      </c>
      <c r="N18" s="718">
        <f>transport!M54</f>
        <v>549.92014529991184</v>
      </c>
      <c r="O18" s="718">
        <f>transport!N54</f>
        <v>0</v>
      </c>
      <c r="P18" s="718">
        <f>transport!O54</f>
        <v>0</v>
      </c>
      <c r="Q18" s="719">
        <f>transport!P54</f>
        <v>0</v>
      </c>
      <c r="R18" s="721">
        <f>SUM(C18:Q18)</f>
        <v>10232.365377588278</v>
      </c>
      <c r="S18" s="67"/>
    </row>
    <row r="19" spans="1:19" s="474" customFormat="1" ht="15" thickBot="1">
      <c r="A19" s="870" t="s">
        <v>307</v>
      </c>
      <c r="B19" s="875"/>
      <c r="C19" s="727">
        <f>transport!B14</f>
        <v>190.48125953317239</v>
      </c>
      <c r="D19" s="727">
        <f>transport!C14</f>
        <v>0</v>
      </c>
      <c r="E19" s="727">
        <f>transport!D14</f>
        <v>733.28049250931076</v>
      </c>
      <c r="F19" s="727">
        <f>transport!E14</f>
        <v>1022.7500223669982</v>
      </c>
      <c r="G19" s="727">
        <f>transport!F14</f>
        <v>0</v>
      </c>
      <c r="H19" s="727">
        <f>transport!G14</f>
        <v>423944.01921265584</v>
      </c>
      <c r="I19" s="727">
        <f>transport!H14</f>
        <v>83110.119005269065</v>
      </c>
      <c r="J19" s="727">
        <f>transport!I14</f>
        <v>0</v>
      </c>
      <c r="K19" s="727">
        <f>transport!J14</f>
        <v>0</v>
      </c>
      <c r="L19" s="727">
        <f>transport!K14</f>
        <v>0</v>
      </c>
      <c r="M19" s="727">
        <f>transport!L14</f>
        <v>0</v>
      </c>
      <c r="N19" s="727">
        <f>transport!M14</f>
        <v>27235.941195000847</v>
      </c>
      <c r="O19" s="727">
        <f>transport!N14</f>
        <v>0</v>
      </c>
      <c r="P19" s="727">
        <f>transport!O14</f>
        <v>0</v>
      </c>
      <c r="Q19" s="728">
        <f>transport!P14</f>
        <v>0</v>
      </c>
      <c r="R19" s="729">
        <f>SUM(C19:Q19)</f>
        <v>536236.59118733532</v>
      </c>
      <c r="S19" s="67"/>
    </row>
    <row r="20" spans="1:19" s="474" customFormat="1" ht="15.75" thickBot="1">
      <c r="A20" s="730" t="s">
        <v>230</v>
      </c>
      <c r="B20" s="878"/>
      <c r="C20" s="873">
        <f>SUM(C17:C19)</f>
        <v>190.48125953317239</v>
      </c>
      <c r="D20" s="731">
        <f t="shared" ref="D20:R20" si="1">SUM(D17:D19)</f>
        <v>0</v>
      </c>
      <c r="E20" s="731">
        <f t="shared" si="1"/>
        <v>733.28049250931076</v>
      </c>
      <c r="F20" s="731">
        <f t="shared" si="1"/>
        <v>1022.7500223669982</v>
      </c>
      <c r="G20" s="731">
        <f t="shared" si="1"/>
        <v>0</v>
      </c>
      <c r="H20" s="731">
        <f t="shared" si="1"/>
        <v>433626.46444494423</v>
      </c>
      <c r="I20" s="731">
        <f t="shared" si="1"/>
        <v>83110.119005269065</v>
      </c>
      <c r="J20" s="731">
        <f t="shared" si="1"/>
        <v>0</v>
      </c>
      <c r="K20" s="731">
        <f t="shared" si="1"/>
        <v>0</v>
      </c>
      <c r="L20" s="731">
        <f t="shared" si="1"/>
        <v>0</v>
      </c>
      <c r="M20" s="731">
        <f t="shared" si="1"/>
        <v>0</v>
      </c>
      <c r="N20" s="731">
        <f t="shared" si="1"/>
        <v>27785.861340300758</v>
      </c>
      <c r="O20" s="731">
        <f t="shared" si="1"/>
        <v>0</v>
      </c>
      <c r="P20" s="731">
        <f t="shared" si="1"/>
        <v>0</v>
      </c>
      <c r="Q20" s="732">
        <f t="shared" si="1"/>
        <v>0</v>
      </c>
      <c r="R20" s="733">
        <f t="shared" si="1"/>
        <v>546468.95656492363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4062.1486441316565</v>
      </c>
      <c r="D22" s="727">
        <f>+landbouw!C8</f>
        <v>0</v>
      </c>
      <c r="E22" s="727">
        <f>+landbouw!D8</f>
        <v>15523.585251519011</v>
      </c>
      <c r="F22" s="727">
        <f>+landbouw!E8</f>
        <v>119.39895588505011</v>
      </c>
      <c r="G22" s="727">
        <f>+landbouw!F8</f>
        <v>16922.691744461164</v>
      </c>
      <c r="H22" s="727">
        <f>+landbouw!G8</f>
        <v>0</v>
      </c>
      <c r="I22" s="727">
        <f>+landbouw!H8</f>
        <v>0</v>
      </c>
      <c r="J22" s="727">
        <f>+landbouw!I8</f>
        <v>0</v>
      </c>
      <c r="K22" s="727">
        <f>+landbouw!J8</f>
        <v>588.51810289396792</v>
      </c>
      <c r="L22" s="727">
        <f>+landbouw!K8</f>
        <v>0</v>
      </c>
      <c r="M22" s="727">
        <f>+landbouw!L8</f>
        <v>0</v>
      </c>
      <c r="N22" s="727">
        <f>+landbouw!M8</f>
        <v>0</v>
      </c>
      <c r="O22" s="727">
        <f>+landbouw!N8</f>
        <v>0</v>
      </c>
      <c r="P22" s="727">
        <f>+landbouw!O8</f>
        <v>0</v>
      </c>
      <c r="Q22" s="728">
        <f>+landbouw!P8</f>
        <v>0</v>
      </c>
      <c r="R22" s="729">
        <f>SUM(C22:Q22)</f>
        <v>37216.342698890854</v>
      </c>
      <c r="S22" s="67"/>
    </row>
    <row r="23" spans="1:19" s="474" customFormat="1" ht="17.25" thickTop="1" thickBot="1">
      <c r="A23" s="734" t="s">
        <v>116</v>
      </c>
      <c r="B23" s="864"/>
      <c r="C23" s="735">
        <f ca="1">C20+C15+C22</f>
        <v>327156.34515340131</v>
      </c>
      <c r="D23" s="735">
        <f t="shared" ref="D23:Q23" ca="1" si="2">D20+D15+D22</f>
        <v>986.78571428571433</v>
      </c>
      <c r="E23" s="735">
        <f t="shared" ca="1" si="2"/>
        <v>553038.52179919684</v>
      </c>
      <c r="F23" s="735">
        <f t="shared" si="2"/>
        <v>20148.376828566375</v>
      </c>
      <c r="G23" s="735">
        <f t="shared" ca="1" si="2"/>
        <v>54330.572395190946</v>
      </c>
      <c r="H23" s="735">
        <f t="shared" si="2"/>
        <v>433626.46444494423</v>
      </c>
      <c r="I23" s="735">
        <f t="shared" si="2"/>
        <v>83110.119005269065</v>
      </c>
      <c r="J23" s="735">
        <f t="shared" si="2"/>
        <v>0</v>
      </c>
      <c r="K23" s="735">
        <f t="shared" si="2"/>
        <v>9240.6613271387505</v>
      </c>
      <c r="L23" s="735">
        <f t="shared" si="2"/>
        <v>0</v>
      </c>
      <c r="M23" s="735">
        <f t="shared" ca="1" si="2"/>
        <v>0</v>
      </c>
      <c r="N23" s="735">
        <f t="shared" si="2"/>
        <v>27785.861340300758</v>
      </c>
      <c r="O23" s="735">
        <f t="shared" ca="1" si="2"/>
        <v>84603.484346322206</v>
      </c>
      <c r="P23" s="735">
        <f t="shared" si="2"/>
        <v>1039.6166666666668</v>
      </c>
      <c r="Q23" s="736">
        <f t="shared" si="2"/>
        <v>4766.666666666667</v>
      </c>
      <c r="R23" s="737">
        <f ca="1">R20+R15+R22</f>
        <v>1599833.4756879497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26907.568443523945</v>
      </c>
      <c r="D36" s="718">
        <f ca="1">tertiair!C20</f>
        <v>16.041176470588233</v>
      </c>
      <c r="E36" s="718">
        <f ca="1">tertiair!D20</f>
        <v>33956.332352975056</v>
      </c>
      <c r="F36" s="718">
        <f>tertiair!E20</f>
        <v>422.73944431534886</v>
      </c>
      <c r="G36" s="718">
        <f ca="1">tertiair!F20</f>
        <v>5853.6415710179035</v>
      </c>
      <c r="H36" s="718">
        <f>tertiair!G20</f>
        <v>0</v>
      </c>
      <c r="I36" s="718">
        <f>tertiair!H20</f>
        <v>0</v>
      </c>
      <c r="J36" s="718">
        <f>tertiair!I20</f>
        <v>0</v>
      </c>
      <c r="K36" s="718">
        <f>tertiair!J20</f>
        <v>6.8933309244926855E-2</v>
      </c>
      <c r="L36" s="718">
        <f>tertiair!K20</f>
        <v>0</v>
      </c>
      <c r="M36" s="718">
        <f ca="1">tertiair!L20</f>
        <v>0</v>
      </c>
      <c r="N36" s="718">
        <f>tertiair!M20</f>
        <v>0</v>
      </c>
      <c r="O36" s="718">
        <f ca="1">tertiair!N20</f>
        <v>0</v>
      </c>
      <c r="P36" s="718">
        <f>tertiair!O20</f>
        <v>0</v>
      </c>
      <c r="Q36" s="828">
        <f>tertiair!P20</f>
        <v>0</v>
      </c>
      <c r="R36" s="917">
        <f ca="1">SUM(C36:Q36)</f>
        <v>67156.391921612085</v>
      </c>
    </row>
    <row r="37" spans="1:18">
      <c r="A37" s="885" t="s">
        <v>225</v>
      </c>
      <c r="B37" s="892"/>
      <c r="C37" s="718">
        <f ca="1">huishoudens!B12</f>
        <v>23417.517070734506</v>
      </c>
      <c r="D37" s="718">
        <f ca="1">huishoudens!C12</f>
        <v>0</v>
      </c>
      <c r="E37" s="718">
        <f>huishoudens!D12</f>
        <v>62565.36240122556</v>
      </c>
      <c r="F37" s="718">
        <f>huishoudens!E12</f>
        <v>2915.0063909382129</v>
      </c>
      <c r="G37" s="718">
        <f>huishoudens!F12</f>
        <v>0</v>
      </c>
      <c r="H37" s="718">
        <f>huishoudens!G12</f>
        <v>0</v>
      </c>
      <c r="I37" s="718">
        <f>huishoudens!H12</f>
        <v>0</v>
      </c>
      <c r="J37" s="718">
        <f>huishoudens!I12</f>
        <v>0</v>
      </c>
      <c r="K37" s="718">
        <f>huishoudens!J12</f>
        <v>3014.4406127821621</v>
      </c>
      <c r="L37" s="718">
        <f>huishoudens!K12</f>
        <v>0</v>
      </c>
      <c r="M37" s="718">
        <f>huishoudens!L12</f>
        <v>0</v>
      </c>
      <c r="N37" s="718">
        <f>huishoudens!M12</f>
        <v>0</v>
      </c>
      <c r="O37" s="718">
        <f>huishoudens!N12</f>
        <v>0</v>
      </c>
      <c r="P37" s="718">
        <f>huishoudens!O12</f>
        <v>0</v>
      </c>
      <c r="Q37" s="828">
        <f>huishoudens!P12</f>
        <v>0</v>
      </c>
      <c r="R37" s="917">
        <f ca="1">SUM(C37:Q37)</f>
        <v>91912.326475680442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15917.915827269197</v>
      </c>
      <c r="D39" s="718">
        <f ca="1">industrie!C22</f>
        <v>218.46554621848739</v>
      </c>
      <c r="E39" s="718">
        <f>industrie!D22</f>
        <v>11908.199768943421</v>
      </c>
      <c r="F39" s="718">
        <f>industrie!E22</f>
        <v>976.66788676779026</v>
      </c>
      <c r="G39" s="718">
        <f>industrie!F22</f>
        <v>4134.2625627269508</v>
      </c>
      <c r="H39" s="718">
        <f>industrie!G22</f>
        <v>0</v>
      </c>
      <c r="I39" s="718">
        <f>industrie!H22</f>
        <v>0</v>
      </c>
      <c r="J39" s="718">
        <f>industrie!I22</f>
        <v>0</v>
      </c>
      <c r="K39" s="718">
        <f>industrie!J22</f>
        <v>48.349155291245964</v>
      </c>
      <c r="L39" s="718">
        <f>industrie!K22</f>
        <v>0</v>
      </c>
      <c r="M39" s="718">
        <f>industrie!L22</f>
        <v>0</v>
      </c>
      <c r="N39" s="718">
        <f>industrie!M22</f>
        <v>0</v>
      </c>
      <c r="O39" s="718">
        <f>industrie!N22</f>
        <v>0</v>
      </c>
      <c r="P39" s="718">
        <f>industrie!O22</f>
        <v>0</v>
      </c>
      <c r="Q39" s="828">
        <f>industrie!P22</f>
        <v>0</v>
      </c>
      <c r="R39" s="918">
        <f ca="1">SUM(C39:Q39)</f>
        <v>33203.860747217092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66243.001341527648</v>
      </c>
      <c r="D41" s="763">
        <f t="shared" ref="D41:R41" ca="1" si="4">SUM(D35:D40)</f>
        <v>234.50672268907562</v>
      </c>
      <c r="E41" s="763">
        <f t="shared" ca="1" si="4"/>
        <v>108429.89452314403</v>
      </c>
      <c r="F41" s="763">
        <f t="shared" si="4"/>
        <v>4314.4137220213524</v>
      </c>
      <c r="G41" s="763">
        <f t="shared" ca="1" si="4"/>
        <v>9987.9041337448543</v>
      </c>
      <c r="H41" s="763">
        <f t="shared" si="4"/>
        <v>0</v>
      </c>
      <c r="I41" s="763">
        <f t="shared" si="4"/>
        <v>0</v>
      </c>
      <c r="J41" s="763">
        <f t="shared" si="4"/>
        <v>0</v>
      </c>
      <c r="K41" s="763">
        <f t="shared" si="4"/>
        <v>3062.8587013826532</v>
      </c>
      <c r="L41" s="763">
        <f t="shared" si="4"/>
        <v>0</v>
      </c>
      <c r="M41" s="763">
        <f t="shared" ca="1" si="4"/>
        <v>0</v>
      </c>
      <c r="N41" s="763">
        <f t="shared" si="4"/>
        <v>0</v>
      </c>
      <c r="O41" s="763">
        <f t="shared" ca="1" si="4"/>
        <v>0</v>
      </c>
      <c r="P41" s="763">
        <f t="shared" si="4"/>
        <v>0</v>
      </c>
      <c r="Q41" s="764">
        <f t="shared" si="4"/>
        <v>0</v>
      </c>
      <c r="R41" s="765">
        <f t="shared" ca="1" si="4"/>
        <v>192272.57914450963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2585.2128770209938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2585.2128770209938</v>
      </c>
    </row>
    <row r="45" spans="1:18" ht="15" thickBot="1">
      <c r="A45" s="888" t="s">
        <v>307</v>
      </c>
      <c r="B45" s="898"/>
      <c r="C45" s="727">
        <f ca="1">transport!B18</f>
        <v>39.07681991528932</v>
      </c>
      <c r="D45" s="727">
        <f>transport!C18</f>
        <v>0</v>
      </c>
      <c r="E45" s="727">
        <f>transport!D18</f>
        <v>148.12265948688079</v>
      </c>
      <c r="F45" s="727">
        <f>transport!E18</f>
        <v>232.16425507730861</v>
      </c>
      <c r="G45" s="727">
        <f>transport!F18</f>
        <v>0</v>
      </c>
      <c r="H45" s="727">
        <f>transport!G18</f>
        <v>113193.05312977912</v>
      </c>
      <c r="I45" s="727">
        <f>transport!H18</f>
        <v>20694.419632311998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134306.83649657061</v>
      </c>
    </row>
    <row r="46" spans="1:18" ht="15.75" thickBot="1">
      <c r="A46" s="886" t="s">
        <v>230</v>
      </c>
      <c r="B46" s="899"/>
      <c r="C46" s="763">
        <f t="shared" ref="C46:R46" ca="1" si="5">SUM(C43:C45)</f>
        <v>39.07681991528932</v>
      </c>
      <c r="D46" s="763">
        <f t="shared" ca="1" si="5"/>
        <v>0</v>
      </c>
      <c r="E46" s="763">
        <f t="shared" si="5"/>
        <v>148.12265948688079</v>
      </c>
      <c r="F46" s="763">
        <f t="shared" si="5"/>
        <v>232.16425507730861</v>
      </c>
      <c r="G46" s="763">
        <f t="shared" si="5"/>
        <v>0</v>
      </c>
      <c r="H46" s="763">
        <f t="shared" si="5"/>
        <v>115778.26600680011</v>
      </c>
      <c r="I46" s="763">
        <f t="shared" si="5"/>
        <v>20694.419632311998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136892.04937359161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833.34104060890832</v>
      </c>
      <c r="D48" s="718">
        <f ca="1">+landbouw!C12</f>
        <v>0</v>
      </c>
      <c r="E48" s="718">
        <f>+landbouw!D12</f>
        <v>3135.7642208068405</v>
      </c>
      <c r="F48" s="718">
        <f>+landbouw!E12</f>
        <v>27.103562985906375</v>
      </c>
      <c r="G48" s="718">
        <f>+landbouw!F12</f>
        <v>4518.3586957711314</v>
      </c>
      <c r="H48" s="718">
        <f>+landbouw!G12</f>
        <v>0</v>
      </c>
      <c r="I48" s="718">
        <f>+landbouw!H12</f>
        <v>0</v>
      </c>
      <c r="J48" s="718">
        <f>+landbouw!I12</f>
        <v>0</v>
      </c>
      <c r="K48" s="718">
        <f>+landbouw!J12</f>
        <v>208.33540842446465</v>
      </c>
      <c r="L48" s="718">
        <f>+landbouw!K12</f>
        <v>0</v>
      </c>
      <c r="M48" s="718">
        <f>+landbouw!L12</f>
        <v>0</v>
      </c>
      <c r="N48" s="718">
        <f>+landbouw!M12</f>
        <v>0</v>
      </c>
      <c r="O48" s="718">
        <f>+landbouw!N12</f>
        <v>0</v>
      </c>
      <c r="P48" s="718">
        <f>+landbouw!O12</f>
        <v>0</v>
      </c>
      <c r="Q48" s="719">
        <f>+landbouw!P12</f>
        <v>0</v>
      </c>
      <c r="R48" s="761">
        <f ca="1">SUM(C48:Q48)</f>
        <v>8722.9029285972501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67115.419202051853</v>
      </c>
      <c r="D53" s="773">
        <f t="shared" ref="D53:Q53" ca="1" si="6">D41+D46+D48</f>
        <v>234.50672268907562</v>
      </c>
      <c r="E53" s="773">
        <f t="shared" ca="1" si="6"/>
        <v>111713.78140343775</v>
      </c>
      <c r="F53" s="773">
        <f t="shared" si="6"/>
        <v>4573.6815400845671</v>
      </c>
      <c r="G53" s="773">
        <f t="shared" ca="1" si="6"/>
        <v>14506.262829515985</v>
      </c>
      <c r="H53" s="773">
        <f t="shared" si="6"/>
        <v>115778.26600680011</v>
      </c>
      <c r="I53" s="773">
        <f t="shared" si="6"/>
        <v>20694.419632311998</v>
      </c>
      <c r="J53" s="773">
        <f t="shared" si="6"/>
        <v>0</v>
      </c>
      <c r="K53" s="773">
        <f t="shared" si="6"/>
        <v>3271.1941098071179</v>
      </c>
      <c r="L53" s="773">
        <f t="shared" si="6"/>
        <v>0</v>
      </c>
      <c r="M53" s="773">
        <f t="shared" ca="1" si="6"/>
        <v>0</v>
      </c>
      <c r="N53" s="773">
        <f t="shared" si="6"/>
        <v>0</v>
      </c>
      <c r="O53" s="773">
        <f t="shared" ca="1" si="6"/>
        <v>0</v>
      </c>
      <c r="P53" s="773">
        <f>P41+P46+P48</f>
        <v>0</v>
      </c>
      <c r="Q53" s="774">
        <f t="shared" si="6"/>
        <v>0</v>
      </c>
      <c r="R53" s="775">
        <f ca="1">R41+R46+R48</f>
        <v>337887.53144669847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0.20514784504815856</v>
      </c>
      <c r="D55" s="836">
        <f t="shared" ca="1" si="7"/>
        <v>0.23764705882352938</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23518.696980688685</v>
      </c>
      <c r="C66" s="795">
        <f>'lokale energieproductie'!B6</f>
        <v>23518.696980688685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690.75</v>
      </c>
      <c r="C67" s="794">
        <f>B67*IFERROR(SUM(J67:L67)/SUM(D67:M67),0)</f>
        <v>0</v>
      </c>
      <c r="D67" s="826">
        <f>'lokale energieproductie'!C7</f>
        <v>812.64705882352951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164.15470588235297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24209.446980688685</v>
      </c>
      <c r="C69" s="803">
        <f>SUM(C64:C68)</f>
        <v>23518.696980688685</v>
      </c>
      <c r="D69" s="804">
        <f t="shared" ref="D69:M69" si="8">SUM(D67:D68)</f>
        <v>812.64705882352951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164.15470588235297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986.78571428571433</v>
      </c>
      <c r="C78" s="817">
        <f>B78*IFERROR(SUM(I78:L78)/SUM(D78:M78),0)</f>
        <v>0</v>
      </c>
      <c r="D78" s="832">
        <f>'lokale energieproductie'!C16</f>
        <v>1160.9243697478992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234.50672268907564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986.78571428571433</v>
      </c>
      <c r="C81" s="803">
        <f>SUM(C78:C80)</f>
        <v>0</v>
      </c>
      <c r="D81" s="803">
        <f t="shared" ref="D81:P81" si="9">SUM(D78:D80)</f>
        <v>1160.9243697478992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234.50672268907564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114149.46652370263</v>
      </c>
      <c r="C4" s="478">
        <f>huishoudens!C8</f>
        <v>0</v>
      </c>
      <c r="D4" s="478">
        <f>huishoudens!D8</f>
        <v>309729.51683775027</v>
      </c>
      <c r="E4" s="478">
        <f>huishoudens!E8</f>
        <v>12841.437845542787</v>
      </c>
      <c r="F4" s="478">
        <f>huishoudens!F8</f>
        <v>0</v>
      </c>
      <c r="G4" s="478">
        <f>huishoudens!G8</f>
        <v>0</v>
      </c>
      <c r="H4" s="478">
        <f>huishoudens!H8</f>
        <v>0</v>
      </c>
      <c r="I4" s="478">
        <f>huishoudens!I8</f>
        <v>0</v>
      </c>
      <c r="J4" s="478">
        <f>huishoudens!J8</f>
        <v>8515.368962661476</v>
      </c>
      <c r="K4" s="478">
        <f>huishoudens!K8</f>
        <v>0</v>
      </c>
      <c r="L4" s="478">
        <f>huishoudens!L8</f>
        <v>0</v>
      </c>
      <c r="M4" s="478">
        <f>huishoudens!M8</f>
        <v>0</v>
      </c>
      <c r="N4" s="478">
        <f>huishoudens!N8</f>
        <v>59029.059010326258</v>
      </c>
      <c r="O4" s="478">
        <f>huishoudens!O8</f>
        <v>1022.4200000000001</v>
      </c>
      <c r="P4" s="479">
        <f>huishoudens!P8</f>
        <v>4518.8</v>
      </c>
      <c r="Q4" s="480">
        <f>SUM(B4:P4)</f>
        <v>509806.06917998346</v>
      </c>
    </row>
    <row r="5" spans="1:17">
      <c r="A5" s="477" t="s">
        <v>156</v>
      </c>
      <c r="B5" s="478">
        <f ca="1">tertiair!B16</f>
        <v>127739.51712317104</v>
      </c>
      <c r="C5" s="478">
        <f ca="1">tertiair!C16</f>
        <v>67.5</v>
      </c>
      <c r="D5" s="478">
        <f ca="1">tertiair!D16</f>
        <v>168100.65521274778</v>
      </c>
      <c r="E5" s="478">
        <f>tertiair!E16</f>
        <v>1862.2883009486734</v>
      </c>
      <c r="F5" s="478">
        <f ca="1">tertiair!F16</f>
        <v>21923.751202314244</v>
      </c>
      <c r="G5" s="478">
        <f>tertiair!G16</f>
        <v>0</v>
      </c>
      <c r="H5" s="478">
        <f>tertiair!H16</f>
        <v>0</v>
      </c>
      <c r="I5" s="478">
        <f>tertiair!I16</f>
        <v>0</v>
      </c>
      <c r="J5" s="478">
        <f>tertiair!J16</f>
        <v>0.1947268622738047</v>
      </c>
      <c r="K5" s="478">
        <f>tertiair!K16</f>
        <v>0</v>
      </c>
      <c r="L5" s="478">
        <f ca="1">tertiair!L16</f>
        <v>0</v>
      </c>
      <c r="M5" s="478">
        <f>tertiair!M16</f>
        <v>0</v>
      </c>
      <c r="N5" s="478">
        <f ca="1">tertiair!N16</f>
        <v>8044.0833994399291</v>
      </c>
      <c r="O5" s="478">
        <f>tertiair!O16</f>
        <v>17.196666666666669</v>
      </c>
      <c r="P5" s="479">
        <f>tertiair!P16</f>
        <v>247.86666666666667</v>
      </c>
      <c r="Q5" s="477">
        <f t="shared" ref="Q5:Q13" ca="1" si="0">SUM(B5:P5)</f>
        <v>328003.05329881719</v>
      </c>
    </row>
    <row r="6" spans="1:17">
      <c r="A6" s="477" t="s">
        <v>194</v>
      </c>
      <c r="B6" s="478">
        <f>'openbare verlichting'!B8</f>
        <v>3422.3209999999999</v>
      </c>
      <c r="C6" s="478"/>
      <c r="D6" s="478"/>
      <c r="E6" s="478"/>
      <c r="F6" s="478"/>
      <c r="G6" s="478"/>
      <c r="H6" s="478"/>
      <c r="I6" s="478"/>
      <c r="J6" s="478"/>
      <c r="K6" s="478"/>
      <c r="L6" s="478"/>
      <c r="M6" s="478"/>
      <c r="N6" s="478"/>
      <c r="O6" s="478"/>
      <c r="P6" s="479"/>
      <c r="Q6" s="477">
        <f t="shared" si="0"/>
        <v>3422.3209999999999</v>
      </c>
    </row>
    <row r="7" spans="1:17">
      <c r="A7" s="477" t="s">
        <v>112</v>
      </c>
      <c r="B7" s="478">
        <f>landbouw!B8</f>
        <v>4062.1486441316565</v>
      </c>
      <c r="C7" s="478">
        <f>landbouw!C8</f>
        <v>0</v>
      </c>
      <c r="D7" s="478">
        <f>landbouw!D8</f>
        <v>15523.585251519011</v>
      </c>
      <c r="E7" s="478">
        <f>landbouw!E8</f>
        <v>119.39895588505011</v>
      </c>
      <c r="F7" s="478">
        <f>landbouw!F8</f>
        <v>16922.691744461164</v>
      </c>
      <c r="G7" s="478">
        <f>landbouw!G8</f>
        <v>0</v>
      </c>
      <c r="H7" s="478">
        <f>landbouw!H8</f>
        <v>0</v>
      </c>
      <c r="I7" s="478">
        <f>landbouw!I8</f>
        <v>0</v>
      </c>
      <c r="J7" s="478">
        <f>landbouw!J8</f>
        <v>588.51810289396792</v>
      </c>
      <c r="K7" s="478">
        <f>landbouw!K8</f>
        <v>0</v>
      </c>
      <c r="L7" s="478">
        <f>landbouw!L8</f>
        <v>0</v>
      </c>
      <c r="M7" s="478">
        <f>landbouw!M8</f>
        <v>0</v>
      </c>
      <c r="N7" s="478">
        <f>landbouw!N8</f>
        <v>0</v>
      </c>
      <c r="O7" s="478">
        <f>landbouw!O8</f>
        <v>0</v>
      </c>
      <c r="P7" s="479">
        <f>landbouw!P8</f>
        <v>0</v>
      </c>
      <c r="Q7" s="477">
        <f t="shared" si="0"/>
        <v>37216.342698890854</v>
      </c>
    </row>
    <row r="8" spans="1:17">
      <c r="A8" s="477" t="s">
        <v>635</v>
      </c>
      <c r="B8" s="478">
        <f>industrie!B18</f>
        <v>77592.41060286283</v>
      </c>
      <c r="C8" s="478">
        <f>industrie!C18</f>
        <v>919.28571428571433</v>
      </c>
      <c r="D8" s="478">
        <f>industrie!D18</f>
        <v>58951.484004670398</v>
      </c>
      <c r="E8" s="478">
        <f>industrie!E18</f>
        <v>4302.5017038228643</v>
      </c>
      <c r="F8" s="478">
        <f>industrie!F18</f>
        <v>15484.129448415544</v>
      </c>
      <c r="G8" s="478">
        <f>industrie!G18</f>
        <v>0</v>
      </c>
      <c r="H8" s="478">
        <f>industrie!H18</f>
        <v>0</v>
      </c>
      <c r="I8" s="478">
        <f>industrie!I18</f>
        <v>0</v>
      </c>
      <c r="J8" s="478">
        <f>industrie!J18</f>
        <v>136.57953472103381</v>
      </c>
      <c r="K8" s="478">
        <f>industrie!K18</f>
        <v>0</v>
      </c>
      <c r="L8" s="478">
        <f>industrie!L18</f>
        <v>0</v>
      </c>
      <c r="M8" s="478">
        <f>industrie!M18</f>
        <v>0</v>
      </c>
      <c r="N8" s="478">
        <f>industrie!N18</f>
        <v>17530.341936556026</v>
      </c>
      <c r="O8" s="478">
        <f>industrie!O18</f>
        <v>0</v>
      </c>
      <c r="P8" s="479">
        <f>industrie!P18</f>
        <v>0</v>
      </c>
      <c r="Q8" s="477">
        <f t="shared" si="0"/>
        <v>174916.7329453344</v>
      </c>
    </row>
    <row r="9" spans="1:17" s="483" customFormat="1">
      <c r="A9" s="481" t="s">
        <v>561</v>
      </c>
      <c r="B9" s="482">
        <f>transport!B14</f>
        <v>190.48125953317239</v>
      </c>
      <c r="C9" s="482"/>
      <c r="D9" s="482">
        <f>transport!D14</f>
        <v>733.28049250931076</v>
      </c>
      <c r="E9" s="482">
        <f>transport!E14</f>
        <v>1022.7500223669982</v>
      </c>
      <c r="F9" s="482"/>
      <c r="G9" s="482">
        <f>transport!G14</f>
        <v>423944.01921265584</v>
      </c>
      <c r="H9" s="482">
        <f>transport!H14</f>
        <v>83110.119005269065</v>
      </c>
      <c r="I9" s="482"/>
      <c r="J9" s="482"/>
      <c r="K9" s="482"/>
      <c r="L9" s="482"/>
      <c r="M9" s="482">
        <f>transport!M14</f>
        <v>27235.941195000847</v>
      </c>
      <c r="N9" s="482"/>
      <c r="O9" s="482"/>
      <c r="P9" s="482"/>
      <c r="Q9" s="481">
        <f>SUM(B9:P9)</f>
        <v>536236.59118733532</v>
      </c>
    </row>
    <row r="10" spans="1:17">
      <c r="A10" s="477" t="s">
        <v>551</v>
      </c>
      <c r="B10" s="478">
        <f>transport!B54</f>
        <v>0</v>
      </c>
      <c r="C10" s="478"/>
      <c r="D10" s="478">
        <f>transport!D54</f>
        <v>0</v>
      </c>
      <c r="E10" s="478"/>
      <c r="F10" s="478"/>
      <c r="G10" s="478">
        <f>transport!G54</f>
        <v>9682.4452322883662</v>
      </c>
      <c r="H10" s="478"/>
      <c r="I10" s="478"/>
      <c r="J10" s="478"/>
      <c r="K10" s="478"/>
      <c r="L10" s="478"/>
      <c r="M10" s="478">
        <f>transport!M54</f>
        <v>549.92014529991184</v>
      </c>
      <c r="N10" s="478"/>
      <c r="O10" s="478"/>
      <c r="P10" s="479"/>
      <c r="Q10" s="477">
        <f t="shared" si="0"/>
        <v>10232.365377588278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327156.34515340131</v>
      </c>
      <c r="C14" s="488">
        <f t="shared" ref="C14:Q14" ca="1" si="1">SUM(C4:C13)</f>
        <v>986.78571428571433</v>
      </c>
      <c r="D14" s="488">
        <f t="shared" ca="1" si="1"/>
        <v>553038.52179919684</v>
      </c>
      <c r="E14" s="488">
        <f t="shared" si="1"/>
        <v>20148.376828566375</v>
      </c>
      <c r="F14" s="488">
        <f t="shared" ca="1" si="1"/>
        <v>54330.572395190953</v>
      </c>
      <c r="G14" s="488">
        <f t="shared" si="1"/>
        <v>433626.46444494423</v>
      </c>
      <c r="H14" s="488">
        <f t="shared" si="1"/>
        <v>83110.119005269065</v>
      </c>
      <c r="I14" s="488">
        <f t="shared" si="1"/>
        <v>0</v>
      </c>
      <c r="J14" s="488">
        <f t="shared" si="1"/>
        <v>9240.6613271387505</v>
      </c>
      <c r="K14" s="488">
        <f t="shared" si="1"/>
        <v>0</v>
      </c>
      <c r="L14" s="488">
        <f t="shared" ca="1" si="1"/>
        <v>0</v>
      </c>
      <c r="M14" s="488">
        <f t="shared" si="1"/>
        <v>27785.861340300758</v>
      </c>
      <c r="N14" s="488">
        <f t="shared" ca="1" si="1"/>
        <v>84603.484346322206</v>
      </c>
      <c r="O14" s="488">
        <f t="shared" si="1"/>
        <v>1039.6166666666668</v>
      </c>
      <c r="P14" s="489">
        <f t="shared" si="1"/>
        <v>4766.666666666667</v>
      </c>
      <c r="Q14" s="489">
        <f t="shared" ca="1" si="1"/>
        <v>1599833.4756879492</v>
      </c>
    </row>
    <row r="16" spans="1:17">
      <c r="A16" s="491" t="s">
        <v>556</v>
      </c>
      <c r="B16" s="841">
        <f ca="1">huishoudens!B10</f>
        <v>0.20514784504815853</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23417.517070734506</v>
      </c>
      <c r="C21" s="478">
        <f t="shared" ref="C21:C28" ca="1" si="3">C4*$C$16</f>
        <v>0</v>
      </c>
      <c r="D21" s="478">
        <f t="shared" ref="D21:D30" si="4">D4*$D$16</f>
        <v>62565.36240122556</v>
      </c>
      <c r="E21" s="478">
        <f t="shared" ref="E21:E30" si="5">E4*$E$16</f>
        <v>2915.0063909382129</v>
      </c>
      <c r="F21" s="478">
        <f t="shared" ref="F21:F28" si="6">F4*$F$16</f>
        <v>0</v>
      </c>
      <c r="G21" s="478">
        <f t="shared" ref="G21:G30" si="7">G4*$G$16</f>
        <v>0</v>
      </c>
      <c r="H21" s="478">
        <f t="shared" ref="H21:H30" si="8">H4*$H$16</f>
        <v>0</v>
      </c>
      <c r="I21" s="478">
        <f t="shared" ref="I21:I28" si="9">I4*$I$16</f>
        <v>0</v>
      </c>
      <c r="J21" s="478">
        <f t="shared" ref="J21:J28" si="10">J4*$J$16</f>
        <v>3014.4406127821621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91912.326475680442</v>
      </c>
    </row>
    <row r="22" spans="1:17">
      <c r="A22" s="477" t="s">
        <v>156</v>
      </c>
      <c r="B22" s="478">
        <f t="shared" ca="1" si="2"/>
        <v>26205.486665310887</v>
      </c>
      <c r="C22" s="478">
        <f t="shared" ca="1" si="3"/>
        <v>16.041176470588233</v>
      </c>
      <c r="D22" s="478">
        <f t="shared" ca="1" si="4"/>
        <v>33956.332352975056</v>
      </c>
      <c r="E22" s="478">
        <f t="shared" si="5"/>
        <v>422.73944431534886</v>
      </c>
      <c r="F22" s="478">
        <f t="shared" ca="1" si="6"/>
        <v>5853.6415710179035</v>
      </c>
      <c r="G22" s="478">
        <f t="shared" si="7"/>
        <v>0</v>
      </c>
      <c r="H22" s="478">
        <f t="shared" si="8"/>
        <v>0</v>
      </c>
      <c r="I22" s="478">
        <f t="shared" si="9"/>
        <v>0</v>
      </c>
      <c r="J22" s="478">
        <f t="shared" si="10"/>
        <v>6.8933309244926855E-2</v>
      </c>
      <c r="K22" s="478">
        <f t="shared" si="11"/>
        <v>0</v>
      </c>
      <c r="L22" s="478">
        <f t="shared" ca="1" si="12"/>
        <v>0</v>
      </c>
      <c r="M22" s="478">
        <f t="shared" si="13"/>
        <v>0</v>
      </c>
      <c r="N22" s="478">
        <f t="shared" ca="1" si="14"/>
        <v>0</v>
      </c>
      <c r="O22" s="478">
        <f t="shared" si="15"/>
        <v>0</v>
      </c>
      <c r="P22" s="479">
        <f t="shared" si="16"/>
        <v>0</v>
      </c>
      <c r="Q22" s="477">
        <f t="shared" ref="Q22:Q30" ca="1" si="17">SUM(B22:P22)</f>
        <v>66454.310143399023</v>
      </c>
    </row>
    <row r="23" spans="1:17">
      <c r="A23" s="477" t="s">
        <v>194</v>
      </c>
      <c r="B23" s="478">
        <f t="shared" ca="1" si="2"/>
        <v>702.0817782130589</v>
      </c>
      <c r="C23" s="478"/>
      <c r="D23" s="478"/>
      <c r="E23" s="478"/>
      <c r="F23" s="478"/>
      <c r="G23" s="478"/>
      <c r="H23" s="478"/>
      <c r="I23" s="478"/>
      <c r="J23" s="478"/>
      <c r="K23" s="478"/>
      <c r="L23" s="478"/>
      <c r="M23" s="478"/>
      <c r="N23" s="478"/>
      <c r="O23" s="478"/>
      <c r="P23" s="479"/>
      <c r="Q23" s="477">
        <f t="shared" ca="1" si="17"/>
        <v>702.0817782130589</v>
      </c>
    </row>
    <row r="24" spans="1:17">
      <c r="A24" s="477" t="s">
        <v>112</v>
      </c>
      <c r="B24" s="478">
        <f t="shared" ca="1" si="2"/>
        <v>833.34104060890832</v>
      </c>
      <c r="C24" s="478">
        <f t="shared" ca="1" si="3"/>
        <v>0</v>
      </c>
      <c r="D24" s="478">
        <f t="shared" si="4"/>
        <v>3135.7642208068405</v>
      </c>
      <c r="E24" s="478">
        <f t="shared" si="5"/>
        <v>27.103562985906375</v>
      </c>
      <c r="F24" s="478">
        <f t="shared" si="6"/>
        <v>4518.3586957711314</v>
      </c>
      <c r="G24" s="478">
        <f t="shared" si="7"/>
        <v>0</v>
      </c>
      <c r="H24" s="478">
        <f t="shared" si="8"/>
        <v>0</v>
      </c>
      <c r="I24" s="478">
        <f t="shared" si="9"/>
        <v>0</v>
      </c>
      <c r="J24" s="478">
        <f t="shared" si="10"/>
        <v>208.33540842446465</v>
      </c>
      <c r="K24" s="478">
        <f t="shared" si="11"/>
        <v>0</v>
      </c>
      <c r="L24" s="478">
        <f t="shared" si="12"/>
        <v>0</v>
      </c>
      <c r="M24" s="478">
        <f t="shared" si="13"/>
        <v>0</v>
      </c>
      <c r="N24" s="478">
        <f t="shared" si="14"/>
        <v>0</v>
      </c>
      <c r="O24" s="478">
        <f t="shared" si="15"/>
        <v>0</v>
      </c>
      <c r="P24" s="479">
        <f t="shared" si="16"/>
        <v>0</v>
      </c>
      <c r="Q24" s="477">
        <f t="shared" ca="1" si="17"/>
        <v>8722.9029285972501</v>
      </c>
    </row>
    <row r="25" spans="1:17">
      <c r="A25" s="477" t="s">
        <v>635</v>
      </c>
      <c r="B25" s="478">
        <f t="shared" ca="1" si="2"/>
        <v>15917.915827269197</v>
      </c>
      <c r="C25" s="478">
        <f t="shared" ca="1" si="3"/>
        <v>218.46554621848739</v>
      </c>
      <c r="D25" s="478">
        <f t="shared" si="4"/>
        <v>11908.199768943421</v>
      </c>
      <c r="E25" s="478">
        <f t="shared" si="5"/>
        <v>976.66788676779026</v>
      </c>
      <c r="F25" s="478">
        <f t="shared" si="6"/>
        <v>4134.2625627269508</v>
      </c>
      <c r="G25" s="478">
        <f t="shared" si="7"/>
        <v>0</v>
      </c>
      <c r="H25" s="478">
        <f t="shared" si="8"/>
        <v>0</v>
      </c>
      <c r="I25" s="478">
        <f t="shared" si="9"/>
        <v>0</v>
      </c>
      <c r="J25" s="478">
        <f t="shared" si="10"/>
        <v>48.349155291245964</v>
      </c>
      <c r="K25" s="478">
        <f t="shared" si="11"/>
        <v>0</v>
      </c>
      <c r="L25" s="478">
        <f t="shared" si="12"/>
        <v>0</v>
      </c>
      <c r="M25" s="478">
        <f t="shared" si="13"/>
        <v>0</v>
      </c>
      <c r="N25" s="478">
        <f t="shared" si="14"/>
        <v>0</v>
      </c>
      <c r="O25" s="478">
        <f t="shared" si="15"/>
        <v>0</v>
      </c>
      <c r="P25" s="479">
        <f t="shared" si="16"/>
        <v>0</v>
      </c>
      <c r="Q25" s="477">
        <f t="shared" ca="1" si="17"/>
        <v>33203.860747217092</v>
      </c>
    </row>
    <row r="26" spans="1:17" s="483" customFormat="1">
      <c r="A26" s="481" t="s">
        <v>561</v>
      </c>
      <c r="B26" s="835">
        <f t="shared" ca="1" si="2"/>
        <v>39.07681991528932</v>
      </c>
      <c r="C26" s="482"/>
      <c r="D26" s="482">
        <f t="shared" si="4"/>
        <v>148.12265948688079</v>
      </c>
      <c r="E26" s="482">
        <f t="shared" si="5"/>
        <v>232.16425507730861</v>
      </c>
      <c r="F26" s="482"/>
      <c r="G26" s="482">
        <f t="shared" si="7"/>
        <v>113193.05312977912</v>
      </c>
      <c r="H26" s="482">
        <f t="shared" si="8"/>
        <v>20694.419632311998</v>
      </c>
      <c r="I26" s="482"/>
      <c r="J26" s="482"/>
      <c r="K26" s="482"/>
      <c r="L26" s="482"/>
      <c r="M26" s="482">
        <f t="shared" si="13"/>
        <v>0</v>
      </c>
      <c r="N26" s="482"/>
      <c r="O26" s="482"/>
      <c r="P26" s="493"/>
      <c r="Q26" s="481">
        <f t="shared" ca="1" si="17"/>
        <v>134306.83649657061</v>
      </c>
    </row>
    <row r="27" spans="1:17">
      <c r="A27" s="477" t="s">
        <v>551</v>
      </c>
      <c r="B27" s="478">
        <f t="shared" ca="1" si="2"/>
        <v>0</v>
      </c>
      <c r="C27" s="478"/>
      <c r="D27" s="482">
        <f t="shared" si="4"/>
        <v>0</v>
      </c>
      <c r="E27" s="478"/>
      <c r="F27" s="478"/>
      <c r="G27" s="478">
        <f t="shared" si="7"/>
        <v>2585.2128770209938</v>
      </c>
      <c r="H27" s="478"/>
      <c r="I27" s="478"/>
      <c r="J27" s="478"/>
      <c r="K27" s="478"/>
      <c r="L27" s="478"/>
      <c r="M27" s="478">
        <f t="shared" si="13"/>
        <v>0</v>
      </c>
      <c r="N27" s="478"/>
      <c r="O27" s="478"/>
      <c r="P27" s="479"/>
      <c r="Q27" s="477">
        <f t="shared" ca="1" si="17"/>
        <v>2585.2128770209938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67115.419202051853</v>
      </c>
      <c r="C31" s="488">
        <f t="shared" ca="1" si="18"/>
        <v>234.50672268907562</v>
      </c>
      <c r="D31" s="488">
        <f t="shared" ca="1" si="18"/>
        <v>111713.78140343775</v>
      </c>
      <c r="E31" s="488">
        <f t="shared" si="18"/>
        <v>4573.6815400845671</v>
      </c>
      <c r="F31" s="488">
        <f t="shared" ca="1" si="18"/>
        <v>14506.262829515985</v>
      </c>
      <c r="G31" s="488">
        <f t="shared" si="18"/>
        <v>115778.26600680011</v>
      </c>
      <c r="H31" s="488">
        <f t="shared" si="18"/>
        <v>20694.419632311998</v>
      </c>
      <c r="I31" s="488">
        <f t="shared" si="18"/>
        <v>0</v>
      </c>
      <c r="J31" s="488">
        <f t="shared" si="18"/>
        <v>3271.1941098071179</v>
      </c>
      <c r="K31" s="488">
        <f t="shared" si="18"/>
        <v>0</v>
      </c>
      <c r="L31" s="488">
        <f t="shared" ca="1" si="18"/>
        <v>0</v>
      </c>
      <c r="M31" s="488">
        <f t="shared" si="18"/>
        <v>0</v>
      </c>
      <c r="N31" s="488">
        <f t="shared" ca="1" si="18"/>
        <v>0</v>
      </c>
      <c r="O31" s="488">
        <f t="shared" si="18"/>
        <v>0</v>
      </c>
      <c r="P31" s="489">
        <f t="shared" si="18"/>
        <v>0</v>
      </c>
      <c r="Q31" s="489">
        <f t="shared" ca="1" si="18"/>
        <v>337887.53144669847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0.20514784504815853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0.20514784504815853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0.20514784504815853</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31807</v>
      </c>
      <c r="C9" s="342">
        <v>32708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3812.47</v>
      </c>
    </row>
    <row r="15" spans="1:6">
      <c r="A15" s="348" t="s">
        <v>184</v>
      </c>
      <c r="B15" s="334">
        <v>51</v>
      </c>
    </row>
    <row r="16" spans="1:6">
      <c r="A16" s="348" t="s">
        <v>6</v>
      </c>
      <c r="B16" s="334">
        <v>2199</v>
      </c>
    </row>
    <row r="17" spans="1:6">
      <c r="A17" s="348" t="s">
        <v>7</v>
      </c>
      <c r="B17" s="334">
        <v>1021</v>
      </c>
    </row>
    <row r="18" spans="1:6">
      <c r="A18" s="348" t="s">
        <v>8</v>
      </c>
      <c r="B18" s="334">
        <v>2050</v>
      </c>
    </row>
    <row r="19" spans="1:6">
      <c r="A19" s="348" t="s">
        <v>9</v>
      </c>
      <c r="B19" s="334">
        <v>1945</v>
      </c>
    </row>
    <row r="20" spans="1:6">
      <c r="A20" s="348" t="s">
        <v>10</v>
      </c>
      <c r="B20" s="334">
        <v>818</v>
      </c>
    </row>
    <row r="21" spans="1:6">
      <c r="A21" s="348" t="s">
        <v>11</v>
      </c>
      <c r="B21" s="334">
        <v>14285</v>
      </c>
    </row>
    <row r="22" spans="1:6">
      <c r="A22" s="348" t="s">
        <v>12</v>
      </c>
      <c r="B22" s="334">
        <v>27071</v>
      </c>
    </row>
    <row r="23" spans="1:6">
      <c r="A23" s="348" t="s">
        <v>13</v>
      </c>
      <c r="B23" s="334">
        <v>742</v>
      </c>
    </row>
    <row r="24" spans="1:6">
      <c r="A24" s="348" t="s">
        <v>14</v>
      </c>
      <c r="B24" s="334">
        <v>33</v>
      </c>
    </row>
    <row r="25" spans="1:6">
      <c r="A25" s="348" t="s">
        <v>15</v>
      </c>
      <c r="B25" s="334">
        <v>3484</v>
      </c>
    </row>
    <row r="26" spans="1:6">
      <c r="A26" s="348" t="s">
        <v>16</v>
      </c>
      <c r="B26" s="334">
        <v>269</v>
      </c>
    </row>
    <row r="27" spans="1:6">
      <c r="A27" s="348" t="s">
        <v>17</v>
      </c>
      <c r="B27" s="334">
        <v>785</v>
      </c>
    </row>
    <row r="28" spans="1:6" s="356" customFormat="1">
      <c r="A28" s="355" t="s">
        <v>18</v>
      </c>
      <c r="B28" s="355">
        <v>239974</v>
      </c>
    </row>
    <row r="29" spans="1:6">
      <c r="A29" s="355" t="s">
        <v>744</v>
      </c>
      <c r="B29" s="355">
        <v>596</v>
      </c>
      <c r="C29" s="356"/>
      <c r="D29" s="356"/>
      <c r="E29" s="356"/>
      <c r="F29" s="356"/>
    </row>
    <row r="30" spans="1:6">
      <c r="A30" s="341" t="s">
        <v>745</v>
      </c>
      <c r="B30" s="341">
        <v>134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1168707.2153197799</v>
      </c>
      <c r="E36" s="334">
        <v>9</v>
      </c>
      <c r="F36" s="334">
        <v>296073.84110863903</v>
      </c>
    </row>
    <row r="37" spans="1:6">
      <c r="A37" s="348" t="s">
        <v>25</v>
      </c>
      <c r="B37" s="348" t="s">
        <v>28</v>
      </c>
      <c r="C37" s="334">
        <v>0</v>
      </c>
      <c r="D37" s="334">
        <v>0</v>
      </c>
      <c r="E37" s="334">
        <v>0</v>
      </c>
      <c r="F37" s="334">
        <v>0</v>
      </c>
    </row>
    <row r="38" spans="1:6">
      <c r="A38" s="348" t="s">
        <v>25</v>
      </c>
      <c r="B38" s="348" t="s">
        <v>29</v>
      </c>
      <c r="C38" s="334">
        <v>2</v>
      </c>
      <c r="D38" s="334">
        <v>372558.53412400599</v>
      </c>
      <c r="E38" s="334">
        <v>4</v>
      </c>
      <c r="F38" s="334">
        <v>61971.215131896803</v>
      </c>
    </row>
    <row r="39" spans="1:6">
      <c r="A39" s="348" t="s">
        <v>30</v>
      </c>
      <c r="B39" s="348" t="s">
        <v>31</v>
      </c>
      <c r="C39" s="334">
        <v>24045</v>
      </c>
      <c r="D39" s="334">
        <v>343380839.06624198</v>
      </c>
      <c r="E39" s="334">
        <v>31412</v>
      </c>
      <c r="F39" s="334">
        <v>102531107.320272</v>
      </c>
    </row>
    <row r="40" spans="1:6">
      <c r="A40" s="348" t="s">
        <v>30</v>
      </c>
      <c r="B40" s="348" t="s">
        <v>29</v>
      </c>
      <c r="C40" s="334">
        <v>0</v>
      </c>
      <c r="D40" s="334">
        <v>0</v>
      </c>
      <c r="E40" s="334">
        <v>1</v>
      </c>
      <c r="F40" s="334">
        <v>10790.4370184896</v>
      </c>
    </row>
    <row r="41" spans="1:6">
      <c r="A41" s="348" t="s">
        <v>32</v>
      </c>
      <c r="B41" s="348" t="s">
        <v>33</v>
      </c>
      <c r="C41" s="334">
        <v>290</v>
      </c>
      <c r="D41" s="334">
        <v>7043916.6110952403</v>
      </c>
      <c r="E41" s="334">
        <v>605</v>
      </c>
      <c r="F41" s="334">
        <v>6991520.4210751504</v>
      </c>
    </row>
    <row r="42" spans="1:6">
      <c r="A42" s="348" t="s">
        <v>32</v>
      </c>
      <c r="B42" s="348" t="s">
        <v>34</v>
      </c>
      <c r="C42" s="334">
        <v>5</v>
      </c>
      <c r="D42" s="334">
        <v>4802575.2629982997</v>
      </c>
      <c r="E42" s="334">
        <v>5</v>
      </c>
      <c r="F42" s="334">
        <v>2216585.5272681401</v>
      </c>
    </row>
    <row r="43" spans="1:6">
      <c r="A43" s="348" t="s">
        <v>32</v>
      </c>
      <c r="B43" s="348" t="s">
        <v>35</v>
      </c>
      <c r="C43" s="334">
        <v>0</v>
      </c>
      <c r="D43" s="334">
        <v>0</v>
      </c>
      <c r="E43" s="334">
        <v>3</v>
      </c>
      <c r="F43" s="334">
        <v>18898.927528216798</v>
      </c>
    </row>
    <row r="44" spans="1:6">
      <c r="A44" s="348" t="s">
        <v>32</v>
      </c>
      <c r="B44" s="348" t="s">
        <v>36</v>
      </c>
      <c r="C44" s="334">
        <v>25</v>
      </c>
      <c r="D44" s="334">
        <v>10586452.987012001</v>
      </c>
      <c r="E44" s="334">
        <v>75</v>
      </c>
      <c r="F44" s="334">
        <v>12388241.247847499</v>
      </c>
    </row>
    <row r="45" spans="1:6">
      <c r="A45" s="348" t="s">
        <v>32</v>
      </c>
      <c r="B45" s="348" t="s">
        <v>37</v>
      </c>
      <c r="C45" s="334">
        <v>0</v>
      </c>
      <c r="D45" s="334">
        <v>0</v>
      </c>
      <c r="E45" s="334">
        <v>13</v>
      </c>
      <c r="F45" s="334">
        <v>229341.46295931001</v>
      </c>
    </row>
    <row r="46" spans="1:6">
      <c r="A46" s="348" t="s">
        <v>32</v>
      </c>
      <c r="B46" s="348" t="s">
        <v>38</v>
      </c>
      <c r="C46" s="334">
        <v>0</v>
      </c>
      <c r="D46" s="334">
        <v>0</v>
      </c>
      <c r="E46" s="334">
        <v>0</v>
      </c>
      <c r="F46" s="334">
        <v>0</v>
      </c>
    </row>
    <row r="47" spans="1:6">
      <c r="A47" s="348" t="s">
        <v>32</v>
      </c>
      <c r="B47" s="348" t="s">
        <v>39</v>
      </c>
      <c r="C47" s="334">
        <v>17</v>
      </c>
      <c r="D47" s="334">
        <v>1571534.59705377</v>
      </c>
      <c r="E47" s="334">
        <v>20</v>
      </c>
      <c r="F47" s="334">
        <v>1856686.21343236</v>
      </c>
    </row>
    <row r="48" spans="1:6">
      <c r="A48" s="348" t="s">
        <v>32</v>
      </c>
      <c r="B48" s="348" t="s">
        <v>29</v>
      </c>
      <c r="C48" s="334">
        <v>105</v>
      </c>
      <c r="D48" s="334">
        <v>34815918.6144666</v>
      </c>
      <c r="E48" s="334">
        <v>87</v>
      </c>
      <c r="F48" s="334">
        <v>37965426.136381097</v>
      </c>
    </row>
    <row r="49" spans="1:6">
      <c r="A49" s="348" t="s">
        <v>32</v>
      </c>
      <c r="B49" s="348" t="s">
        <v>40</v>
      </c>
      <c r="C49" s="334">
        <v>7</v>
      </c>
      <c r="D49" s="334">
        <v>184484.64590441599</v>
      </c>
      <c r="E49" s="334">
        <v>26</v>
      </c>
      <c r="F49" s="334">
        <v>1733726.37319656</v>
      </c>
    </row>
    <row r="50" spans="1:6">
      <c r="A50" s="348" t="s">
        <v>32</v>
      </c>
      <c r="B50" s="348" t="s">
        <v>41</v>
      </c>
      <c r="C50" s="334">
        <v>35</v>
      </c>
      <c r="D50" s="334">
        <v>8389857.2296313401</v>
      </c>
      <c r="E50" s="334">
        <v>53</v>
      </c>
      <c r="F50" s="334">
        <v>13548484.2931745</v>
      </c>
    </row>
    <row r="51" spans="1:6">
      <c r="A51" s="348" t="s">
        <v>42</v>
      </c>
      <c r="B51" s="348" t="s">
        <v>43</v>
      </c>
      <c r="C51" s="334">
        <v>23</v>
      </c>
      <c r="D51" s="334">
        <v>510804.15066495002</v>
      </c>
      <c r="E51" s="334">
        <v>160</v>
      </c>
      <c r="F51" s="334">
        <v>3606625.2179210298</v>
      </c>
    </row>
    <row r="52" spans="1:6">
      <c r="A52" s="348" t="s">
        <v>42</v>
      </c>
      <c r="B52" s="348" t="s">
        <v>29</v>
      </c>
      <c r="C52" s="334">
        <v>15</v>
      </c>
      <c r="D52" s="334">
        <v>1952369.2736520299</v>
      </c>
      <c r="E52" s="334">
        <v>23</v>
      </c>
      <c r="F52" s="334">
        <v>455523.42621062702</v>
      </c>
    </row>
    <row r="53" spans="1:6">
      <c r="A53" s="348" t="s">
        <v>44</v>
      </c>
      <c r="B53" s="348" t="s">
        <v>45</v>
      </c>
      <c r="C53" s="334">
        <v>618</v>
      </c>
      <c r="D53" s="334">
        <v>14747009.781358199</v>
      </c>
      <c r="E53" s="334">
        <v>1287</v>
      </c>
      <c r="F53" s="334">
        <v>4549954.1484961798</v>
      </c>
    </row>
    <row r="54" spans="1:6">
      <c r="A54" s="348" t="s">
        <v>46</v>
      </c>
      <c r="B54" s="348" t="s">
        <v>47</v>
      </c>
      <c r="C54" s="334">
        <v>0</v>
      </c>
      <c r="D54" s="334">
        <v>0</v>
      </c>
      <c r="E54" s="334">
        <v>1</v>
      </c>
      <c r="F54" s="334">
        <v>3422321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296</v>
      </c>
      <c r="D57" s="334">
        <v>21267759.609456301</v>
      </c>
      <c r="E57" s="334">
        <v>334</v>
      </c>
      <c r="F57" s="334">
        <v>8074680.3013407299</v>
      </c>
    </row>
    <row r="58" spans="1:6">
      <c r="A58" s="348" t="s">
        <v>49</v>
      </c>
      <c r="B58" s="348" t="s">
        <v>51</v>
      </c>
      <c r="C58" s="334">
        <v>184</v>
      </c>
      <c r="D58" s="334">
        <v>36593749.663712002</v>
      </c>
      <c r="E58" s="334">
        <v>324</v>
      </c>
      <c r="F58" s="334">
        <v>19549488.4235048</v>
      </c>
    </row>
    <row r="59" spans="1:6">
      <c r="A59" s="348" t="s">
        <v>49</v>
      </c>
      <c r="B59" s="348" t="s">
        <v>52</v>
      </c>
      <c r="C59" s="334">
        <v>613</v>
      </c>
      <c r="D59" s="334">
        <v>37345387.153111704</v>
      </c>
      <c r="E59" s="334">
        <v>1134</v>
      </c>
      <c r="F59" s="334">
        <v>43035136.448682003</v>
      </c>
    </row>
    <row r="60" spans="1:6">
      <c r="A60" s="348" t="s">
        <v>49</v>
      </c>
      <c r="B60" s="348" t="s">
        <v>53</v>
      </c>
      <c r="C60" s="334">
        <v>260</v>
      </c>
      <c r="D60" s="334">
        <v>13090290.6114162</v>
      </c>
      <c r="E60" s="334">
        <v>324</v>
      </c>
      <c r="F60" s="334">
        <v>9502456.1140528806</v>
      </c>
    </row>
    <row r="61" spans="1:6">
      <c r="A61" s="348" t="s">
        <v>49</v>
      </c>
      <c r="B61" s="348" t="s">
        <v>54</v>
      </c>
      <c r="C61" s="334">
        <v>865</v>
      </c>
      <c r="D61" s="334">
        <v>52071720.326429799</v>
      </c>
      <c r="E61" s="334">
        <v>1894</v>
      </c>
      <c r="F61" s="334">
        <v>35884532.390108101</v>
      </c>
    </row>
    <row r="62" spans="1:6">
      <c r="A62" s="348" t="s">
        <v>49</v>
      </c>
      <c r="B62" s="348" t="s">
        <v>55</v>
      </c>
      <c r="C62" s="334">
        <v>84</v>
      </c>
      <c r="D62" s="334">
        <v>12042354.8673904</v>
      </c>
      <c r="E62" s="334">
        <v>97</v>
      </c>
      <c r="F62" s="334">
        <v>3610870.39923649</v>
      </c>
    </row>
    <row r="63" spans="1:6">
      <c r="A63" s="348" t="s">
        <v>49</v>
      </c>
      <c r="B63" s="348" t="s">
        <v>29</v>
      </c>
      <c r="C63" s="334">
        <v>234</v>
      </c>
      <c r="D63" s="334">
        <v>14102767.937827</v>
      </c>
      <c r="E63" s="334">
        <v>258</v>
      </c>
      <c r="F63" s="334">
        <v>8035103.0462460397</v>
      </c>
    </row>
    <row r="64" spans="1:6">
      <c r="A64" s="348" t="s">
        <v>56</v>
      </c>
      <c r="B64" s="348" t="s">
        <v>57</v>
      </c>
      <c r="C64" s="334">
        <v>0</v>
      </c>
      <c r="D64" s="334">
        <v>0</v>
      </c>
      <c r="E64" s="334">
        <v>0</v>
      </c>
      <c r="F64" s="334">
        <v>0</v>
      </c>
    </row>
    <row r="65" spans="1:6">
      <c r="A65" s="348" t="s">
        <v>56</v>
      </c>
      <c r="B65" s="348" t="s">
        <v>29</v>
      </c>
      <c r="C65" s="334">
        <v>11</v>
      </c>
      <c r="D65" s="334">
        <v>460476.06060595397</v>
      </c>
      <c r="E65" s="334">
        <v>10</v>
      </c>
      <c r="F65" s="334">
        <v>74320.205076729297</v>
      </c>
    </row>
    <row r="66" spans="1:6">
      <c r="A66" s="348" t="s">
        <v>56</v>
      </c>
      <c r="B66" s="348" t="s">
        <v>58</v>
      </c>
      <c r="C66" s="334">
        <v>3</v>
      </c>
      <c r="D66" s="334">
        <v>370399.37695613602</v>
      </c>
      <c r="E66" s="334">
        <v>30</v>
      </c>
      <c r="F66" s="334">
        <v>1214271.7907595099</v>
      </c>
    </row>
    <row r="67" spans="1:6">
      <c r="A67" s="355" t="s">
        <v>56</v>
      </c>
      <c r="B67" s="355" t="s">
        <v>59</v>
      </c>
      <c r="C67" s="334">
        <v>0</v>
      </c>
      <c r="D67" s="334">
        <v>0</v>
      </c>
      <c r="E67" s="334">
        <v>0</v>
      </c>
      <c r="F67" s="334">
        <v>0</v>
      </c>
    </row>
    <row r="68" spans="1:6">
      <c r="A68" s="341" t="s">
        <v>56</v>
      </c>
      <c r="B68" s="341" t="s">
        <v>60</v>
      </c>
      <c r="C68" s="334">
        <v>6</v>
      </c>
      <c r="D68" s="334">
        <v>397192.75111665099</v>
      </c>
      <c r="E68" s="334">
        <v>36</v>
      </c>
      <c r="F68" s="334">
        <v>582244.28813698504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179028598</v>
      </c>
      <c r="E73" s="476">
        <v>171800236.35742125</v>
      </c>
    </row>
    <row r="74" spans="1:6">
      <c r="A74" s="348" t="s">
        <v>64</v>
      </c>
      <c r="B74" s="348" t="s">
        <v>657</v>
      </c>
      <c r="C74" s="1272" t="s">
        <v>659</v>
      </c>
      <c r="D74" s="476">
        <v>21769516.749287862</v>
      </c>
      <c r="E74" s="476">
        <v>19914514.495293826</v>
      </c>
    </row>
    <row r="75" spans="1:6">
      <c r="A75" s="348" t="s">
        <v>65</v>
      </c>
      <c r="B75" s="348" t="s">
        <v>656</v>
      </c>
      <c r="C75" s="1272" t="s">
        <v>660</v>
      </c>
      <c r="D75" s="476">
        <v>168304855</v>
      </c>
      <c r="E75" s="476">
        <v>168387097.71443754</v>
      </c>
    </row>
    <row r="76" spans="1:6">
      <c r="A76" s="348" t="s">
        <v>65</v>
      </c>
      <c r="B76" s="348" t="s">
        <v>657</v>
      </c>
      <c r="C76" s="1272" t="s">
        <v>661</v>
      </c>
      <c r="D76" s="476">
        <v>11238192.749287862</v>
      </c>
      <c r="E76" s="476">
        <v>10766657.859276945</v>
      </c>
    </row>
    <row r="77" spans="1:6">
      <c r="A77" s="348" t="s">
        <v>66</v>
      </c>
      <c r="B77" s="348" t="s">
        <v>656</v>
      </c>
      <c r="C77" s="1272" t="s">
        <v>662</v>
      </c>
      <c r="D77" s="476">
        <v>136854791</v>
      </c>
      <c r="E77" s="476">
        <v>142943238.68607464</v>
      </c>
    </row>
    <row r="78" spans="1:6">
      <c r="A78" s="341" t="s">
        <v>66</v>
      </c>
      <c r="B78" s="341" t="s">
        <v>657</v>
      </c>
      <c r="C78" s="341" t="s">
        <v>663</v>
      </c>
      <c r="D78" s="1273">
        <v>32656558</v>
      </c>
      <c r="E78" s="1273">
        <v>33691105.249666251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2775188.5014242735</v>
      </c>
      <c r="C83" s="476">
        <v>2764532.4320269227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11607.568766412156</v>
      </c>
    </row>
    <row r="92" spans="1:6">
      <c r="A92" s="341" t="s">
        <v>69</v>
      </c>
      <c r="B92" s="342">
        <v>11911.12821427653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157</v>
      </c>
      <c r="C123" s="334">
        <v>146</v>
      </c>
    </row>
    <row r="124" spans="1:6">
      <c r="A124" s="341" t="s">
        <v>89</v>
      </c>
      <c r="B124" s="334">
        <v>4</v>
      </c>
      <c r="C124" s="334">
        <v>8</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500</v>
      </c>
    </row>
    <row r="130" spans="1:6">
      <c r="A130" s="348" t="s">
        <v>295</v>
      </c>
      <c r="B130" s="334">
        <v>11</v>
      </c>
    </row>
    <row r="131" spans="1:6">
      <c r="A131" s="348" t="s">
        <v>296</v>
      </c>
      <c r="B131" s="334">
        <v>12</v>
      </c>
    </row>
    <row r="132" spans="1:6">
      <c r="A132" s="341" t="s">
        <v>297</v>
      </c>
      <c r="B132" s="342">
        <v>76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327156.34515340131</v>
      </c>
      <c r="C3" s="43" t="s">
        <v>170</v>
      </c>
      <c r="D3" s="43"/>
      <c r="E3" s="154"/>
      <c r="F3" s="43"/>
      <c r="G3" s="43"/>
      <c r="H3" s="43"/>
      <c r="I3" s="43"/>
      <c r="J3" s="43"/>
      <c r="K3" s="96"/>
    </row>
    <row r="4" spans="1:11">
      <c r="A4" s="383" t="s">
        <v>171</v>
      </c>
      <c r="B4" s="49">
        <f>IF(ISERROR('SEAP template'!B69),0,'SEAP template'!B69)</f>
        <v>24209.446980688685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164.15470588235297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0.20514784504815853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234.50672268907564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986.78571428571433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3422.3209999999999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3422.3209999999999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0.20514784504815853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702.0817782130589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102541.89775729048</v>
      </c>
      <c r="C5" s="17">
        <f>IF(ISERROR('Eigen informatie GS &amp; warmtenet'!B57),0,'Eigen informatie GS &amp; warmtenet'!B57)</f>
        <v>0</v>
      </c>
      <c r="D5" s="30">
        <f>(SUM(HH_hh_gas_kWh,HH_rest_gas_kWh)/1000)*0.902</f>
        <v>309729.51683775027</v>
      </c>
      <c r="E5" s="17">
        <f>B46*B57</f>
        <v>12841.437845542787</v>
      </c>
      <c r="F5" s="17">
        <f>B51*B62</f>
        <v>0</v>
      </c>
      <c r="G5" s="18"/>
      <c r="H5" s="17"/>
      <c r="I5" s="17"/>
      <c r="J5" s="17">
        <f>B50*B61+C50*C61</f>
        <v>8515.368962661476</v>
      </c>
      <c r="K5" s="17"/>
      <c r="L5" s="17"/>
      <c r="M5" s="17"/>
      <c r="N5" s="17">
        <f>B48*B59+C48*C59</f>
        <v>59029.059010326258</v>
      </c>
      <c r="O5" s="17">
        <f>B69*B70*B71</f>
        <v>1022.4200000000001</v>
      </c>
      <c r="P5" s="17">
        <f>B77*B78*B79/1000-B77*B78*B79/1000/B80</f>
        <v>4518.8</v>
      </c>
    </row>
    <row r="6" spans="1:16">
      <c r="A6" s="16" t="s">
        <v>621</v>
      </c>
      <c r="B6" s="843">
        <f>kWh_PV_kleiner_dan_10kW</f>
        <v>11607.568766412156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114149.46652370263</v>
      </c>
      <c r="C8" s="21">
        <f>C5</f>
        <v>0</v>
      </c>
      <c r="D8" s="21">
        <f>D5</f>
        <v>309729.51683775027</v>
      </c>
      <c r="E8" s="21">
        <f>E5</f>
        <v>12841.437845542787</v>
      </c>
      <c r="F8" s="21">
        <f>F5</f>
        <v>0</v>
      </c>
      <c r="G8" s="21"/>
      <c r="H8" s="21"/>
      <c r="I8" s="21"/>
      <c r="J8" s="21">
        <f>J5</f>
        <v>8515.368962661476</v>
      </c>
      <c r="K8" s="21"/>
      <c r="L8" s="21">
        <f>L5</f>
        <v>0</v>
      </c>
      <c r="M8" s="21">
        <f>M5</f>
        <v>0</v>
      </c>
      <c r="N8" s="21">
        <f>N5</f>
        <v>59029.059010326258</v>
      </c>
      <c r="O8" s="21">
        <f>O5</f>
        <v>1022.4200000000001</v>
      </c>
      <c r="P8" s="21">
        <f>P5</f>
        <v>4518.8</v>
      </c>
    </row>
    <row r="9" spans="1:16">
      <c r="B9" s="19"/>
      <c r="C9" s="19"/>
      <c r="D9" s="258"/>
      <c r="E9" s="19"/>
      <c r="F9" s="19"/>
      <c r="G9" s="19"/>
      <c r="H9" s="19"/>
      <c r="I9" s="19"/>
      <c r="J9" s="19"/>
      <c r="K9" s="19"/>
      <c r="L9" s="19"/>
      <c r="M9" s="19"/>
      <c r="N9" s="19"/>
      <c r="O9" s="19"/>
      <c r="P9" s="19"/>
    </row>
    <row r="10" spans="1:16">
      <c r="A10" s="24" t="s">
        <v>214</v>
      </c>
      <c r="B10" s="25">
        <f ca="1">'EF ele_warmte'!B12</f>
        <v>0.20514784504815853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23417.517070734506</v>
      </c>
      <c r="C12" s="23">
        <f ca="1">C10*C8</f>
        <v>0</v>
      </c>
      <c r="D12" s="23">
        <f>D8*D10</f>
        <v>62565.36240122556</v>
      </c>
      <c r="E12" s="23">
        <f>E10*E8</f>
        <v>2915.0063909382129</v>
      </c>
      <c r="F12" s="23">
        <f>F10*F8</f>
        <v>0</v>
      </c>
      <c r="G12" s="23"/>
      <c r="H12" s="23"/>
      <c r="I12" s="23"/>
      <c r="J12" s="23">
        <f>J10*J8</f>
        <v>3014.4406127821621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794</v>
      </c>
      <c r="B28" s="37">
        <f>aantalHuishoudens2011</f>
        <v>31807</v>
      </c>
      <c r="C28" s="36"/>
      <c r="D28" s="228"/>
    </row>
    <row r="29" spans="1:7" s="15" customFormat="1">
      <c r="A29" s="230" t="s">
        <v>795</v>
      </c>
      <c r="B29" s="37">
        <f>SUM(HH_hh_gas_aantal,HH_rest_gas_aantal)</f>
        <v>24045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24045</v>
      </c>
      <c r="C32" s="167">
        <f>IF(ISERROR(B32/SUM($B$32,$B$34,$B$35,$B$36,$B$38,$B$39)*100),0,B32/SUM($B$32,$B$34,$B$35,$B$36,$B$38,$B$39)*100)</f>
        <v>76.164079822616401</v>
      </c>
      <c r="D32" s="233"/>
      <c r="G32" s="15"/>
    </row>
    <row r="33" spans="1:7">
      <c r="A33" s="171" t="s">
        <v>72</v>
      </c>
      <c r="B33" s="34" t="s">
        <v>111</v>
      </c>
      <c r="C33" s="167"/>
      <c r="D33" s="233"/>
      <c r="G33" s="15"/>
    </row>
    <row r="34" spans="1:7">
      <c r="A34" s="171" t="s">
        <v>73</v>
      </c>
      <c r="B34" s="33">
        <f>IF((($B$28-$B$32-$B$39-$B$77-$B$38)*C20/100)&lt;0,0,($B$28-$B$32-$B$39-$B$77-$B$38)*C20/100)</f>
        <v>606.48818745158792</v>
      </c>
      <c r="C34" s="167">
        <f>IF(ISERROR(B34/SUM($B$32,$B$34,$B$35,$B$36,$B$38,$B$39)*100),0,B34/SUM($B$32,$B$34,$B$35,$B$36,$B$38,$B$39)*100)</f>
        <v>1.92109023583018</v>
      </c>
      <c r="D34" s="233"/>
      <c r="G34" s="15"/>
    </row>
    <row r="35" spans="1:7">
      <c r="A35" s="171" t="s">
        <v>74</v>
      </c>
      <c r="B35" s="33">
        <f>IF((($B$28-$B$32-$B$39-$B$77-$B$38)*C21/100)&lt;0,0,($B$28-$B$32-$B$39-$B$77-$B$38)*C21/100)</f>
        <v>5858.9579783113868</v>
      </c>
      <c r="C35" s="167">
        <f>IF(ISERROR(B35/SUM($B$32,$B$34,$B$35,$B$36,$B$38,$B$39)*100),0,B35/SUM($B$32,$B$34,$B$35,$B$36,$B$38,$B$39)*100)</f>
        <v>18.558625208461788</v>
      </c>
      <c r="D35" s="233"/>
      <c r="G35" s="15"/>
    </row>
    <row r="36" spans="1:7">
      <c r="A36" s="171" t="s">
        <v>75</v>
      </c>
      <c r="B36" s="33">
        <f>IF((($B$28-$B$32-$B$39-$B$77-$B$38)*C22/100)&lt;0,0,($B$28-$B$32-$B$39-$B$77-$B$38)*C22/100)</f>
        <v>818.05383423702563</v>
      </c>
      <c r="C36" s="167">
        <f>IF(ISERROR(B36/SUM($B$32,$B$34,$B$35,$B$36,$B$38,$B$39)*100),0,B36/SUM($B$32,$B$34,$B$35,$B$36,$B$38,$B$39)*100)</f>
        <v>2.5912379925151265</v>
      </c>
      <c r="D36" s="233"/>
      <c r="G36" s="15"/>
    </row>
    <row r="37" spans="1:7">
      <c r="A37" s="171" t="s">
        <v>76</v>
      </c>
      <c r="B37" s="34" t="s">
        <v>111</v>
      </c>
      <c r="C37" s="167"/>
      <c r="D37" s="173"/>
      <c r="G37" s="15"/>
    </row>
    <row r="38" spans="1:7">
      <c r="A38" s="171" t="s">
        <v>77</v>
      </c>
      <c r="B38" s="33">
        <f>IF((B24-(B29-B18)*0.1)&lt;0,0,B24-(B29-B18)*0.1)</f>
        <v>241.5</v>
      </c>
      <c r="C38" s="167">
        <f>IF(ISERROR(B38/SUM($B$32,$B$34,$B$35,$B$36,$B$38,$B$39)*100),0,B38/SUM($B$32,$B$34,$B$35,$B$36,$B$38,$B$39)*100)</f>
        <v>0.76496674057649661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24045</v>
      </c>
      <c r="C44" s="34" t="s">
        <v>111</v>
      </c>
      <c r="D44" s="174"/>
    </row>
    <row r="45" spans="1:7">
      <c r="A45" s="171" t="s">
        <v>72</v>
      </c>
      <c r="B45" s="33" t="str">
        <f t="shared" si="0"/>
        <v>-</v>
      </c>
      <c r="C45" s="34" t="s">
        <v>111</v>
      </c>
      <c r="D45" s="174"/>
    </row>
    <row r="46" spans="1:7">
      <c r="A46" s="171" t="s">
        <v>73</v>
      </c>
      <c r="B46" s="33">
        <f t="shared" si="0"/>
        <v>606.48818745158792</v>
      </c>
      <c r="C46" s="34" t="s">
        <v>111</v>
      </c>
      <c r="D46" s="174"/>
    </row>
    <row r="47" spans="1:7">
      <c r="A47" s="171" t="s">
        <v>74</v>
      </c>
      <c r="B47" s="33">
        <f t="shared" si="0"/>
        <v>5858.9579783113868</v>
      </c>
      <c r="C47" s="34" t="s">
        <v>111</v>
      </c>
      <c r="D47" s="174"/>
    </row>
    <row r="48" spans="1:7">
      <c r="A48" s="171" t="s">
        <v>75</v>
      </c>
      <c r="B48" s="33">
        <f t="shared" si="0"/>
        <v>818.05383423702563</v>
      </c>
      <c r="C48" s="33">
        <f>B48*10</f>
        <v>8180.538342370256</v>
      </c>
      <c r="D48" s="234"/>
    </row>
    <row r="49" spans="1:6">
      <c r="A49" s="171" t="s">
        <v>76</v>
      </c>
      <c r="B49" s="33" t="str">
        <f t="shared" si="0"/>
        <v>-</v>
      </c>
      <c r="C49" s="34" t="s">
        <v>111</v>
      </c>
      <c r="D49" s="234"/>
    </row>
    <row r="50" spans="1:6">
      <c r="A50" s="171" t="s">
        <v>77</v>
      </c>
      <c r="B50" s="33">
        <f t="shared" si="0"/>
        <v>241.5</v>
      </c>
      <c r="C50" s="33">
        <f>B50*2</f>
        <v>483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127692.26712317104</v>
      </c>
      <c r="C5" s="17">
        <f>IF(ISERROR('Eigen informatie GS &amp; warmtenet'!B58),0,'Eigen informatie GS &amp; warmtenet'!B58)</f>
        <v>0</v>
      </c>
      <c r="D5" s="30">
        <f>SUM(D6:D12)</f>
        <v>168235.65521274778</v>
      </c>
      <c r="E5" s="17">
        <f>SUM(E6:E12)</f>
        <v>1862.2883009486734</v>
      </c>
      <c r="F5" s="17">
        <f>SUM(F6:F12)</f>
        <v>21923.751202314244</v>
      </c>
      <c r="G5" s="18"/>
      <c r="H5" s="17"/>
      <c r="I5" s="17"/>
      <c r="J5" s="17">
        <f>SUM(J6:J12)</f>
        <v>0.1947268622738047</v>
      </c>
      <c r="K5" s="17"/>
      <c r="L5" s="17"/>
      <c r="M5" s="17"/>
      <c r="N5" s="17">
        <f>SUM(N6:N12)</f>
        <v>8044.0833994399291</v>
      </c>
      <c r="O5" s="17">
        <f>B38*B39*B40</f>
        <v>17.196666666666669</v>
      </c>
      <c r="P5" s="17">
        <f>B46*B47*B48/1000-B46*B47*B48/1000/B49</f>
        <v>247.86666666666667</v>
      </c>
      <c r="R5" s="32"/>
    </row>
    <row r="6" spans="1:18">
      <c r="A6" s="32" t="s">
        <v>54</v>
      </c>
      <c r="B6" s="37">
        <f>B26</f>
        <v>35884.532390108099</v>
      </c>
      <c r="C6" s="33"/>
      <c r="D6" s="37">
        <f>IF(ISERROR(TER_kantoor_gas_kWh/1000),0,TER_kantoor_gas_kWh/1000)*0.902</f>
        <v>46968.691734439679</v>
      </c>
      <c r="E6" s="33">
        <f>$C$26*'E Balans VL '!I12/100/3.6*1000000</f>
        <v>0.22491231401270334</v>
      </c>
      <c r="F6" s="33">
        <f>$C$26*('E Balans VL '!L12+'E Balans VL '!N12)/100/3.6*1000000</f>
        <v>5392.4425087660929</v>
      </c>
      <c r="G6" s="34"/>
      <c r="H6" s="33"/>
      <c r="I6" s="33"/>
      <c r="J6" s="33">
        <f>$C$26*('E Balans VL '!D12+'E Balans VL '!E12)/100/3.6*1000000</f>
        <v>0</v>
      </c>
      <c r="K6" s="33"/>
      <c r="L6" s="33"/>
      <c r="M6" s="33"/>
      <c r="N6" s="33">
        <f>$C$26*'E Balans VL '!Y12/100/3.6*1000000</f>
        <v>34.318234765321478</v>
      </c>
      <c r="O6" s="33"/>
      <c r="P6" s="33"/>
      <c r="R6" s="32"/>
    </row>
    <row r="7" spans="1:18">
      <c r="A7" s="32" t="s">
        <v>53</v>
      </c>
      <c r="B7" s="37">
        <f t="shared" ref="B7:B12" si="0">B27</f>
        <v>9502.4561140528804</v>
      </c>
      <c r="C7" s="33"/>
      <c r="D7" s="37">
        <f>IF(ISERROR(TER_horeca_gas_kWh/1000),0,TER_horeca_gas_kWh/1000)*0.902</f>
        <v>11807.442131497412</v>
      </c>
      <c r="E7" s="33">
        <f>$C$27*'E Balans VL '!I9/100/3.6*1000000</f>
        <v>136.07358874620351</v>
      </c>
      <c r="F7" s="33">
        <f>$C$27*('E Balans VL '!L9+'E Balans VL '!N9)/100/3.6*1000000</f>
        <v>1203.3243471158607</v>
      </c>
      <c r="G7" s="34"/>
      <c r="H7" s="33"/>
      <c r="I7" s="33"/>
      <c r="J7" s="33">
        <f>$C$27*('E Balans VL '!D9+'E Balans VL '!E9)/100/3.6*1000000</f>
        <v>0</v>
      </c>
      <c r="K7" s="33"/>
      <c r="L7" s="33"/>
      <c r="M7" s="33"/>
      <c r="N7" s="33">
        <f>$C$27*'E Balans VL '!Y9/100/3.6*1000000</f>
        <v>2.7317466216172575</v>
      </c>
      <c r="O7" s="33"/>
      <c r="P7" s="33"/>
      <c r="R7" s="32"/>
    </row>
    <row r="8" spans="1:18">
      <c r="A8" s="6" t="s">
        <v>52</v>
      </c>
      <c r="B8" s="37">
        <f t="shared" si="0"/>
        <v>43035.136448682002</v>
      </c>
      <c r="C8" s="33"/>
      <c r="D8" s="37">
        <f>IF(ISERROR(TER_handel_gas_kWh/1000),0,TER_handel_gas_kWh/1000)*0.902</f>
        <v>33685.539212106756</v>
      </c>
      <c r="E8" s="33">
        <f>$C$28*'E Balans VL '!I13/100/3.6*1000000</f>
        <v>1560.879092138425</v>
      </c>
      <c r="F8" s="33">
        <f>$C$28*('E Balans VL '!L13+'E Balans VL '!N13)/100/3.6*1000000</f>
        <v>8289.0030384773545</v>
      </c>
      <c r="G8" s="34"/>
      <c r="H8" s="33"/>
      <c r="I8" s="33"/>
      <c r="J8" s="33">
        <f>$C$28*('E Balans VL '!D13+'E Balans VL '!E13)/100/3.6*1000000</f>
        <v>0</v>
      </c>
      <c r="K8" s="33"/>
      <c r="L8" s="33"/>
      <c r="M8" s="33"/>
      <c r="N8" s="33">
        <f>$C$28*'E Balans VL '!Y13/100/3.6*1000000</f>
        <v>59.613565924707977</v>
      </c>
      <c r="O8" s="33"/>
      <c r="P8" s="33"/>
      <c r="R8" s="32"/>
    </row>
    <row r="9" spans="1:18">
      <c r="A9" s="32" t="s">
        <v>51</v>
      </c>
      <c r="B9" s="37">
        <f t="shared" si="0"/>
        <v>19549.488423504801</v>
      </c>
      <c r="C9" s="33"/>
      <c r="D9" s="37">
        <f>IF(ISERROR(TER_gezond_gas_kWh/1000),0,TER_gezond_gas_kWh/1000)*0.902</f>
        <v>33007.56219666823</v>
      </c>
      <c r="E9" s="33">
        <f>$C$29*'E Balans VL '!I10/100/3.6*1000000</f>
        <v>1.2239909916391667</v>
      </c>
      <c r="F9" s="33">
        <f>$C$29*('E Balans VL '!L10+'E Balans VL '!N10)/100/3.6*1000000</f>
        <v>2904.1360278352631</v>
      </c>
      <c r="G9" s="34"/>
      <c r="H9" s="33"/>
      <c r="I9" s="33"/>
      <c r="J9" s="33">
        <f>$C$29*('E Balans VL '!D10+'E Balans VL '!E10)/100/3.6*1000000</f>
        <v>0</v>
      </c>
      <c r="K9" s="33"/>
      <c r="L9" s="33"/>
      <c r="M9" s="33"/>
      <c r="N9" s="33">
        <f>$C$29*'E Balans VL '!Y10/100/3.6*1000000</f>
        <v>302.39337329915838</v>
      </c>
      <c r="O9" s="33"/>
      <c r="P9" s="33"/>
      <c r="R9" s="32"/>
    </row>
    <row r="10" spans="1:18">
      <c r="A10" s="32" t="s">
        <v>50</v>
      </c>
      <c r="B10" s="37">
        <f t="shared" si="0"/>
        <v>8074.6803013407298</v>
      </c>
      <c r="C10" s="33"/>
      <c r="D10" s="37">
        <f>IF(ISERROR(TER_ander_gas_kWh/1000),0,TER_ander_gas_kWh/1000)*0.902</f>
        <v>19183.519167729584</v>
      </c>
      <c r="E10" s="33">
        <f>$C$30*'E Balans VL '!I14/100/3.6*1000000</f>
        <v>9.624730378878926</v>
      </c>
      <c r="F10" s="33">
        <f>$C$30*('E Balans VL '!L14+'E Balans VL '!N14)/100/3.6*1000000</f>
        <v>2112.6953389221362</v>
      </c>
      <c r="G10" s="34"/>
      <c r="H10" s="33"/>
      <c r="I10" s="33"/>
      <c r="J10" s="33">
        <f>$C$30*('E Balans VL '!D14+'E Balans VL '!E14)/100/3.6*1000000</f>
        <v>0.17526965746929618</v>
      </c>
      <c r="K10" s="33"/>
      <c r="L10" s="33"/>
      <c r="M10" s="33"/>
      <c r="N10" s="33">
        <f>$C$30*'E Balans VL '!Y14/100/3.6*1000000</f>
        <v>6856.8209272527747</v>
      </c>
      <c r="O10" s="33"/>
      <c r="P10" s="33"/>
      <c r="R10" s="32"/>
    </row>
    <row r="11" spans="1:18">
      <c r="A11" s="32" t="s">
        <v>55</v>
      </c>
      <c r="B11" s="37">
        <f t="shared" si="0"/>
        <v>3610.8703992364899</v>
      </c>
      <c r="C11" s="33"/>
      <c r="D11" s="37">
        <f>IF(ISERROR(TER_onderwijs_gas_kWh/1000),0,TER_onderwijs_gas_kWh/1000)*0.902</f>
        <v>10862.204090386142</v>
      </c>
      <c r="E11" s="33">
        <f>$C$31*'E Balans VL '!I11/100/3.6*1000000</f>
        <v>54.482218464672336</v>
      </c>
      <c r="F11" s="33">
        <f>$C$31*('E Balans VL '!L11+'E Balans VL '!N11)/100/3.6*1000000</f>
        <v>632.68217931698132</v>
      </c>
      <c r="G11" s="34"/>
      <c r="H11" s="33"/>
      <c r="I11" s="33"/>
      <c r="J11" s="33">
        <f>$C$31*('E Balans VL '!D11+'E Balans VL '!E11)/100/3.6*1000000</f>
        <v>0</v>
      </c>
      <c r="K11" s="33"/>
      <c r="L11" s="33"/>
      <c r="M11" s="33"/>
      <c r="N11" s="33">
        <f>$C$31*'E Balans VL '!Y11/100/3.6*1000000</f>
        <v>10.161263812273043</v>
      </c>
      <c r="O11" s="33"/>
      <c r="P11" s="33"/>
      <c r="R11" s="32"/>
    </row>
    <row r="12" spans="1:18">
      <c r="A12" s="32" t="s">
        <v>260</v>
      </c>
      <c r="B12" s="37">
        <f t="shared" si="0"/>
        <v>8035.1030462460394</v>
      </c>
      <c r="C12" s="33"/>
      <c r="D12" s="37">
        <f>IF(ISERROR(TER_rest_gas_kWh/1000),0,TER_rest_gas_kWh/1000)*0.902</f>
        <v>12720.696679919954</v>
      </c>
      <c r="E12" s="33">
        <f>$C$32*'E Balans VL '!I8/100/3.6*1000000</f>
        <v>99.779767914841742</v>
      </c>
      <c r="F12" s="33">
        <f>$C$32*('E Balans VL '!L8+'E Balans VL '!N8)/100/3.6*1000000</f>
        <v>1389.4677618805533</v>
      </c>
      <c r="G12" s="34"/>
      <c r="H12" s="33"/>
      <c r="I12" s="33"/>
      <c r="J12" s="33">
        <f>$C$32*('E Balans VL '!D8+'E Balans VL '!E8)/100/3.6*1000000</f>
        <v>1.9457204804508514E-2</v>
      </c>
      <c r="K12" s="33"/>
      <c r="L12" s="33"/>
      <c r="M12" s="33"/>
      <c r="N12" s="33">
        <f>$C$32*'E Balans VL '!Y8/100/3.6*1000000</f>
        <v>778.04428776407656</v>
      </c>
      <c r="O12" s="33"/>
      <c r="P12" s="33"/>
      <c r="R12" s="32"/>
    </row>
    <row r="13" spans="1:18">
      <c r="A13" s="16" t="s">
        <v>488</v>
      </c>
      <c r="B13" s="247">
        <f ca="1">'lokale energieproductie'!N90+'lokale energieproductie'!N59</f>
        <v>47.25</v>
      </c>
      <c r="C13" s="247">
        <f ca="1">'lokale energieproductie'!O90+'lokale energieproductie'!O59</f>
        <v>67.5</v>
      </c>
      <c r="D13" s="310">
        <f ca="1">('lokale energieproductie'!P59+'lokale energieproductie'!P90)*(-1)</f>
        <v>-135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127739.51712317104</v>
      </c>
      <c r="C16" s="21">
        <f t="shared" ca="1" si="1"/>
        <v>67.5</v>
      </c>
      <c r="D16" s="21">
        <f t="shared" ca="1" si="1"/>
        <v>168100.65521274778</v>
      </c>
      <c r="E16" s="21">
        <f t="shared" si="1"/>
        <v>1862.2883009486734</v>
      </c>
      <c r="F16" s="21">
        <f t="shared" ca="1" si="1"/>
        <v>21923.751202314244</v>
      </c>
      <c r="G16" s="21">
        <f t="shared" si="1"/>
        <v>0</v>
      </c>
      <c r="H16" s="21">
        <f t="shared" si="1"/>
        <v>0</v>
      </c>
      <c r="I16" s="21">
        <f t="shared" si="1"/>
        <v>0</v>
      </c>
      <c r="J16" s="21">
        <f t="shared" si="1"/>
        <v>0.1947268622738047</v>
      </c>
      <c r="K16" s="21">
        <f t="shared" si="1"/>
        <v>0</v>
      </c>
      <c r="L16" s="21">
        <f t="shared" ca="1" si="1"/>
        <v>0</v>
      </c>
      <c r="M16" s="21">
        <f t="shared" si="1"/>
        <v>0</v>
      </c>
      <c r="N16" s="21">
        <f t="shared" ca="1" si="1"/>
        <v>8044.0833994399291</v>
      </c>
      <c r="O16" s="21">
        <f>O5</f>
        <v>17.196666666666669</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0.20514784504815853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26205.486665310887</v>
      </c>
      <c r="C20" s="23">
        <f t="shared" ref="C20:P20" ca="1" si="2">C16*C18</f>
        <v>16.041176470588233</v>
      </c>
      <c r="D20" s="23">
        <f t="shared" ca="1" si="2"/>
        <v>33956.332352975056</v>
      </c>
      <c r="E20" s="23">
        <f t="shared" si="2"/>
        <v>422.73944431534886</v>
      </c>
      <c r="F20" s="23">
        <f t="shared" ca="1" si="2"/>
        <v>5853.6415710179035</v>
      </c>
      <c r="G20" s="23">
        <f t="shared" si="2"/>
        <v>0</v>
      </c>
      <c r="H20" s="23">
        <f t="shared" si="2"/>
        <v>0</v>
      </c>
      <c r="I20" s="23">
        <f t="shared" si="2"/>
        <v>0</v>
      </c>
      <c r="J20" s="23">
        <f t="shared" si="2"/>
        <v>6.8933309244926855E-2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35884.532390108099</v>
      </c>
      <c r="C26" s="39">
        <f>IF(ISERROR(B26*3.6/1000000/'E Balans VL '!Z12*100),0,B26*3.6/1000000/'E Balans VL '!Z12*100)</f>
        <v>0.75854216903586458</v>
      </c>
      <c r="D26" s="237" t="s">
        <v>754</v>
      </c>
      <c r="F26" s="6"/>
    </row>
    <row r="27" spans="1:18">
      <c r="A27" s="231" t="s">
        <v>53</v>
      </c>
      <c r="B27" s="33">
        <f>IF(ISERROR(TER_horeca_ele_kWh/1000),0,TER_horeca_ele_kWh/1000)</f>
        <v>9502.4561140528804</v>
      </c>
      <c r="C27" s="39">
        <f>IF(ISERROR(B27*3.6/1000000/'E Balans VL '!Z9*100),0,B27*3.6/1000000/'E Balans VL '!Z9*100)</f>
        <v>0.74907507372458226</v>
      </c>
      <c r="D27" s="237" t="s">
        <v>754</v>
      </c>
      <c r="F27" s="6"/>
    </row>
    <row r="28" spans="1:18">
      <c r="A28" s="171" t="s">
        <v>52</v>
      </c>
      <c r="B28" s="33">
        <f>IF(ISERROR(TER_handel_ele_kWh/1000),0,TER_handel_ele_kWh/1000)</f>
        <v>43035.136448682002</v>
      </c>
      <c r="C28" s="39">
        <f>IF(ISERROR(B28*3.6/1000000/'E Balans VL '!Z13*100),0,B28*3.6/1000000/'E Balans VL '!Z13*100)</f>
        <v>1.2490535411764807</v>
      </c>
      <c r="D28" s="237" t="s">
        <v>754</v>
      </c>
      <c r="F28" s="6"/>
    </row>
    <row r="29" spans="1:18">
      <c r="A29" s="231" t="s">
        <v>51</v>
      </c>
      <c r="B29" s="33">
        <f>IF(ISERROR(TER_gezond_ele_kWh/1000),0,TER_gezond_ele_kWh/1000)</f>
        <v>19549.488423504801</v>
      </c>
      <c r="C29" s="39">
        <f>IF(ISERROR(B29*3.6/1000000/'E Balans VL '!Z10*100),0,B29*3.6/1000000/'E Balans VL '!Z10*100)</f>
        <v>2.0588821420684211</v>
      </c>
      <c r="D29" s="237" t="s">
        <v>754</v>
      </c>
      <c r="F29" s="6"/>
    </row>
    <row r="30" spans="1:18">
      <c r="A30" s="231" t="s">
        <v>50</v>
      </c>
      <c r="B30" s="33">
        <f>IF(ISERROR(TER_ander_ele_kWh/1000),0,TER_ander_ele_kWh/1000)</f>
        <v>8074.6803013407298</v>
      </c>
      <c r="C30" s="39">
        <f>IF(ISERROR(B30*3.6/1000000/'E Balans VL '!Z14*100),0,B30*3.6/1000000/'E Balans VL '!Z14*100)</f>
        <v>0.5955901728387295</v>
      </c>
      <c r="D30" s="237" t="s">
        <v>754</v>
      </c>
      <c r="F30" s="6"/>
    </row>
    <row r="31" spans="1:18">
      <c r="A31" s="231" t="s">
        <v>55</v>
      </c>
      <c r="B31" s="33">
        <f>IF(ISERROR(TER_onderwijs_ele_kWh/1000),0,TER_onderwijs_ele_kWh/1000)</f>
        <v>3610.8703992364899</v>
      </c>
      <c r="C31" s="39">
        <f>IF(ISERROR(B31*3.6/1000000/'E Balans VL '!Z11*100),0,B31*3.6/1000000/'E Balans VL '!Z11*100)</f>
        <v>0.89674826326110801</v>
      </c>
      <c r="D31" s="237" t="s">
        <v>754</v>
      </c>
    </row>
    <row r="32" spans="1:18">
      <c r="A32" s="231" t="s">
        <v>260</v>
      </c>
      <c r="B32" s="33">
        <f>IF(ISERROR(TER_rest_ele_kWh/1000),0,TER_rest_ele_kWh/1000)</f>
        <v>8035.1030462460394</v>
      </c>
      <c r="C32" s="39">
        <f>IF(ISERROR(B32*3.6/1000000/'E Balans VL '!Z8*100),0,B32*3.6/1000000/'E Balans VL '!Z8*100)</f>
        <v>6.6118232555488765E-2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76948.91060286283</v>
      </c>
      <c r="C5" s="17">
        <f>IF(ISERROR('Eigen informatie GS &amp; warmtenet'!B59),0,'Eigen informatie GS &amp; warmtenet'!B59)</f>
        <v>0</v>
      </c>
      <c r="D5" s="30">
        <f>SUM(D6:D15)</f>
        <v>60790.055433241825</v>
      </c>
      <c r="E5" s="17">
        <f>SUM(E6:E15)</f>
        <v>4302.5017038228643</v>
      </c>
      <c r="F5" s="17">
        <f>SUM(F6:F15)</f>
        <v>15484.129448415544</v>
      </c>
      <c r="G5" s="18"/>
      <c r="H5" s="17"/>
      <c r="I5" s="17"/>
      <c r="J5" s="17">
        <f>SUM(J6:J15)</f>
        <v>136.57953472103381</v>
      </c>
      <c r="K5" s="17"/>
      <c r="L5" s="17"/>
      <c r="M5" s="17"/>
      <c r="N5" s="17">
        <f>SUM(N6:N15)</f>
        <v>17530.341936556026</v>
      </c>
      <c r="O5" s="17">
        <f>B43*B44*B45</f>
        <v>0</v>
      </c>
      <c r="P5" s="17">
        <f>B51*B52*B53/1000-B51*B52*B53/1000/B54</f>
        <v>0</v>
      </c>
      <c r="R5" s="32"/>
    </row>
    <row r="6" spans="1:18">
      <c r="A6" s="6" t="s">
        <v>35</v>
      </c>
      <c r="B6" s="37">
        <f>IF( ISERROR(IND_ijzer_ele_kWh/1000),0,IND_ijzer_ele_kWh/1000)</f>
        <v>18.898927528216799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12388.2412478475</v>
      </c>
      <c r="C8" s="33"/>
      <c r="D8" s="37">
        <f>IF( ISERROR(IND_metaal_Gas_kWH/1000),0,IND_metaal_Gas_kWH/1000)*0.902</f>
        <v>9548.9805942848252</v>
      </c>
      <c r="E8" s="33">
        <f>C30*'E Balans VL '!I18/100/3.6*1000000</f>
        <v>113.89791359677618</v>
      </c>
      <c r="F8" s="33">
        <f>C30*'E Balans VL '!L18/100/3.6*1000000+C30*'E Balans VL '!N18/100/3.6*1000000</f>
        <v>1161.6045827472492</v>
      </c>
      <c r="G8" s="34"/>
      <c r="H8" s="33"/>
      <c r="I8" s="33"/>
      <c r="J8" s="40">
        <f>C30*'E Balans VL '!D18/100/3.6*1000000+C30*'E Balans VL '!E18/100/3.6*1000000</f>
        <v>0</v>
      </c>
      <c r="K8" s="33"/>
      <c r="L8" s="33"/>
      <c r="M8" s="33"/>
      <c r="N8" s="33">
        <f>C30*'E Balans VL '!Y18/100/3.6*1000000</f>
        <v>176.73873383132218</v>
      </c>
      <c r="O8" s="33"/>
      <c r="P8" s="33"/>
      <c r="R8" s="32"/>
    </row>
    <row r="9" spans="1:18">
      <c r="A9" s="6" t="s">
        <v>33</v>
      </c>
      <c r="B9" s="37">
        <f t="shared" si="0"/>
        <v>6991.5204210751508</v>
      </c>
      <c r="C9" s="33"/>
      <c r="D9" s="37">
        <f>IF( ISERROR(IND_andere_gas_kWh/1000),0,IND_andere_gas_kWh/1000)*0.902</f>
        <v>6353.6127832079064</v>
      </c>
      <c r="E9" s="33">
        <f>C31*'E Balans VL '!I19/100/3.6*1000000</f>
        <v>2043.7575279289194</v>
      </c>
      <c r="F9" s="33">
        <f>C31*'E Balans VL '!L19/100/3.6*1000000+C31*'E Balans VL '!N19/100/3.6*1000000</f>
        <v>5618.2158678028591</v>
      </c>
      <c r="G9" s="34"/>
      <c r="H9" s="33"/>
      <c r="I9" s="33"/>
      <c r="J9" s="40">
        <f>C31*'E Balans VL '!D19/100/3.6*1000000+C31*'E Balans VL '!E19/100/3.6*1000000</f>
        <v>0</v>
      </c>
      <c r="K9" s="33"/>
      <c r="L9" s="33"/>
      <c r="M9" s="33"/>
      <c r="N9" s="33">
        <f>C31*'E Balans VL '!Y19/100/3.6*1000000</f>
        <v>2310.1067779172113</v>
      </c>
      <c r="O9" s="33"/>
      <c r="P9" s="33"/>
      <c r="R9" s="32"/>
    </row>
    <row r="10" spans="1:18">
      <c r="A10" s="6" t="s">
        <v>41</v>
      </c>
      <c r="B10" s="37">
        <f t="shared" si="0"/>
        <v>13548.484293174499</v>
      </c>
      <c r="C10" s="33"/>
      <c r="D10" s="37">
        <f>IF( ISERROR(IND_voed_gas_kWh/1000),0,IND_voed_gas_kWh/1000)*0.902</f>
        <v>7567.6512211274685</v>
      </c>
      <c r="E10" s="33">
        <f>C32*'E Balans VL '!I20/100/3.6*1000000</f>
        <v>28.662028593947682</v>
      </c>
      <c r="F10" s="33">
        <f>C32*'E Balans VL '!L20/100/3.6*1000000+C32*'E Balans VL '!N20/100/3.6*1000000</f>
        <v>861.42647073090677</v>
      </c>
      <c r="G10" s="34"/>
      <c r="H10" s="33"/>
      <c r="I10" s="33"/>
      <c r="J10" s="40">
        <f>C32*'E Balans VL '!D20/100/3.6*1000000+C32*'E Balans VL '!E20/100/3.6*1000000</f>
        <v>0</v>
      </c>
      <c r="K10" s="33"/>
      <c r="L10" s="33"/>
      <c r="M10" s="33"/>
      <c r="N10" s="33">
        <f>C32*'E Balans VL '!Y20/100/3.6*1000000</f>
        <v>934.97911593894207</v>
      </c>
      <c r="O10" s="33"/>
      <c r="P10" s="33"/>
      <c r="R10" s="32"/>
    </row>
    <row r="11" spans="1:18">
      <c r="A11" s="6" t="s">
        <v>40</v>
      </c>
      <c r="B11" s="37">
        <f t="shared" si="0"/>
        <v>1733.72637319656</v>
      </c>
      <c r="C11" s="33"/>
      <c r="D11" s="37">
        <f>IF( ISERROR(IND_textiel_gas_kWh/1000),0,IND_textiel_gas_kWh/1000)*0.902</f>
        <v>166.40515060578323</v>
      </c>
      <c r="E11" s="33">
        <f>C33*'E Balans VL '!I21/100/3.6*1000000</f>
        <v>5.1490178524447732</v>
      </c>
      <c r="F11" s="33">
        <f>C33*'E Balans VL '!L21/100/3.6*1000000+C33*'E Balans VL '!N21/100/3.6*1000000</f>
        <v>175.15396161887722</v>
      </c>
      <c r="G11" s="34"/>
      <c r="H11" s="33"/>
      <c r="I11" s="33"/>
      <c r="J11" s="40">
        <f>C33*'E Balans VL '!D21/100/3.6*1000000+C33*'E Balans VL '!E21/100/3.6*1000000</f>
        <v>0</v>
      </c>
      <c r="K11" s="33"/>
      <c r="L11" s="33"/>
      <c r="M11" s="33"/>
      <c r="N11" s="33">
        <f>C33*'E Balans VL '!Y21/100/3.6*1000000</f>
        <v>95.620542416821934</v>
      </c>
      <c r="O11" s="33"/>
      <c r="P11" s="33"/>
      <c r="R11" s="32"/>
    </row>
    <row r="12" spans="1:18">
      <c r="A12" s="6" t="s">
        <v>37</v>
      </c>
      <c r="B12" s="37">
        <f t="shared" si="0"/>
        <v>229.34146295931001</v>
      </c>
      <c r="C12" s="33"/>
      <c r="D12" s="37">
        <f>IF( ISERROR(IND_min_gas_kWh/1000),0,IND_min_gas_kWh/1000)*0.902</f>
        <v>0</v>
      </c>
      <c r="E12" s="33">
        <f>C34*'E Balans VL '!I22/100/3.6*1000000</f>
        <v>6.6476646600746117</v>
      </c>
      <c r="F12" s="33">
        <f>C34*'E Balans VL '!L22/100/3.6*1000000+C34*'E Balans VL '!N22/100/3.6*1000000</f>
        <v>78.85018658170182</v>
      </c>
      <c r="G12" s="34"/>
      <c r="H12" s="33"/>
      <c r="I12" s="33"/>
      <c r="J12" s="40">
        <f>C34*'E Balans VL '!D22/100/3.6*1000000+C34*'E Balans VL '!E22/100/3.6*1000000</f>
        <v>0.37687713466112754</v>
      </c>
      <c r="K12" s="33"/>
      <c r="L12" s="33"/>
      <c r="M12" s="33"/>
      <c r="N12" s="33">
        <f>C34*'E Balans VL '!Y22/100/3.6*1000000</f>
        <v>50.20661507685741</v>
      </c>
      <c r="O12" s="33"/>
      <c r="P12" s="33"/>
      <c r="R12" s="32"/>
    </row>
    <row r="13" spans="1:18">
      <c r="A13" s="6" t="s">
        <v>39</v>
      </c>
      <c r="B13" s="37">
        <f t="shared" si="0"/>
        <v>1856.6862134323599</v>
      </c>
      <c r="C13" s="33"/>
      <c r="D13" s="37">
        <f>IF( ISERROR(IND_papier_gas_kWh/1000),0,IND_papier_gas_kWh/1000)*0.902</f>
        <v>1417.5242065425007</v>
      </c>
      <c r="E13" s="33">
        <f>C35*'E Balans VL '!I23/100/3.6*1000000</f>
        <v>2.6342131160198292</v>
      </c>
      <c r="F13" s="33">
        <f>C35*'E Balans VL '!L23/100/3.6*1000000+C35*'E Balans VL '!N23/100/3.6*1000000</f>
        <v>45.328692060180316</v>
      </c>
      <c r="G13" s="34"/>
      <c r="H13" s="33"/>
      <c r="I13" s="33"/>
      <c r="J13" s="40">
        <f>C35*'E Balans VL '!D23/100/3.6*1000000+C35*'E Balans VL '!E23/100/3.6*1000000</f>
        <v>0.28715395453972542</v>
      </c>
      <c r="K13" s="33"/>
      <c r="L13" s="33"/>
      <c r="M13" s="33"/>
      <c r="N13" s="33">
        <f>C35*'E Balans VL '!Y23/100/3.6*1000000</f>
        <v>5396.9473146328701</v>
      </c>
      <c r="O13" s="33"/>
      <c r="P13" s="33"/>
      <c r="R13" s="32"/>
    </row>
    <row r="14" spans="1:18">
      <c r="A14" s="6" t="s">
        <v>34</v>
      </c>
      <c r="B14" s="37">
        <f t="shared" si="0"/>
        <v>2216.5855272681401</v>
      </c>
      <c r="C14" s="33"/>
      <c r="D14" s="37">
        <f>IF( ISERROR(IND_chemie_gas_kWh/1000),0,IND_chemie_gas_kWh/1000)*0.902</f>
        <v>4331.9228872244666</v>
      </c>
      <c r="E14" s="33">
        <f>C36*'E Balans VL '!I24/100/3.6*1000000</f>
        <v>5.4565984746955953</v>
      </c>
      <c r="F14" s="33">
        <f>C36*'E Balans VL '!L24/100/3.6*1000000+C36*'E Balans VL '!N24/100/3.6*1000000</f>
        <v>23.735093866161115</v>
      </c>
      <c r="G14" s="34"/>
      <c r="H14" s="33"/>
      <c r="I14" s="33"/>
      <c r="J14" s="40">
        <f>C36*'E Balans VL '!D24/100/3.6*1000000+C36*'E Balans VL '!E24/100/3.6*1000000</f>
        <v>0</v>
      </c>
      <c r="K14" s="33"/>
      <c r="L14" s="33"/>
      <c r="M14" s="33"/>
      <c r="N14" s="33">
        <f>C36*'E Balans VL '!Y24/100/3.6*1000000</f>
        <v>49.501826516734624</v>
      </c>
      <c r="O14" s="33"/>
      <c r="P14" s="33"/>
      <c r="R14" s="32"/>
    </row>
    <row r="15" spans="1:18">
      <c r="A15" s="6" t="s">
        <v>270</v>
      </c>
      <c r="B15" s="37">
        <f t="shared" si="0"/>
        <v>37965.426136381095</v>
      </c>
      <c r="C15" s="33"/>
      <c r="D15" s="37">
        <f>IF( ISERROR(IND_rest_gas_kWh/1000),0,IND_rest_gas_kWh/1000)*0.902</f>
        <v>31403.958590248876</v>
      </c>
      <c r="E15" s="33">
        <f>C37*'E Balans VL '!I15/100/3.6*1000000</f>
        <v>2096.2967395999867</v>
      </c>
      <c r="F15" s="33">
        <f>C37*'E Balans VL '!L15/100/3.6*1000000+C37*'E Balans VL '!N15/100/3.6*1000000</f>
        <v>7519.8145930076089</v>
      </c>
      <c r="G15" s="34"/>
      <c r="H15" s="33"/>
      <c r="I15" s="33"/>
      <c r="J15" s="40">
        <f>C37*'E Balans VL '!D15/100/3.6*1000000+C37*'E Balans VL '!E15/100/3.6*1000000</f>
        <v>135.91550363183296</v>
      </c>
      <c r="K15" s="33"/>
      <c r="L15" s="33"/>
      <c r="M15" s="33"/>
      <c r="N15" s="33">
        <f>C37*'E Balans VL '!Y15/100/3.6*1000000</f>
        <v>8516.241010225267</v>
      </c>
      <c r="O15" s="33"/>
      <c r="P15" s="33"/>
      <c r="R15" s="32"/>
    </row>
    <row r="16" spans="1:18">
      <c r="A16" s="16" t="s">
        <v>488</v>
      </c>
      <c r="B16" s="247">
        <f>'lokale energieproductie'!N89+'lokale energieproductie'!N58</f>
        <v>643.5</v>
      </c>
      <c r="C16" s="247">
        <f>'lokale energieproductie'!O89+'lokale energieproductie'!O58</f>
        <v>919.28571428571433</v>
      </c>
      <c r="D16" s="310">
        <f>('lokale energieproductie'!P58+'lokale energieproductie'!P89)*(-1)</f>
        <v>-1838.5714285714287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77592.41060286283</v>
      </c>
      <c r="C18" s="21">
        <f>C5+C16</f>
        <v>919.28571428571433</v>
      </c>
      <c r="D18" s="21">
        <f>MAX((D5+D16),0)</f>
        <v>58951.484004670398</v>
      </c>
      <c r="E18" s="21">
        <f>MAX((E5+E16),0)</f>
        <v>4302.5017038228643</v>
      </c>
      <c r="F18" s="21">
        <f>MAX((F5+F16),0)</f>
        <v>15484.129448415544</v>
      </c>
      <c r="G18" s="21"/>
      <c r="H18" s="21"/>
      <c r="I18" s="21"/>
      <c r="J18" s="21">
        <f>MAX((J5+J16),0)</f>
        <v>136.57953472103381</v>
      </c>
      <c r="K18" s="21"/>
      <c r="L18" s="21">
        <f>MAX((L5+L16),0)</f>
        <v>0</v>
      </c>
      <c r="M18" s="21"/>
      <c r="N18" s="21">
        <f>MAX((N5+N16),0)</f>
        <v>17530.341936556026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0.20514784504815853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15917.915827269197</v>
      </c>
      <c r="C22" s="23">
        <f ca="1">C18*C20</f>
        <v>218.46554621848739</v>
      </c>
      <c r="D22" s="23">
        <f>D18*D20</f>
        <v>11908.199768943421</v>
      </c>
      <c r="E22" s="23">
        <f>E18*E20</f>
        <v>976.66788676779026</v>
      </c>
      <c r="F22" s="23">
        <f>F18*F20</f>
        <v>4134.2625627269508</v>
      </c>
      <c r="G22" s="23"/>
      <c r="H22" s="23"/>
      <c r="I22" s="23"/>
      <c r="J22" s="23">
        <f>J18*J20</f>
        <v>48.349155291245964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12388.2412478475</v>
      </c>
      <c r="C30" s="39">
        <f>IF(ISERROR(B30*3.6/1000000/'E Balans VL '!Z18*100),0,B30*3.6/1000000/'E Balans VL '!Z18*100)</f>
        <v>0.70207339704369665</v>
      </c>
      <c r="D30" s="237" t="s">
        <v>754</v>
      </c>
    </row>
    <row r="31" spans="1:18">
      <c r="A31" s="6" t="s">
        <v>33</v>
      </c>
      <c r="B31" s="37">
        <f>IF( ISERROR(IND_ander_ele_kWh/1000),0,IND_ander_ele_kWh/1000)</f>
        <v>6991.5204210751508</v>
      </c>
      <c r="C31" s="39">
        <f>IF(ISERROR(B31*3.6/1000000/'E Balans VL '!Z19*100),0,B31*3.6/1000000/'E Balans VL '!Z19*100)</f>
        <v>0.31710625411562421</v>
      </c>
      <c r="D31" s="237" t="s">
        <v>754</v>
      </c>
    </row>
    <row r="32" spans="1:18">
      <c r="A32" s="171" t="s">
        <v>41</v>
      </c>
      <c r="B32" s="37">
        <f>IF( ISERROR(IND_voed_ele_kWh/1000),0,IND_voed_ele_kWh/1000)</f>
        <v>13548.484293174499</v>
      </c>
      <c r="C32" s="39">
        <f>IF(ISERROR(B32*3.6/1000000/'E Balans VL '!Z20*100),0,B32*3.6/1000000/'E Balans VL '!Z20*100)</f>
        <v>0.41911612411337956</v>
      </c>
      <c r="D32" s="237" t="s">
        <v>754</v>
      </c>
    </row>
    <row r="33" spans="1:5">
      <c r="A33" s="171" t="s">
        <v>40</v>
      </c>
      <c r="B33" s="37">
        <f>IF( ISERROR(IND_textiel_ele_kWh/1000),0,IND_textiel_ele_kWh/1000)</f>
        <v>1733.72637319656</v>
      </c>
      <c r="C33" s="39">
        <f>IF(ISERROR(B33*3.6/1000000/'E Balans VL '!Z21*100),0,B33*3.6/1000000/'E Balans VL '!Z21*100)</f>
        <v>0.22605864771489359</v>
      </c>
      <c r="D33" s="237" t="s">
        <v>754</v>
      </c>
    </row>
    <row r="34" spans="1:5">
      <c r="A34" s="171" t="s">
        <v>37</v>
      </c>
      <c r="B34" s="37">
        <f>IF( ISERROR(IND_min_ele_kWh/1000),0,IND_min_ele_kWh/1000)</f>
        <v>229.34146295931001</v>
      </c>
      <c r="C34" s="39">
        <f>IF(ISERROR(B34*3.6/1000000/'E Balans VL '!Z22*100),0,B34*3.6/1000000/'E Balans VL '!Z22*100)</f>
        <v>4.125137381514335E-2</v>
      </c>
      <c r="D34" s="237" t="s">
        <v>754</v>
      </c>
    </row>
    <row r="35" spans="1:5">
      <c r="A35" s="171" t="s">
        <v>39</v>
      </c>
      <c r="B35" s="37">
        <f>IF( ISERROR(IND_papier_ele_kWh/1000),0,IND_papier_ele_kWh/1000)</f>
        <v>1856.6862134323599</v>
      </c>
      <c r="C35" s="39">
        <f>IF(ISERROR(B35*3.6/1000000/'E Balans VL '!Z22*100),0,B35*3.6/1000000/'E Balans VL '!Z22*100)</f>
        <v>0.33395992185377366</v>
      </c>
      <c r="D35" s="237" t="s">
        <v>754</v>
      </c>
    </row>
    <row r="36" spans="1:5">
      <c r="A36" s="171" t="s">
        <v>34</v>
      </c>
      <c r="B36" s="37">
        <f>IF( ISERROR(IND_chemie_ele_kWh/1000),0,IND_chemie_ele_kWh/1000)</f>
        <v>2216.5855272681401</v>
      </c>
      <c r="C36" s="39">
        <f>IF(ISERROR(B36*3.6/1000000/'E Balans VL '!Z24*100),0,B36*3.6/1000000/'E Balans VL '!Z24*100)</f>
        <v>6.7592614190225095E-2</v>
      </c>
      <c r="D36" s="237" t="s">
        <v>754</v>
      </c>
    </row>
    <row r="37" spans="1:5">
      <c r="A37" s="171" t="s">
        <v>270</v>
      </c>
      <c r="B37" s="37">
        <f>IF( ISERROR(IND_rest_ele_kWh/1000),0,IND_rest_ele_kWh/1000)</f>
        <v>37965.426136381095</v>
      </c>
      <c r="C37" s="39">
        <f>IF(ISERROR(B37*3.6/1000000/'E Balans VL '!Z15*100),0,B37*3.6/1000000/'E Balans VL '!Z15*100)</f>
        <v>0.30092262810847059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4062.1486441316565</v>
      </c>
      <c r="C5" s="17">
        <f>'Eigen informatie GS &amp; warmtenet'!B60</f>
        <v>0</v>
      </c>
      <c r="D5" s="30">
        <f>IF(ISERROR(SUM(LB_lb_gas_kWh,LB_rest_gas_kWh,onbekend_gas_kWh)/1000),0,SUM(LB_lb_gas_kWh,LB_rest_gas_kWh,onbekend_gas_kWh)/1000)*0.902</f>
        <v>15523.585251519011</v>
      </c>
      <c r="E5" s="17">
        <f>B17*'E Balans VL '!I25/3.6*1000000/100</f>
        <v>119.39895588505011</v>
      </c>
      <c r="F5" s="17">
        <f>B17*('E Balans VL '!L25/3.6*1000000+'E Balans VL '!N25/3.6*1000000)/100</f>
        <v>16922.691744461164</v>
      </c>
      <c r="G5" s="18"/>
      <c r="H5" s="17"/>
      <c r="I5" s="17"/>
      <c r="J5" s="17">
        <f>('E Balans VL '!D25+'E Balans VL '!E25)/3.6*1000000*landbouw!B17/100</f>
        <v>588.51810289396792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4062.1486441316565</v>
      </c>
      <c r="C8" s="21">
        <f>C5+C6</f>
        <v>0</v>
      </c>
      <c r="D8" s="21">
        <f>MAX((D5+D6),0)</f>
        <v>15523.585251519011</v>
      </c>
      <c r="E8" s="21">
        <f>MAX((E5+E6),0)</f>
        <v>119.39895588505011</v>
      </c>
      <c r="F8" s="21">
        <f>MAX((F5+F6),0)</f>
        <v>16922.691744461164</v>
      </c>
      <c r="G8" s="21"/>
      <c r="H8" s="21"/>
      <c r="I8" s="21"/>
      <c r="J8" s="21">
        <f>MAX((J5+J6),0)</f>
        <v>588.51810289396792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0.20514784504815853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833.34104060890832</v>
      </c>
      <c r="C12" s="23">
        <f ca="1">C8*C10</f>
        <v>0</v>
      </c>
      <c r="D12" s="23">
        <f>D8*D10</f>
        <v>3135.7642208068405</v>
      </c>
      <c r="E12" s="23">
        <f>E8*E10</f>
        <v>27.103562985906375</v>
      </c>
      <c r="F12" s="23">
        <f>F8*F10</f>
        <v>4518.3586957711314</v>
      </c>
      <c r="G12" s="23"/>
      <c r="H12" s="23"/>
      <c r="I12" s="23"/>
      <c r="J12" s="23">
        <f>J8*J10</f>
        <v>208.33540842446465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0.57643163720498236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708.20156167549862</v>
      </c>
      <c r="C26" s="247">
        <f>B26*'GWP N2O_CH4'!B5</f>
        <v>14872.232795185471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308.0267918775769</v>
      </c>
      <c r="C27" s="247">
        <f>B27*'GWP N2O_CH4'!B5</f>
        <v>6468.5626294291151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9.038305369247654</v>
      </c>
      <c r="C28" s="247">
        <f>B28*'GWP N2O_CH4'!B4</f>
        <v>2801.8746644667726</v>
      </c>
      <c r="D28" s="50"/>
    </row>
    <row r="29" spans="1:4">
      <c r="A29" s="41" t="s">
        <v>277</v>
      </c>
      <c r="B29" s="247">
        <f>B34*'ha_N2O bodem landbouw'!B4</f>
        <v>24.80484628067434</v>
      </c>
      <c r="C29" s="247">
        <f>B29*'GWP N2O_CH4'!B4</f>
        <v>7689.5023470090455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5.6603804399467878E-3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6.8573253431942062E-4</v>
      </c>
      <c r="C5" s="463" t="s">
        <v>211</v>
      </c>
      <c r="D5" s="448">
        <f>SUM(D6:D11)</f>
        <v>2.6398097730335186E-3</v>
      </c>
      <c r="E5" s="448">
        <f>SUM(E6:E11)</f>
        <v>3.681900080521194E-3</v>
      </c>
      <c r="F5" s="461" t="s">
        <v>211</v>
      </c>
      <c r="G5" s="448">
        <f>SUM(G6:G11)</f>
        <v>1.526198469165561</v>
      </c>
      <c r="H5" s="448">
        <f>SUM(H6:H11)</f>
        <v>0.2991964284189686</v>
      </c>
      <c r="I5" s="463" t="s">
        <v>211</v>
      </c>
      <c r="J5" s="463" t="s">
        <v>211</v>
      </c>
      <c r="K5" s="463" t="s">
        <v>211</v>
      </c>
      <c r="L5" s="463" t="s">
        <v>211</v>
      </c>
      <c r="M5" s="448">
        <f>SUM(M6:M11)</f>
        <v>9.8049388302003049E-2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2.5354959717318693E-4</v>
      </c>
      <c r="C6" s="449"/>
      <c r="D6" s="962">
        <f>vkm_2011_GW_PW*SUMIFS(TableVerdeelsleutelVkm[CNG],TableVerdeelsleutelVkm[Voertuigtype],"Lichte voertuigen")*SUMIFS(TableECFTransport[EnergieConsumptieFactor (PJ per km)],TableECFTransport[Index],CONCATENATE($A6,"_CNG_CNG"))</f>
        <v>7.6050326728781107E-4</v>
      </c>
      <c r="E6" s="962">
        <f>vkm_2011_GW_PW*SUMIFS(TableVerdeelsleutelVkm[LPG],TableVerdeelsleutelVkm[Voertuigtype],"Lichte voertuigen")*SUMIFS(TableECFTransport[EnergieConsumptieFactor (PJ per km)],TableECFTransport[Index],CONCATENATE($A6,"_LPG_LPG"))</f>
        <v>1.0389567040258573E-3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0.26862657714553023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8.6483366763245376E-2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1.8261194800469119E-2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0.20428621378831172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6.2251396778926891E-5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1.1937808001291737E-2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2.3836207546875629E-4</v>
      </c>
      <c r="C8" s="449"/>
      <c r="D8" s="451">
        <f>vkm_2011_NGW_PW*SUMIFS(TableVerdeelsleutelVkm[CNG],TableVerdeelsleutelVkm[Voertuigtype],"Lichte voertuigen")*SUMIFS(TableECFTransport[EnergieConsumptieFactor (PJ per km)],TableECFTransport[Index],CONCATENATE($A8,"_CNG_CNG"))</f>
        <v>1.2711880761363179E-3</v>
      </c>
      <c r="E8" s="451">
        <f>vkm_2011_NGW_PW*SUMIFS(TableVerdeelsleutelVkm[LPG],TableVerdeelsleutelVkm[Voertuigtype],"Lichte voertuigen")*SUMIFS(TableECFTransport[EnergieConsumptieFactor (PJ per km)],TableECFTransport[Index],CONCATENATE($A8,"_LPG_LPG"))</f>
        <v>1.6083122830376077E-3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0.38751499474862305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0.14047844956128264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2.6809608875593631E-2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0.13522510300014756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3.8792504021545912E-5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7.9020343759608098E-3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1.9382086167747729E-4</v>
      </c>
      <c r="C10" s="449"/>
      <c r="D10" s="451">
        <f>vkm_2011_SW_PW*SUMIFS(TableVerdeelsleutelVkm[CNG],TableVerdeelsleutelVkm[Voertuigtype],"Lichte voertuigen")*SUMIFS(TableECFTransport[EnergieConsumptieFactor (PJ per km)],TableECFTransport[Index],CONCATENATE($A10,"_CNG_CNG"))</f>
        <v>6.0811842960938956E-4</v>
      </c>
      <c r="E10" s="451">
        <f>vkm_2011_SW_PW*SUMIFS(TableVerdeelsleutelVkm[LPG],TableVerdeelsleutelVkm[Voertuigtype],"Lichte voertuigen")*SUMIFS(TableECFTransport[EnergieConsumptieFactor (PJ per km)],TableECFTransport[Index],CONCATENATE($A10,"_LPG_LPG"))</f>
        <v>1.0346310934577286E-3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0.2384848112031786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7.2037459473709556E-2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1.6071469721849509E-2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0.29206076927976993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9.6108719930554498E-5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1.7067272526838227E-2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190.48125953317239</v>
      </c>
      <c r="C14" s="21"/>
      <c r="D14" s="21">
        <f t="shared" ref="D14:M14" si="0">((D5)*10^9/3600)+D12</f>
        <v>733.28049250931076</v>
      </c>
      <c r="E14" s="21">
        <f t="shared" si="0"/>
        <v>1022.7500223669982</v>
      </c>
      <c r="F14" s="21"/>
      <c r="G14" s="21">
        <f t="shared" si="0"/>
        <v>423944.01921265584</v>
      </c>
      <c r="H14" s="21">
        <f t="shared" si="0"/>
        <v>83110.119005269065</v>
      </c>
      <c r="I14" s="21"/>
      <c r="J14" s="21"/>
      <c r="K14" s="21"/>
      <c r="L14" s="21"/>
      <c r="M14" s="21">
        <f t="shared" si="0"/>
        <v>27235.941195000847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0.20514784504815853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39.07681991528932</v>
      </c>
      <c r="C18" s="23"/>
      <c r="D18" s="23">
        <f t="shared" ref="D18:M18" si="1">D14*D16</f>
        <v>148.12265948688079</v>
      </c>
      <c r="E18" s="23">
        <f t="shared" si="1"/>
        <v>232.16425507730861</v>
      </c>
      <c r="F18" s="23"/>
      <c r="G18" s="23">
        <f t="shared" si="1"/>
        <v>113193.05312977912</v>
      </c>
      <c r="H18" s="23">
        <f t="shared" si="1"/>
        <v>20694.419632311998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3.485680283623812E-2</v>
      </c>
      <c r="H50" s="321">
        <f t="shared" si="2"/>
        <v>0</v>
      </c>
      <c r="I50" s="321">
        <f t="shared" si="2"/>
        <v>0</v>
      </c>
      <c r="J50" s="321">
        <f t="shared" si="2"/>
        <v>0</v>
      </c>
      <c r="K50" s="321">
        <f t="shared" si="2"/>
        <v>0</v>
      </c>
      <c r="L50" s="321">
        <f t="shared" si="2"/>
        <v>0</v>
      </c>
      <c r="M50" s="321">
        <f t="shared" si="2"/>
        <v>1.9797125230796827E-3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3.485680283623812E-2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1.9797125230796827E-3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9682.4452322883662</v>
      </c>
      <c r="H54" s="21">
        <f t="shared" si="3"/>
        <v>0</v>
      </c>
      <c r="I54" s="21">
        <f t="shared" si="3"/>
        <v>0</v>
      </c>
      <c r="J54" s="21">
        <f t="shared" si="3"/>
        <v>0</v>
      </c>
      <c r="K54" s="21">
        <f t="shared" si="3"/>
        <v>0</v>
      </c>
      <c r="L54" s="21">
        <f t="shared" si="3"/>
        <v>0</v>
      </c>
      <c r="M54" s="21">
        <f t="shared" si="3"/>
        <v>549.92014529991184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0.20514784504815853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2585.2128770209938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23518.696980688685</v>
      </c>
      <c r="C6" s="1263"/>
      <c r="D6" s="1248"/>
      <c r="E6" s="1248"/>
      <c r="F6" s="1266"/>
      <c r="G6" s="1269"/>
      <c r="H6" s="1260"/>
      <c r="I6" s="1248"/>
      <c r="J6" s="1248"/>
      <c r="K6" s="1248"/>
      <c r="L6" s="1252"/>
      <c r="M6" s="575"/>
      <c r="N6" s="1226"/>
      <c r="O6" s="1227"/>
      <c r="Q6" s="573"/>
      <c r="R6" s="1214"/>
      <c r="S6" s="1214"/>
    </row>
    <row r="7" spans="1:19" s="563" customFormat="1">
      <c r="A7" s="576" t="s">
        <v>252</v>
      </c>
      <c r="B7" s="577">
        <f>N57</f>
        <v>690.75</v>
      </c>
      <c r="C7" s="578">
        <f>B100</f>
        <v>812.64705882352951</v>
      </c>
      <c r="D7" s="579"/>
      <c r="E7" s="579">
        <f>E100</f>
        <v>0</v>
      </c>
      <c r="F7" s="580"/>
      <c r="G7" s="581"/>
      <c r="H7" s="579">
        <f>I100</f>
        <v>0</v>
      </c>
      <c r="I7" s="579">
        <f>G100+F100</f>
        <v>0</v>
      </c>
      <c r="J7" s="579">
        <f>H100+D100+C100</f>
        <v>0</v>
      </c>
      <c r="K7" s="579"/>
      <c r="L7" s="582"/>
      <c r="M7" s="583">
        <f>C7*$C$11+D7*$D$11+E7*$E$11+F7*$F$11+G7*$G$11+H7*$H$11+I7*$I$11+J7*$J$11</f>
        <v>164.15470588235297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24209.446980688685</v>
      </c>
      <c r="C9" s="594">
        <f t="shared" ref="C9:L9" si="0">SUM(C7:C8)</f>
        <v>812.64705882352951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164.15470588235297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986.78571428571433</v>
      </c>
      <c r="C16" s="610">
        <f>B101</f>
        <v>1160.9243697478992</v>
      </c>
      <c r="D16" s="611"/>
      <c r="E16" s="611">
        <f>E101</f>
        <v>0</v>
      </c>
      <c r="F16" s="612"/>
      <c r="G16" s="613"/>
      <c r="H16" s="610">
        <f>I101</f>
        <v>0</v>
      </c>
      <c r="I16" s="611">
        <f>G101+F101</f>
        <v>0</v>
      </c>
      <c r="J16" s="611">
        <f>H101+D101+C101</f>
        <v>0</v>
      </c>
      <c r="K16" s="611"/>
      <c r="L16" s="614"/>
      <c r="M16" s="615">
        <f>C16*$C$21+E16*$E$21+H16*$H$21+I16*$I$21+J16*$J$21+D16*$D$21+F16*$F$21+G16*$G$21+K16*$K$21+L16*$L$21</f>
        <v>234.50672268907564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986.78571428571433</v>
      </c>
      <c r="C19" s="593">
        <f>SUM(C16:C18)</f>
        <v>1160.9243697478992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234.50672268907564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46021</v>
      </c>
      <c r="C27" s="851">
        <v>9100</v>
      </c>
      <c r="D27" s="672" t="s">
        <v>844</v>
      </c>
      <c r="E27" s="671" t="s">
        <v>845</v>
      </c>
      <c r="F27" s="671" t="s">
        <v>846</v>
      </c>
      <c r="G27" s="671" t="s">
        <v>847</v>
      </c>
      <c r="H27" s="671" t="s">
        <v>848</v>
      </c>
      <c r="I27" s="671" t="s">
        <v>845</v>
      </c>
      <c r="J27" s="850">
        <v>40688</v>
      </c>
      <c r="K27" s="850">
        <v>40787</v>
      </c>
      <c r="L27" s="671" t="s">
        <v>849</v>
      </c>
      <c r="M27" s="671">
        <v>5</v>
      </c>
      <c r="N27" s="671">
        <v>22.5</v>
      </c>
      <c r="O27" s="671">
        <v>32.142857142857146</v>
      </c>
      <c r="P27" s="671">
        <v>64.285714285714292</v>
      </c>
      <c r="Q27" s="671">
        <v>0</v>
      </c>
      <c r="R27" s="671">
        <v>0</v>
      </c>
      <c r="S27" s="671">
        <v>0</v>
      </c>
      <c r="T27" s="671">
        <v>0</v>
      </c>
      <c r="U27" s="671">
        <v>0</v>
      </c>
      <c r="V27" s="671">
        <v>0</v>
      </c>
      <c r="W27" s="671">
        <v>0</v>
      </c>
      <c r="X27" s="671">
        <v>1600</v>
      </c>
      <c r="Y27" s="671" t="s">
        <v>50</v>
      </c>
      <c r="Z27" s="673" t="s">
        <v>156</v>
      </c>
    </row>
    <row r="28" spans="1:26" s="625" customFormat="1" ht="63.75">
      <c r="A28" s="624"/>
      <c r="B28" s="851">
        <v>46021</v>
      </c>
      <c r="C28" s="851">
        <v>9100</v>
      </c>
      <c r="D28" s="672" t="s">
        <v>850</v>
      </c>
      <c r="E28" s="671" t="s">
        <v>851</v>
      </c>
      <c r="F28" s="671" t="s">
        <v>852</v>
      </c>
      <c r="G28" s="671" t="s">
        <v>847</v>
      </c>
      <c r="H28" s="671" t="s">
        <v>848</v>
      </c>
      <c r="I28" s="671" t="s">
        <v>851</v>
      </c>
      <c r="J28" s="850">
        <v>40735</v>
      </c>
      <c r="K28" s="850">
        <v>40817</v>
      </c>
      <c r="L28" s="671" t="s">
        <v>849</v>
      </c>
      <c r="M28" s="671">
        <v>5.5</v>
      </c>
      <c r="N28" s="671">
        <v>24.75</v>
      </c>
      <c r="O28" s="671">
        <v>35.357142857142861</v>
      </c>
      <c r="P28" s="671">
        <v>70.714285714285722</v>
      </c>
      <c r="Q28" s="671">
        <v>0</v>
      </c>
      <c r="R28" s="671">
        <v>0</v>
      </c>
      <c r="S28" s="671">
        <v>0</v>
      </c>
      <c r="T28" s="671">
        <v>0</v>
      </c>
      <c r="U28" s="671">
        <v>0</v>
      </c>
      <c r="V28" s="671">
        <v>0</v>
      </c>
      <c r="W28" s="671">
        <v>0</v>
      </c>
      <c r="X28" s="671">
        <v>1600</v>
      </c>
      <c r="Y28" s="671" t="s">
        <v>50</v>
      </c>
      <c r="Z28" s="673" t="s">
        <v>156</v>
      </c>
    </row>
    <row r="29" spans="1:26" s="625" customFormat="1" ht="38.25">
      <c r="A29" s="624"/>
      <c r="B29" s="851">
        <v>46021</v>
      </c>
      <c r="C29" s="851">
        <v>9100</v>
      </c>
      <c r="D29" s="672" t="s">
        <v>853</v>
      </c>
      <c r="E29" s="671" t="s">
        <v>854</v>
      </c>
      <c r="F29" s="671" t="s">
        <v>855</v>
      </c>
      <c r="G29" s="671" t="s">
        <v>847</v>
      </c>
      <c r="H29" s="671" t="s">
        <v>848</v>
      </c>
      <c r="I29" s="671" t="s">
        <v>854</v>
      </c>
      <c r="J29" s="850">
        <v>41418</v>
      </c>
      <c r="K29" s="850">
        <v>41333</v>
      </c>
      <c r="L29" s="671" t="s">
        <v>849</v>
      </c>
      <c r="M29" s="671">
        <v>143</v>
      </c>
      <c r="N29" s="671">
        <v>643.5</v>
      </c>
      <c r="O29" s="671">
        <v>919.28571428571433</v>
      </c>
      <c r="P29" s="671">
        <v>1838.5714285714287</v>
      </c>
      <c r="Q29" s="671">
        <v>0</v>
      </c>
      <c r="R29" s="671">
        <v>0</v>
      </c>
      <c r="S29" s="671">
        <v>0</v>
      </c>
      <c r="T29" s="671">
        <v>0</v>
      </c>
      <c r="U29" s="671">
        <v>0</v>
      </c>
      <c r="V29" s="671">
        <v>0</v>
      </c>
      <c r="W29" s="671">
        <v>0</v>
      </c>
      <c r="X29" s="671">
        <v>500</v>
      </c>
      <c r="Y29" s="671" t="s">
        <v>41</v>
      </c>
      <c r="Z29" s="673" t="s">
        <v>389</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153.5</v>
      </c>
      <c r="N57" s="629">
        <f>SUM(N27:N56)</f>
        <v>690.75</v>
      </c>
      <c r="O57" s="629">
        <f t="shared" ref="O57:W57" si="2">SUM(O27:O56)</f>
        <v>986.78571428571433</v>
      </c>
      <c r="P57" s="629">
        <f t="shared" si="2"/>
        <v>1973.5714285714287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143</v>
      </c>
      <c r="N58" s="629">
        <f t="shared" ref="N58:W58" si="3">SUMIF($Z$27:$Z$56,"industrie",N27:N56)</f>
        <v>643.5</v>
      </c>
      <c r="O58" s="629">
        <f t="shared" si="3"/>
        <v>919.28571428571433</v>
      </c>
      <c r="P58" s="629">
        <f t="shared" si="3"/>
        <v>1838.5714285714287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10.5</v>
      </c>
      <c r="N59" s="629">
        <f ca="1">SUMIF($Z$27:AB56,"tertiair",N27:N56)</f>
        <v>47.25</v>
      </c>
      <c r="O59" s="629">
        <f ca="1">SUMIF($Z$27:AC56,"tertiair",O27:O56)</f>
        <v>67.5</v>
      </c>
      <c r="P59" s="629">
        <f ca="1">SUMIF($Z$27:AD56,"tertiair",P27:P56)</f>
        <v>135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812.64705882352951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1160.9243697478992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2019-01-01T21:21:18Z</dcterms:modified>
</cp:coreProperties>
</file>