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B22" i="6"/>
  <c r="C29" i="20"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20" i="16"/>
  <c r="C22" s="1"/>
  <c r="D39" i="14" s="1"/>
  <c r="C17" i="49"/>
  <c r="C56" i="22"/>
  <c r="C58" s="1"/>
  <c r="D44" i="14" s="1"/>
  <c r="D46" s="1"/>
  <c r="Q4" i="48"/>
  <c r="N22"/>
  <c r="R11" i="14"/>
  <c r="J21" i="48"/>
  <c r="Q5" l="1"/>
  <c r="C18" i="15"/>
  <c r="C20" s="1"/>
  <c r="D36" i="14" s="1"/>
  <c r="C17" i="19"/>
  <c r="C19" s="1"/>
  <c r="D35" i="14" s="1"/>
  <c r="C16" i="48"/>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14" i="48"/>
  <c r="E14" l="1"/>
  <c r="K55" i="14"/>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<sst xmlns="http://schemas.openxmlformats.org/spreadsheetml/2006/main" count="2144" uniqueCount="861">
  <si>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</si>
  <si>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</si>
  <si>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</si>
  <si>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</si>
  <si>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</si>
  <si>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</si>
  <si>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</si>
  <si>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</si>
  <si>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</si>
  <si>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</si>
  <si>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</si>
  <si>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</si>
  <si>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</si>
  <si>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</si>
  <si>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</si>
  <si>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</si>
  <si>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</si>
  <si>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</si>
  <si>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</si>
  <si>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</si>
  <si>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</si>
  <si>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</si>
  <si>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</si>
  <si>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</si>
  <si>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</si>
  <si>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</si>
  <si>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</si>
  <si>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</si>
  <si>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</si>
  <si>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</si>
  <si>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</si>
  <si>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</si>
  <si>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</si>
  <si>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</si>
  <si>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</si>
  <si>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</si>
  <si>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</si>
  <si>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</si>
  <si>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</si>
  <si>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</si>
  <si>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</si>
  <si>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</si>
  <si>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</si>
  <si>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</si>
  <si>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</si>
  <si>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</si>
  <si>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</si>
  <si>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</si>
  <si>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</si>
  <si>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</si>
  <si>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</si>
  <si>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</si>
  <si>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</si>
  <si>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</si>
  <si>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</si>
  <si>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</si>
  <si>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</si>
  <si>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</si>
  <si>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</si>
  <si>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</si>
  <si>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</si>
  <si>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</si>
  <si>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</si>
  <si>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</si>
  <si>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</si>
  <si>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</si>
  <si>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</si>
  <si>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</si>
  <si>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</si>
  <si>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</si>
  <si>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</si>
  <si>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</si>
  <si>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</si>
  <si>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</si>
  <si>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</si>
  <si>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</si>
  <si>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</si>
  <si>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</si>
  <si>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</si>
  <si>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</si>
  <si>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</si>
  <si>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</si>
  <si>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</si>
  <si>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</si>
  <si>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</si>
  <si>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</si>
  <si>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</si>
  <si>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</si>
  <si>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</si>
  <si>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</si>
  <si>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</si>
  <si>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</si>
  <si>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</si>
  <si>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</si>
  <si>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</si>
  <si>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</si>
  <si>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</si>
  <si>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</si>
  <si>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</si>
  <si>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</si>
  <si>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</si>
  <si>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</si>
  <si>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</si>
  <si>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</si>
  <si>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</si>
  <si>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</si>
  <si>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</si>
  <si>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</si>
  <si>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</si>
  <si>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</si>
  <si>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</si>
  <si>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</si>
  <si>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</si>
  <si>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</si>
  <si>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</si>
  <si>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</si>
  <si>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</si>
  <si>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</si>
  <si>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</si>
  <si>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</si>
  <si>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</si>
  <si>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</si>
  <si>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</si>
  <si>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</si>
  <si>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</si>
  <si>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</si>
  <si>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</si>
  <si>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</si>
  <si>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</si>
  <si>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</si>
  <si>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</si>
  <si>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</si>
  <si>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</si>
  <si>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</si>
  <si>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</si>
  <si>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</si>
  <si>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</si>
  <si>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</si>
  <si>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</si>
  <si>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</si>
  <si>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</si>
  <si>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</si>
  <si>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</si>
  <si>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</si>
  <si>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</si>
  <si>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</si>
  <si>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</si>
  <si>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</si>
  <si>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</si>
  <si>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</si>
  <si>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</si>
  <si>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</si>
  <si>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</si>
  <si>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</si>
  <si>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</si>
  <si>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</si>
  <si>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</si>
  <si>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</si>
  <si>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</si>
  <si>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</si>
  <si>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</si>
  <si>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</si>
  <si>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</si>
  <si>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</si>
  <si>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</si>
  <si>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</si>
  <si>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</si>
  <si>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</si>
  <si>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</si>
  <si>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</si>
  <si>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</si>
  <si>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</si>
  <si>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</si>
  <si>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</si>
  <si>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</si>
  <si>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</si>
  <si>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</si>
  <si>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</si>
  <si>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</si>
  <si>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</si>
  <si>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</si>
  <si>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</si>
  <si>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</si>
  <si>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</si>
  <si>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</si>
  <si>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</si>
  <si>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</si>
  <si>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</si>
  <si>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</si>
  <si>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</si>
  <si>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</si>
  <si>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</si>
  <si>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</si>
  <si>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</si>
  <si>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</si>
  <si>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</si>
  <si>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</si>
  <si>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</si>
  <si>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</si>
  <si>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</si>
  <si>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</si>
  <si>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</si>
  <si>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</si>
  <si>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</si>
  <si>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</si>
  <si>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</si>
  <si>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</si>
  <si>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</si>
  <si>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</si>
  <si>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</si>
  <si>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</si>
  <si>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</si>
  <si>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</si>
  <si>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</si>
  <si>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</si>
  <si>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</si>
  <si>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</si>
  <si>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</si>
  <si>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</si>
  <si>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</si>
  <si>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</si>
  <si>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</si>
  <si>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</si>
  <si>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</si>
  <si>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</si>
  <si>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</si>
  <si>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</si>
  <si>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</si>
  <si>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</si>
  <si>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</si>
  <si>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</si>
  <si>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</si>
  <si>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</si>
  <si>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</si>
  <si>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</si>
  <si>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</si>
  <si>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</si>
  <si>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</si>
  <si>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</si>
  <si>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</si>
  <si>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</si>
  <si>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</si>
  <si>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</si>
  <si>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</si>
  <si>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</si>
  <si>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</si>
  <si>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</si>
  <si>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</si>
  <si>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</si>
  <si>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</si>
  <si>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</si>
  <si>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</si>
  <si>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</si>
  <si>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</si>
  <si>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</si>
  <si>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</si>
  <si>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</si>
  <si>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</si>
  <si>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</si>
  <si>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</si>
  <si>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</si>
  <si>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</si>
  <si>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</si>
  <si>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</si>
  <si>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</si>
  <si>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</si>
  <si>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</si>
  <si>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</si>
  <si>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</si>
  <si>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</si>
  <si>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</si>
  <si>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</si>
  <si>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</si>
  <si>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</si>
  <si>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</si>
  <si>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</si>
  <si>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</si>
  <si>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</si>
  <si>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</si>
  <si>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</si>
  <si>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</si>
  <si>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</si>
  <si>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</si>
  <si>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</si>
  <si>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</si>
  <si>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</si>
  <si>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</si>
  <si>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</si>
  <si>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</si>
  <si>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</si>
  <si>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</si>
  <si>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</si>
  <si>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</si>
  <si>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</si>
  <si>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</si>
  <si>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</si>
  <si>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</si>
  <si>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</si>
  <si>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</si>
  <si>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</si>
  <si>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</si>
  <si>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</si>
  <si>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</si>
  <si>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</si>
  <si>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</si>
  <si>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</si>
  <si>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</si>
  <si>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</si>
  <si>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</si>
  <si>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</si>
  <si>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</si>
  <si>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</si>
  <si>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</si>
  <si>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</si>
  <si>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</si>
  <si>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</si>
  <si>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</si>
  <si>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</si>
  <si>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</si>
  <si>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</si>
  <si>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</si>
  <si>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</si>
  <si>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</si>
  <si>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</si>
  <si>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</si>
  <si>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</si>
  <si>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</si>
  <si>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</si>
  <si>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</si>
  <si>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</si>
  <si>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</si>
  <si>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</si>
  <si>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</si>
  <si>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</si>
  <si>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</si>
  <si>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</si>
  <si>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</si>
  <si>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</si>
  <si>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</si>
  <si>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</si>
  <si>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</si>
  <si>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</si>
  <si>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</si>
  <si>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</si>
  <si>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</si>
  <si>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</si>
  <si>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</si>
  <si>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</si>
  <si>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</si>
  <si>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</si>
  <si>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</si>
  <si>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</si>
  <si>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</si>
  <si>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</si>
  <si>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</si>
  <si>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</si>
  <si>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</si>
  <si>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</si>
  <si>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</si>
  <si>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</si>
  <si>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</si>
  <si>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</si>
  <si>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</si>
  <si>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</si>
  <si>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</si>
  <si>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</si>
  <si>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</si>
  <si>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</si>
  <si>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</si>
  <si>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</si>
  <si>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</si>
  <si>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</si>
  <si>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</si>
  <si>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</si>
  <si>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</si>
  <si>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</si>
  <si>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</si>
  <si>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</si>
  <si>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</si>
  <si>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</si>
  <si>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</si>
  <si>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</si>
  <si>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</si>
  <si>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</si>
  <si>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</si>
  <si>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</si>
  <si>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</si>
  <si>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</si>
  <si>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</si>
  <si>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</si>
  <si>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</si>
  <si>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</si>
  <si>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</si>
  <si>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</si>
  <si>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</si>
  <si>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</si>
  <si>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</si>
  <si>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</si>
  <si>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</si>
  <si>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</si>
  <si>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</si>
  <si>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</si>
  <si>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</si>
  <si>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</si>
  <si>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</si>
  <si>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</si>
  <si>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</si>
  <si>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</si>
  <si>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</si>
  <si>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</si>
  <si>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</si>
  <si>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</si>
  <si>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</si>
  <si>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</si>
  <si>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</si>
  <si>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</si>
  <si>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</si>
  <si>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</si>
  <si>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</si>
  <si>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</si>
  <si>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</si>
  <si>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</si>
  <si>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</si>
  <si>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</si>
  <si>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</si>
  <si>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</si>
  <si>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</si>
  <si>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</si>
  <si>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</si>
  <si>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</si>
  <si>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</si>
  <si>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</si>
  <si>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</si>
  <si>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</si>
  <si>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</si>
  <si>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</si>
  <si>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</si>
  <si>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</si>
  <si>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</si>
  <si>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</si>
  <si>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</si>
  <si>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</si>
  <si>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</si>
  <si>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</si>
  <si>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</si>
  <si>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</si>
  <si>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</si>
  <si>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</si>
  <si>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</si>
  <si>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</si>
  <si>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</si>
  <si>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</si>
  <si>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</si>
  <si>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</si>
  <si>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</si>
  <si>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</si>
  <si>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</si>
  <si>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</si>
  <si>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</si>
  <si>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</si>
  <si>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</si>
  <si>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</si>
  <si>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</si>
  <si>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</si>
  <si>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</si>
  <si>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</si>
  <si>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</si>
  <si>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</si>
  <si>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</si>
  <si>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</si>
  <si>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</si>
  <si>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</si>
  <si>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</si>
  <si>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</si>
  <si>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</si>
  <si>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</si>
  <si>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</si>
  <si>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</si>
  <si>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</si>
  <si>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</si>
  <si>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</si>
  <si>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</si>
  <si>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</si>
  <si>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</si>
  <si>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</si>
  <si>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</si>
  <si>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</si>
  <si>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</si>
  <si>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</si>
  <si>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</si>
  <si>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</si>
  <si>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</si>
  <si>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</si>
  <si>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</si>
  <si>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</si>
  <si>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</si>
  <si>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</si>
  <si>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</si>
  <si>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</si>
  <si>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</si>
  <si>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</si>
  <si>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</si>
  <si>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</si>
  <si>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</si>
  <si>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</si>
  <si>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</si>
  <si>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</si>
  <si>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</si>
  <si>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</si>
  <si>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</si>
  <si>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</si>
  <si>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</si>
  <si>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</si>
  <si>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</si>
  <si>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</si>
  <si>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</si>
  <si>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</si>
  <si>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</si>
  <si>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</si>
  <si>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</si>
  <si>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</si>
  <si>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</si>
  <si>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</si>
  <si>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</si>
  <si>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</si>
  <si>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</si>
  <si>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</si>
  <si>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</si>
  <si>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</si>
  <si>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</si>
  <si>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</si>
  <si>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</si>
  <si>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</si>
  <si>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</si>
  <si>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</si>
  <si>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</si>
  <si>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</si>
  <si>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</si>
  <si>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</si>
  <si>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</si>
  <si>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</si>
  <si>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</si>
  <si>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</si>
  <si>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</si>
  <si>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</si>
  <si>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</si>
  <si>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</si>
  <si>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</si>
  <si>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</si>
  <si>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</si>
  <si>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</si>
  <si>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</si>
  <si>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</si>
  <si>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</si>
  <si>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</si>
  <si>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</si>
  <si>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</si>
  <si>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</si>
  <si>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</si>
  <si>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</si>
  <si>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</si>
  <si>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</si>
  <si>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</si>
  <si>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</si>
  <si>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</si>
  <si>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</si>
  <si>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</si>
  <si>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</si>
  <si>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</si>
  <si>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</si>
  <si>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</si>
  <si>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</si>
  <si>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</si>
  <si>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</si>
  <si>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</si>
  <si>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</si>
  <si>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</si>
  <si>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</si>
  <si>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</si>
  <si>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</si>
  <si>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</si>
  <si>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</si>
  <si>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</si>
  <si>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</si>
  <si>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</si>
  <si>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</si>
  <si>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</si>
  <si>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</si>
  <si>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</si>
  <si>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</si>
  <si>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</si>
  <si>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</si>
  <si>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</si>
  <si>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</si>
  <si>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</si>
  <si>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</si>
  <si>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</si>
  <si>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</si>
  <si>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</si>
  <si>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</si>
  <si>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</si>
  <si>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</si>
  <si>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</si>
  <si>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</si>
  <si>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</si>
  <si>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</si>
  <si>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</si>
  <si>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</si>
  <si>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</si>
  <si>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</si>
  <si>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</si>
  <si>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</si>
  <si>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</si>
  <si>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</si>
  <si>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</si>
  <si>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</si>
  <si>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</si>
  <si>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</si>
  <si>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</si>
  <si>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</si>
  <si>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</si>
  <si>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</si>
  <si>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</si>
  <si>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</si>
  <si>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</si>
  <si>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</si>
  <si>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</si>
  <si>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</si>
  <si>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</si>
  <si>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</si>
  <si>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</si>
  <si>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</si>
  <si>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</si>
  <si>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</si>
  <si>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</si>
  <si>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</si>
  <si>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</si>
  <si>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</si>
  <si>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</si>
  <si>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</si>
  <si>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</si>
  <si>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</si>
  <si>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</si>
  <si>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</si>
  <si>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</si>
  <si>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</si>
  <si>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</si>
  <si>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</si>
  <si>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</si>
  <si>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</si>
  <si>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</si>
  <si>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</si>
  <si>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</si>
  <si>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</si>
  <si>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</si>
  <si>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</si>
  <si>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</si>
  <si>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</si>
  <si>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</si>
  <si>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</si>
  <si>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</si>
  <si>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</si>
  <si>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</si>
  <si>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</si>
  <si>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</si>
  <si>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</si>
  <si>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</si>
  <si>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</si>
  <si>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</si>
  <si>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</si>
  <si>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</si>
  <si>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</si>
  <si>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</si>
  <si>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</si>
  <si>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</si>
  <si>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</si>
  <si>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</si>
  <si>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</si>
  <si>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</si>
  <si>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</si>
  <si>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</si>
  <si>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</si>
  <si>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</si>
  <si>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</si>
  <si>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</si>
  <si>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</si>
  <si>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</si>
  <si>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</si>
  <si>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</si>
  <si>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</si>
  <si>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</si>
  <si>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</si>
  <si>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</si>
  <si>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</si>
  <si>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</si>
  <si>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</si>
  <si>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</si>
  <si>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</si>
  <si>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</si>
  <si>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</si>
  <si>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</si>
  <si>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</si>
  <si>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</si>
  <si>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</si>
  <si>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</si>
  <si>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</si>
  <si>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</si>
  <si>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</si>
  <si>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</si>
  <si>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</si>
  <si>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</si>
  <si>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</si>
  <si>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</si>
  <si>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</si>
  <si>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</si>
  <si>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</si>
  <si>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</si>
  <si>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</si>
  <si>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</si>
  <si>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</si>
  <si>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</si>
  <si>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</si>
  <si>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</si>
  <si>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</si>
  <si>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</si>
  <si>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</si>
  <si>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</si>
  <si>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</si>
  <si>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</si>
  <si>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</si>
  <si>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</si>
  <si>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</si>
  <si>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</si>
  <si>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</si>
  <si>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</si>
  <si>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</si>
  <si>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</si>
  <si>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</si>
  <si>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</si>
  <si>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</si>
  <si>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</si>
  <si>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</si>
  <si>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</si>
  <si>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</si>
  <si>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</si>
  <si>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</si>
  <si>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</si>
  <si>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</si>
  <si>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</si>
  <si>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</si>
  <si>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</si>
  <si>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</si>
  <si>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</si>
  <si>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</si>
  <si>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</si>
  <si>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</si>
  <si>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</si>
  <si>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</si>
  <si>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</si>
  <si>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</si>
  <si>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</si>
  <si>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</si>
  <si>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</si>
  <si>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</si>
  <si>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</si>
  <si>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</si>
  <si>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</si>
  <si>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</si>
  <si>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</si>
  <si>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</si>
  <si>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</si>
  <si>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</si>
  <si>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</si>
  <si>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</si>
  <si>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</si>
  <si>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</si>
  <si>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</si>
  <si>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</si>
  <si>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</si>
  <si>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</si>
  <si>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</si>
  <si>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</si>
  <si>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</si>
  <si>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</si>
  <si>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</si>
  <si>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</si>
  <si>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</si>
  <si>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</si>
  <si>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</si>
  <si>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</si>
  <si>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</si>
  <si>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</si>
  <si>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</si>
  <si>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</si>
  <si>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</si>
  <si>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</si>
  <si>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</si>
  <si>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</si>
  <si>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</si>
  <si>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</si>
  <si>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</si>
  <si>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</si>
  <si>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</si>
  <si>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</si>
  <si>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</si>
  <si>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</si>
  <si>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</si>
  <si>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</si>
  <si>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</si>
  <si>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</si>
  <si>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</si>
  <si>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</si>
  <si>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</si>
  <si>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</si>
  <si>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</si>
  <si>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</si>
  <si>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</si>
  <si>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</si>
  <si>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</si>
  <si>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</si>
  <si>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</si>
  <si>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</si>
  <si>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</si>
  <si>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</si>
  <si>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</si>
  <si>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</si>
  <si>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</si>
  <si>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</si>
  <si>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</si>
  <si>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</si>
  <si>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</si>
  <si>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</si>
  <si>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</si>
  <si>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</si>
  <si>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</si>
  <si>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</si>
  <si>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46020</t>
  </si>
  <si>
    <t>SINT-GILLIS-WAAS</t>
  </si>
  <si>
    <t>Eandis (januari 2018); Infrax (juni 2018)</t>
  </si>
  <si>
    <t>MOW (september 2017)</t>
  </si>
  <si>
    <t>referentietaak LNE (2017); Jaarverslag De Lijn (2016)</t>
  </si>
  <si>
    <t>VEA (april 2018)</t>
  </si>
  <si>
    <t>VEA (januari 2017)</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</si>
  <si>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</si>
  <si>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</si>
  <si>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</si>
  <si>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</si>
  <si>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</si>
  <si>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</si>
  <si>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</si>
  <si>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</si>
  <si>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</si>
  <si>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</si>
  <si>
    <t>OCMW Sint-Gillis-Waas</t>
  </si>
  <si>
    <t>Blokstraat 2 , 9170 Sint-Gillis-Waas</t>
  </si>
  <si>
    <t>WKK-0589 OCMW Sint-Gillis-Waas gebouw RVT</t>
  </si>
  <si>
    <t>WKK-0598 OCMW Sint-Gillis-Waas rusthuis</t>
  </si>
  <si>
    <t>Zwanenhoekstraat 3 , 9170 Sint-Gillis-Waas</t>
  </si>
  <si>
    <t>Veerle Messiaen</t>
  </si>
  <si>
    <t>Potterstraat 21 , 9170 Sint-Pauwels</t>
  </si>
  <si>
    <t>WKK-0642 Sauna Ostara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</si>
</sst>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150789.70975044064</c:v>
                </c:pt>
                <c:pt idx="1">
                  <c:v>34860.414506875313</c:v>
                </c:pt>
                <c:pt idx="2">
                  <c:v>1115.9939999999999</c:v>
                </c:pt>
                <c:pt idx="3">
                  <c:v>72609.714415124792</c:v>
                </c:pt>
                <c:pt idx="4">
                  <c:v>18909.104545670518</c:v>
                </c:pt>
                <c:pt idx="5">
                  <c:v>209326.22947245231</c:v>
                </c:pt>
                <c:pt idx="6">
                  <c:v>1929.1408793477858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150789.70975044064</c:v>
                </c:pt>
                <c:pt idx="1">
                  <c:v>34860.414506875313</c:v>
                </c:pt>
                <c:pt idx="2">
                  <c:v>1115.9939999999999</c:v>
                </c:pt>
                <c:pt idx="3">
                  <c:v>72609.714415124792</c:v>
                </c:pt>
                <c:pt idx="4">
                  <c:v>18909.104545670518</c:v>
                </c:pt>
                <c:pt idx="5">
                  <c:v>209326.22947245231</c:v>
                </c:pt>
                <c:pt idx="6">
                  <c:v>1929.1408793477858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23541.257500066509</c:v>
                </c:pt>
                <c:pt idx="1">
                  <c:v>6512.2651795816764</c:v>
                </c:pt>
                <c:pt idx="2">
                  <c:v>177.93445319490701</c:v>
                </c:pt>
                <c:pt idx="3">
                  <c:v>17589.333041202655</c:v>
                </c:pt>
                <c:pt idx="4">
                  <c:v>3452.9465767658226</c:v>
                </c:pt>
                <c:pt idx="5">
                  <c:v>52453.537666545388</c:v>
                </c:pt>
                <c:pt idx="6">
                  <c:v>487.39852994312929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77856"/>
        <c:axId val="183979392"/>
      </c:barChart>
      <c:catAx>
        <c:axId val="183977856"/>
        <c:scaling>
          <c:orientation val="minMax"/>
        </c:scaling>
        <c:axPos val="b"/>
        <c:numFmt formatCode="General" sourceLinked="0"/>
        <c:tickLblPos val="nextTo"/>
        <c:crossAx val="183979392"/>
        <c:crosses val="autoZero"/>
        <c:auto val="1"/>
        <c:lblAlgn val="ctr"/>
        <c:lblOffset val="100"/>
      </c:catAx>
      <c:valAx>
        <c:axId val="183979392"/>
        <c:scaling>
          <c:orientation val="minMax"/>
        </c:scaling>
        <c:axPos val="l"/>
        <c:majorGridlines>
          <c:spPr>
            <a:ln>
              <a:noFill/>
            </a:ln>
          </c:spPr>
        </c:majorGridlines>
        <c:numFmt formatCode="#,##0" sourceLinked="1"/>
        <c:tickLblPos val="nextTo"/>
        <c:crossAx val="1839778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23541.257500066509</c:v>
                </c:pt>
                <c:pt idx="1">
                  <c:v>6512.2651795816764</c:v>
                </c:pt>
                <c:pt idx="2">
                  <c:v>177.93445319490701</c:v>
                </c:pt>
                <c:pt idx="3">
                  <c:v>17589.333041202655</c:v>
                </c:pt>
                <c:pt idx="4">
                  <c:v>3452.9465767658226</c:v>
                </c:pt>
                <c:pt idx="5">
                  <c:v>52453.537666545388</c:v>
                </c:pt>
                <c:pt idx="6">
                  <c:v>487.39852994312929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46020</v>
      </c>
      <c r="B6" s="415"/>
      <c r="C6" s="416"/>
    </row>
    <row r="7" spans="1:7" s="413" customFormat="1" ht="15.75" customHeight="1">
      <c r="A7" s="417" t="str">
        <f>txtMunicipality</f>
        <v>SINT-GILLIS-WAAS</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13167.273314628699</v>
      </c>
      <c r="D10" s="718">
        <f ca="1">tertiair!C16</f>
        <v>157.5</v>
      </c>
      <c r="E10" s="718">
        <f ca="1">tertiair!D16</f>
        <v>19561.594208734568</v>
      </c>
      <c r="F10" s="718">
        <f>tertiair!E16</f>
        <v>203.12350919277628</v>
      </c>
      <c r="G10" s="718">
        <f ca="1">tertiair!F16</f>
        <v>2081.7139731275347</v>
      </c>
      <c r="H10" s="718">
        <f>tertiair!G16</f>
        <v>0</v>
      </c>
      <c r="I10" s="718">
        <f>tertiair!H16</f>
        <v>0</v>
      </c>
      <c r="J10" s="718">
        <f>tertiair!I16</f>
        <v>0</v>
      </c>
      <c r="K10" s="718">
        <f>tertiair!J16</f>
        <v>2.0063790544256842E-2</v>
      </c>
      <c r="L10" s="718">
        <f>tertiair!K16</f>
        <v>0</v>
      </c>
      <c r="M10" s="718">
        <f ca="1">tertiair!L16</f>
        <v>0</v>
      </c>
      <c r="N10" s="718">
        <f>tertiair!M16</f>
        <v>0</v>
      </c>
      <c r="O10" s="718">
        <f ca="1">tertiair!N16</f>
        <v>803.6201040678535</v>
      </c>
      <c r="P10" s="718">
        <f>tertiair!O16</f>
        <v>1.5633333333333335</v>
      </c>
      <c r="Q10" s="719">
        <f>tertiair!P16</f>
        <v>0</v>
      </c>
      <c r="R10" s="721">
        <f ca="1">SUM(C10:Q10)</f>
        <v>35976.408506875305</v>
      </c>
      <c r="S10" s="67"/>
    </row>
    <row r="11" spans="1:19" s="474" customFormat="1">
      <c r="A11" s="870" t="s">
        <v>225</v>
      </c>
      <c r="B11" s="875"/>
      <c r="C11" s="718">
        <f>huishoudens!B8</f>
        <v>33514.175325401971</v>
      </c>
      <c r="D11" s="718">
        <f>huishoudens!C8</f>
        <v>0</v>
      </c>
      <c r="E11" s="718">
        <f>huishoudens!D8</f>
        <v>82584.228864205274</v>
      </c>
      <c r="F11" s="718">
        <f>huishoudens!E8</f>
        <v>6242.8326818728056</v>
      </c>
      <c r="G11" s="718">
        <f>huishoudens!F8</f>
        <v>0</v>
      </c>
      <c r="H11" s="718">
        <f>huishoudens!G8</f>
        <v>0</v>
      </c>
      <c r="I11" s="718">
        <f>huishoudens!H8</f>
        <v>0</v>
      </c>
      <c r="J11" s="718">
        <f>huishoudens!I8</f>
        <v>0</v>
      </c>
      <c r="K11" s="718">
        <f>huishoudens!J8</f>
        <v>278.55658304358371</v>
      </c>
      <c r="L11" s="718">
        <f>huishoudens!K8</f>
        <v>0</v>
      </c>
      <c r="M11" s="718">
        <f>huishoudens!L8</f>
        <v>0</v>
      </c>
      <c r="N11" s="718">
        <f>huishoudens!M8</f>
        <v>0</v>
      </c>
      <c r="O11" s="718">
        <f>huishoudens!N8</f>
        <v>26314.106295916998</v>
      </c>
      <c r="P11" s="718">
        <f>huishoudens!O8</f>
        <v>292.34333333333331</v>
      </c>
      <c r="Q11" s="719">
        <f>huishoudens!P8</f>
        <v>1563.4666666666667</v>
      </c>
      <c r="R11" s="721">
        <f>SUM(C11:Q11)</f>
        <v>150789.70975044064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6441.2271299483727</v>
      </c>
      <c r="D13" s="718">
        <f>industrie!C18</f>
        <v>0</v>
      </c>
      <c r="E13" s="718">
        <f>industrie!D18</f>
        <v>8043.3538245362688</v>
      </c>
      <c r="F13" s="718">
        <f>industrie!E18</f>
        <v>769.52013505625416</v>
      </c>
      <c r="G13" s="718">
        <f>industrie!F18</f>
        <v>2337.7773431345945</v>
      </c>
      <c r="H13" s="718">
        <f>industrie!G18</f>
        <v>0</v>
      </c>
      <c r="I13" s="718">
        <f>industrie!H18</f>
        <v>0</v>
      </c>
      <c r="J13" s="718">
        <f>industrie!I18</f>
        <v>0</v>
      </c>
      <c r="K13" s="718">
        <f>industrie!J18</f>
        <v>6.5821885449753834</v>
      </c>
      <c r="L13" s="718">
        <f>industrie!K18</f>
        <v>0</v>
      </c>
      <c r="M13" s="718">
        <f>industrie!L18</f>
        <v>0</v>
      </c>
      <c r="N13" s="718">
        <f>industrie!M18</f>
        <v>0</v>
      </c>
      <c r="O13" s="718">
        <f>industrie!N18</f>
        <v>1310.6439244500502</v>
      </c>
      <c r="P13" s="718">
        <f>industrie!O18</f>
        <v>0</v>
      </c>
      <c r="Q13" s="719">
        <f>industrie!P18</f>
        <v>0</v>
      </c>
      <c r="R13" s="721">
        <f>SUM(C13:Q13)</f>
        <v>18909.104545670518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53122.675769979047</v>
      </c>
      <c r="D15" s="723">
        <f t="shared" ref="D15:Q15" ca="1" si="0">SUM(D9:D14)</f>
        <v>157.5</v>
      </c>
      <c r="E15" s="723">
        <f t="shared" ca="1" si="0"/>
        <v>110189.17689747612</v>
      </c>
      <c r="F15" s="723">
        <f t="shared" si="0"/>
        <v>7215.4763261218359</v>
      </c>
      <c r="G15" s="723">
        <f t="shared" ca="1" si="0"/>
        <v>4419.4913162621287</v>
      </c>
      <c r="H15" s="723">
        <f t="shared" si="0"/>
        <v>0</v>
      </c>
      <c r="I15" s="723">
        <f t="shared" si="0"/>
        <v>0</v>
      </c>
      <c r="J15" s="723">
        <f t="shared" si="0"/>
        <v>0</v>
      </c>
      <c r="K15" s="723">
        <f t="shared" si="0"/>
        <v>285.15883537910338</v>
      </c>
      <c r="L15" s="723">
        <f t="shared" si="0"/>
        <v>0</v>
      </c>
      <c r="M15" s="723">
        <f t="shared" ca="1" si="0"/>
        <v>0</v>
      </c>
      <c r="N15" s="723">
        <f t="shared" si="0"/>
        <v>0</v>
      </c>
      <c r="O15" s="723">
        <f t="shared" ca="1" si="0"/>
        <v>28428.370324434902</v>
      </c>
      <c r="P15" s="723">
        <f t="shared" si="0"/>
        <v>293.90666666666664</v>
      </c>
      <c r="Q15" s="724">
        <f t="shared" si="0"/>
        <v>1563.4666666666667</v>
      </c>
      <c r="R15" s="725">
        <f ca="1">SUM(R9:R14)</f>
        <v>205675.22280298645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1825.4626589630309</v>
      </c>
      <c r="I18" s="718">
        <f>transport!H54</f>
        <v>0</v>
      </c>
      <c r="J18" s="718">
        <f>transport!I54</f>
        <v>0</v>
      </c>
      <c r="K18" s="718">
        <f>transport!J54</f>
        <v>0</v>
      </c>
      <c r="L18" s="718">
        <f>transport!K54</f>
        <v>0</v>
      </c>
      <c r="M18" s="718">
        <f>transport!L54</f>
        <v>0</v>
      </c>
      <c r="N18" s="718">
        <f>transport!M54</f>
        <v>103.67822038475498</v>
      </c>
      <c r="O18" s="718">
        <f>transport!N54</f>
        <v>0</v>
      </c>
      <c r="P18" s="718">
        <f>transport!O54</f>
        <v>0</v>
      </c>
      <c r="Q18" s="719">
        <f>transport!P54</f>
        <v>0</v>
      </c>
      <c r="R18" s="721">
        <f>SUM(C18:Q18)</f>
        <v>1929.1408793477858</v>
      </c>
      <c r="S18" s="67"/>
    </row>
    <row r="19" spans="1:19" s="474" customFormat="1" ht="15" thickBot="1">
      <c r="A19" s="870" t="s">
        <v>307</v>
      </c>
      <c r="B19" s="875"/>
      <c r="C19" s="727">
        <f>transport!B14</f>
        <v>68.552258346853279</v>
      </c>
      <c r="D19" s="727">
        <f>transport!C14</f>
        <v>0</v>
      </c>
      <c r="E19" s="727">
        <f>transport!D14</f>
        <v>262.18438795401727</v>
      </c>
      <c r="F19" s="727">
        <f>transport!E14</f>
        <v>382.63084279845248</v>
      </c>
      <c r="G19" s="727">
        <f>transport!F14</f>
        <v>0</v>
      </c>
      <c r="H19" s="727">
        <f>transport!G14</f>
        <v>167936.62778008656</v>
      </c>
      <c r="I19" s="727">
        <f>transport!H14</f>
        <v>29974.737376673114</v>
      </c>
      <c r="J19" s="727">
        <f>transport!I14</f>
        <v>0</v>
      </c>
      <c r="K19" s="727">
        <f>transport!J14</f>
        <v>0</v>
      </c>
      <c r="L19" s="727">
        <f>transport!K14</f>
        <v>0</v>
      </c>
      <c r="M19" s="727">
        <f>transport!L14</f>
        <v>0</v>
      </c>
      <c r="N19" s="727">
        <f>transport!M14</f>
        <v>10701.496826593293</v>
      </c>
      <c r="O19" s="727">
        <f>transport!N14</f>
        <v>0</v>
      </c>
      <c r="P19" s="727">
        <f>transport!O14</f>
        <v>0</v>
      </c>
      <c r="Q19" s="728">
        <f>transport!P14</f>
        <v>0</v>
      </c>
      <c r="R19" s="729">
        <f>SUM(C19:Q19)</f>
        <v>209326.22947245231</v>
      </c>
      <c r="S19" s="67"/>
    </row>
    <row r="20" spans="1:19" s="474" customFormat="1" ht="15.75" thickBot="1">
      <c r="A20" s="730" t="s">
        <v>230</v>
      </c>
      <c r="B20" s="878"/>
      <c r="C20" s="873">
        <f>SUM(C17:C19)</f>
        <v>68.552258346853279</v>
      </c>
      <c r="D20" s="731">
        <f t="shared" ref="D20:R20" si="1">SUM(D17:D19)</f>
        <v>0</v>
      </c>
      <c r="E20" s="731">
        <f t="shared" si="1"/>
        <v>262.18438795401727</v>
      </c>
      <c r="F20" s="731">
        <f t="shared" si="1"/>
        <v>382.63084279845248</v>
      </c>
      <c r="G20" s="731">
        <f t="shared" si="1"/>
        <v>0</v>
      </c>
      <c r="H20" s="731">
        <f t="shared" si="1"/>
        <v>169762.09043904959</v>
      </c>
      <c r="I20" s="731">
        <f t="shared" si="1"/>
        <v>29974.737376673114</v>
      </c>
      <c r="J20" s="731">
        <f t="shared" si="1"/>
        <v>0</v>
      </c>
      <c r="K20" s="731">
        <f t="shared" si="1"/>
        <v>0</v>
      </c>
      <c r="L20" s="731">
        <f t="shared" si="1"/>
        <v>0</v>
      </c>
      <c r="M20" s="731">
        <f t="shared" si="1"/>
        <v>0</v>
      </c>
      <c r="N20" s="731">
        <f t="shared" si="1"/>
        <v>10805.175046978047</v>
      </c>
      <c r="O20" s="731">
        <f t="shared" si="1"/>
        <v>0</v>
      </c>
      <c r="P20" s="731">
        <f t="shared" si="1"/>
        <v>0</v>
      </c>
      <c r="Q20" s="732">
        <f t="shared" si="1"/>
        <v>0</v>
      </c>
      <c r="R20" s="733">
        <f t="shared" si="1"/>
        <v>211255.37035180008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5507.212802500233</v>
      </c>
      <c r="D22" s="727">
        <f>+landbouw!C8</f>
        <v>43200</v>
      </c>
      <c r="E22" s="727">
        <f>+landbouw!D8</f>
        <v>0</v>
      </c>
      <c r="F22" s="727">
        <f>+landbouw!E8</f>
        <v>161.87380523488216</v>
      </c>
      <c r="G22" s="727">
        <f>+landbouw!F8</f>
        <v>22942.750941056143</v>
      </c>
      <c r="H22" s="727">
        <f>+landbouw!G8</f>
        <v>0</v>
      </c>
      <c r="I22" s="727">
        <f>+landbouw!H8</f>
        <v>0</v>
      </c>
      <c r="J22" s="727">
        <f>+landbouw!I8</f>
        <v>0</v>
      </c>
      <c r="K22" s="727">
        <f>+landbouw!J8</f>
        <v>797.87686633354099</v>
      </c>
      <c r="L22" s="727">
        <f>+landbouw!K8</f>
        <v>0</v>
      </c>
      <c r="M22" s="727">
        <f>+landbouw!L8</f>
        <v>0</v>
      </c>
      <c r="N22" s="727">
        <f>+landbouw!M8</f>
        <v>0</v>
      </c>
      <c r="O22" s="727">
        <f>+landbouw!N8</f>
        <v>0</v>
      </c>
      <c r="P22" s="727">
        <f>+landbouw!O8</f>
        <v>0</v>
      </c>
      <c r="Q22" s="728">
        <f>+landbouw!P8</f>
        <v>0</v>
      </c>
      <c r="R22" s="729">
        <f>SUM(C22:Q22)</f>
        <v>72609.714415124792</v>
      </c>
      <c r="S22" s="67"/>
    </row>
    <row r="23" spans="1:19" s="474" customFormat="1" ht="17.25" thickTop="1" thickBot="1">
      <c r="A23" s="734" t="s">
        <v>116</v>
      </c>
      <c r="B23" s="864"/>
      <c r="C23" s="735">
        <f ca="1">C20+C15+C22</f>
        <v>58698.440830826134</v>
      </c>
      <c r="D23" s="735">
        <f t="shared" ref="D23:Q23" ca="1" si="2">D20+D15+D22</f>
        <v>43357.5</v>
      </c>
      <c r="E23" s="735">
        <f t="shared" ca="1" si="2"/>
        <v>110451.36128543013</v>
      </c>
      <c r="F23" s="735">
        <f t="shared" si="2"/>
        <v>7759.9809741551699</v>
      </c>
      <c r="G23" s="735">
        <f t="shared" ca="1" si="2"/>
        <v>27362.24225731827</v>
      </c>
      <c r="H23" s="735">
        <f t="shared" si="2"/>
        <v>169762.09043904959</v>
      </c>
      <c r="I23" s="735">
        <f t="shared" si="2"/>
        <v>29974.737376673114</v>
      </c>
      <c r="J23" s="735">
        <f t="shared" si="2"/>
        <v>0</v>
      </c>
      <c r="K23" s="735">
        <f t="shared" si="2"/>
        <v>1083.0357017126444</v>
      </c>
      <c r="L23" s="735">
        <f t="shared" si="2"/>
        <v>0</v>
      </c>
      <c r="M23" s="735">
        <f t="shared" ca="1" si="2"/>
        <v>0</v>
      </c>
      <c r="N23" s="735">
        <f t="shared" si="2"/>
        <v>10805.175046978047</v>
      </c>
      <c r="O23" s="735">
        <f t="shared" ca="1" si="2"/>
        <v>28428.370324434902</v>
      </c>
      <c r="P23" s="735">
        <f t="shared" si="2"/>
        <v>293.90666666666664</v>
      </c>
      <c r="Q23" s="736">
        <f t="shared" si="2"/>
        <v>1563.4666666666667</v>
      </c>
      <c r="R23" s="737">
        <f ca="1">R20+R15+R22</f>
        <v>489540.3075699113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2099.3944208538292</v>
      </c>
      <c r="D36" s="718">
        <f ca="1">tertiair!C20</f>
        <v>37.429411764705904</v>
      </c>
      <c r="E36" s="718">
        <f ca="1">tertiair!D20</f>
        <v>3951.4420301643831</v>
      </c>
      <c r="F36" s="718">
        <f>tertiair!E20</f>
        <v>46.109036586760219</v>
      </c>
      <c r="G36" s="718">
        <f ca="1">tertiair!F20</f>
        <v>555.81763082505176</v>
      </c>
      <c r="H36" s="718">
        <f>tertiair!G20</f>
        <v>0</v>
      </c>
      <c r="I36" s="718">
        <f>tertiair!H20</f>
        <v>0</v>
      </c>
      <c r="J36" s="718">
        <f>tertiair!I20</f>
        <v>0</v>
      </c>
      <c r="K36" s="718">
        <f>tertiair!J20</f>
        <v>7.1025818526669216E-3</v>
      </c>
      <c r="L36" s="718">
        <f>tertiair!K20</f>
        <v>0</v>
      </c>
      <c r="M36" s="718">
        <f ca="1">tertiair!L20</f>
        <v>0</v>
      </c>
      <c r="N36" s="718">
        <f>tertiair!M20</f>
        <v>0</v>
      </c>
      <c r="O36" s="718">
        <f ca="1">tertiair!N20</f>
        <v>0</v>
      </c>
      <c r="P36" s="718">
        <f>tertiair!O20</f>
        <v>0</v>
      </c>
      <c r="Q36" s="828">
        <f>tertiair!P20</f>
        <v>0</v>
      </c>
      <c r="R36" s="917">
        <f ca="1">SUM(C36:Q36)</f>
        <v>6690.1996327765828</v>
      </c>
    </row>
    <row r="37" spans="1:18">
      <c r="A37" s="885" t="s">
        <v>225</v>
      </c>
      <c r="B37" s="892"/>
      <c r="C37" s="718">
        <f ca="1">huishoudens!B12</f>
        <v>5343.5112203144863</v>
      </c>
      <c r="D37" s="718">
        <f ca="1">huishoudens!C12</f>
        <v>0</v>
      </c>
      <c r="E37" s="718">
        <f>huishoudens!D12</f>
        <v>16682.014230569468</v>
      </c>
      <c r="F37" s="718">
        <f>huishoudens!E12</f>
        <v>1417.123018785127</v>
      </c>
      <c r="G37" s="718">
        <f>huishoudens!F12</f>
        <v>0</v>
      </c>
      <c r="H37" s="718">
        <f>huishoudens!G12</f>
        <v>0</v>
      </c>
      <c r="I37" s="718">
        <f>huishoudens!H12</f>
        <v>0</v>
      </c>
      <c r="J37" s="718">
        <f>huishoudens!I12</f>
        <v>0</v>
      </c>
      <c r="K37" s="718">
        <f>huishoudens!J12</f>
        <v>98.609030397428626</v>
      </c>
      <c r="L37" s="718">
        <f>huishoudens!K12</f>
        <v>0</v>
      </c>
      <c r="M37" s="718">
        <f>huishoudens!L12</f>
        <v>0</v>
      </c>
      <c r="N37" s="718">
        <f>huishoudens!M12</f>
        <v>0</v>
      </c>
      <c r="O37" s="718">
        <f>huishoudens!N12</f>
        <v>0</v>
      </c>
      <c r="P37" s="718">
        <f>huishoudens!O12</f>
        <v>0</v>
      </c>
      <c r="Q37" s="828">
        <f>huishoudens!P12</f>
        <v>0</v>
      </c>
      <c r="R37" s="917">
        <f ca="1">SUM(C37:Q37)</f>
        <v>23541.257500066509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1026.9913881898683</v>
      </c>
      <c r="D39" s="718">
        <f ca="1">industrie!C22</f>
        <v>0</v>
      </c>
      <c r="E39" s="718">
        <f>industrie!D22</f>
        <v>1624.7574725563263</v>
      </c>
      <c r="F39" s="718">
        <f>industrie!E22</f>
        <v>174.68107065776971</v>
      </c>
      <c r="G39" s="718">
        <f>industrie!F22</f>
        <v>624.18655061693676</v>
      </c>
      <c r="H39" s="718">
        <f>industrie!G22</f>
        <v>0</v>
      </c>
      <c r="I39" s="718">
        <f>industrie!H22</f>
        <v>0</v>
      </c>
      <c r="J39" s="718">
        <f>industrie!I22</f>
        <v>0</v>
      </c>
      <c r="K39" s="718">
        <f>industrie!J22</f>
        <v>2.3300947449212854</v>
      </c>
      <c r="L39" s="718">
        <f>industrie!K22</f>
        <v>0</v>
      </c>
      <c r="M39" s="718">
        <f>industrie!L22</f>
        <v>0</v>
      </c>
      <c r="N39" s="718">
        <f>industrie!M22</f>
        <v>0</v>
      </c>
      <c r="O39" s="718">
        <f>industrie!N22</f>
        <v>0</v>
      </c>
      <c r="P39" s="718">
        <f>industrie!O22</f>
        <v>0</v>
      </c>
      <c r="Q39" s="828">
        <f>industrie!P22</f>
        <v>0</v>
      </c>
      <c r="R39" s="918">
        <f ca="1">SUM(C39:Q39)</f>
        <v>3452.9465767658226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8469.8970293581842</v>
      </c>
      <c r="D41" s="763">
        <f t="shared" ref="D41:R41" ca="1" si="4">SUM(D35:D40)</f>
        <v>37.429411764705904</v>
      </c>
      <c r="E41" s="763">
        <f t="shared" ca="1" si="4"/>
        <v>22258.213733290177</v>
      </c>
      <c r="F41" s="763">
        <f t="shared" si="4"/>
        <v>1637.9131260296567</v>
      </c>
      <c r="G41" s="763">
        <f t="shared" ca="1" si="4"/>
        <v>1180.0041814419885</v>
      </c>
      <c r="H41" s="763">
        <f t="shared" si="4"/>
        <v>0</v>
      </c>
      <c r="I41" s="763">
        <f t="shared" si="4"/>
        <v>0</v>
      </c>
      <c r="J41" s="763">
        <f t="shared" si="4"/>
        <v>0</v>
      </c>
      <c r="K41" s="763">
        <f t="shared" si="4"/>
        <v>100.94622772420257</v>
      </c>
      <c r="L41" s="763">
        <f t="shared" si="4"/>
        <v>0</v>
      </c>
      <c r="M41" s="763">
        <f t="shared" ca="1" si="4"/>
        <v>0</v>
      </c>
      <c r="N41" s="763">
        <f t="shared" si="4"/>
        <v>0</v>
      </c>
      <c r="O41" s="763">
        <f t="shared" ca="1" si="4"/>
        <v>0</v>
      </c>
      <c r="P41" s="763">
        <f t="shared" si="4"/>
        <v>0</v>
      </c>
      <c r="Q41" s="764">
        <f t="shared" si="4"/>
        <v>0</v>
      </c>
      <c r="R41" s="765">
        <f t="shared" ca="1" si="4"/>
        <v>33684.403709608916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487.39852994312929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487.39852994312929</v>
      </c>
    </row>
    <row r="45" spans="1:18" ht="15" thickBot="1">
      <c r="A45" s="888" t="s">
        <v>307</v>
      </c>
      <c r="B45" s="898"/>
      <c r="C45" s="727">
        <f ca="1">transport!B18</f>
        <v>10.929994788702572</v>
      </c>
      <c r="D45" s="727">
        <f>transport!C18</f>
        <v>0</v>
      </c>
      <c r="E45" s="727">
        <f>transport!D18</f>
        <v>52.961246366711492</v>
      </c>
      <c r="F45" s="727">
        <f>transport!E18</f>
        <v>86.857201315248716</v>
      </c>
      <c r="G45" s="727">
        <f>transport!F18</f>
        <v>0</v>
      </c>
      <c r="H45" s="727">
        <f>transport!G18</f>
        <v>44839.079617283118</v>
      </c>
      <c r="I45" s="727">
        <f>transport!H18</f>
        <v>7463.7096067916054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52453.537666545388</v>
      </c>
    </row>
    <row r="46" spans="1:18" ht="15.75" thickBot="1">
      <c r="A46" s="886" t="s">
        <v>230</v>
      </c>
      <c r="B46" s="899"/>
      <c r="C46" s="763">
        <f t="shared" ref="C46:R46" ca="1" si="5">SUM(C43:C45)</f>
        <v>10.929994788702572</v>
      </c>
      <c r="D46" s="763">
        <f t="shared" ca="1" si="5"/>
        <v>0</v>
      </c>
      <c r="E46" s="763">
        <f t="shared" si="5"/>
        <v>52.961246366711492</v>
      </c>
      <c r="F46" s="763">
        <f t="shared" si="5"/>
        <v>86.857201315248716</v>
      </c>
      <c r="G46" s="763">
        <f t="shared" si="5"/>
        <v>0</v>
      </c>
      <c r="H46" s="763">
        <f t="shared" si="5"/>
        <v>45326.478147226248</v>
      </c>
      <c r="I46" s="763">
        <f t="shared" si="5"/>
        <v>7463.7096067916054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52940.936196488517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878.07183429379586</v>
      </c>
      <c r="D48" s="718">
        <f ca="1">+landbouw!C12</f>
        <v>10266.352941176476</v>
      </c>
      <c r="E48" s="718">
        <f>+landbouw!D12</f>
        <v>0</v>
      </c>
      <c r="F48" s="718">
        <f>+landbouw!E12</f>
        <v>36.745353788318248</v>
      </c>
      <c r="G48" s="718">
        <f>+landbouw!F12</f>
        <v>6125.7145012619903</v>
      </c>
      <c r="H48" s="718">
        <f>+landbouw!G12</f>
        <v>0</v>
      </c>
      <c r="I48" s="718">
        <f>+landbouw!H12</f>
        <v>0</v>
      </c>
      <c r="J48" s="718">
        <f>+landbouw!I12</f>
        <v>0</v>
      </c>
      <c r="K48" s="718">
        <f>+landbouw!J12</f>
        <v>282.44841068207347</v>
      </c>
      <c r="L48" s="718">
        <f>+landbouw!K12</f>
        <v>0</v>
      </c>
      <c r="M48" s="718">
        <f>+landbouw!L12</f>
        <v>0</v>
      </c>
      <c r="N48" s="718">
        <f>+landbouw!M12</f>
        <v>0</v>
      </c>
      <c r="O48" s="718">
        <f>+landbouw!N12</f>
        <v>0</v>
      </c>
      <c r="P48" s="718">
        <f>+landbouw!O12</f>
        <v>0</v>
      </c>
      <c r="Q48" s="719">
        <f>+landbouw!P12</f>
        <v>0</v>
      </c>
      <c r="R48" s="761">
        <f ca="1">SUM(C48:Q48)</f>
        <v>17589.333041202655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9358.8988584406834</v>
      </c>
      <c r="D53" s="773">
        <f t="shared" ref="D53:Q53" ca="1" si="6">D41+D46+D48</f>
        <v>10303.782352941182</v>
      </c>
      <c r="E53" s="773">
        <f t="shared" ca="1" si="6"/>
        <v>22311.174979656887</v>
      </c>
      <c r="F53" s="773">
        <f t="shared" si="6"/>
        <v>1761.5156811332236</v>
      </c>
      <c r="G53" s="773">
        <f t="shared" ca="1" si="6"/>
        <v>7305.7186827039786</v>
      </c>
      <c r="H53" s="773">
        <f t="shared" si="6"/>
        <v>45326.478147226248</v>
      </c>
      <c r="I53" s="773">
        <f t="shared" si="6"/>
        <v>7463.7096067916054</v>
      </c>
      <c r="J53" s="773">
        <f t="shared" si="6"/>
        <v>0</v>
      </c>
      <c r="K53" s="773">
        <f t="shared" si="6"/>
        <v>383.39463840627604</v>
      </c>
      <c r="L53" s="773">
        <f t="shared" si="6"/>
        <v>0</v>
      </c>
      <c r="M53" s="773">
        <f t="shared" ca="1" si="6"/>
        <v>0</v>
      </c>
      <c r="N53" s="773">
        <f t="shared" si="6"/>
        <v>0</v>
      </c>
      <c r="O53" s="773">
        <f t="shared" ca="1" si="6"/>
        <v>0</v>
      </c>
      <c r="P53" s="773">
        <f>P41+P46+P48</f>
        <v>0</v>
      </c>
      <c r="Q53" s="774">
        <f t="shared" si="6"/>
        <v>0</v>
      </c>
      <c r="R53" s="775">
        <f ca="1">R41+R46+R48</f>
        <v>104214.67294730009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0.15944033139506755</v>
      </c>
      <c r="D55" s="836">
        <f t="shared" ca="1" si="7"/>
        <v>0.23764705882352954</v>
      </c>
      <c r="E55" s="836">
        <f t="shared" ca="1" si="7"/>
        <v>0.20200000000000001</v>
      </c>
      <c r="F55" s="836">
        <f t="shared" si="7"/>
        <v>0.22700000000000001</v>
      </c>
      <c r="G55" s="836">
        <f t="shared" ca="1" si="7"/>
        <v>0.26700000000000002</v>
      </c>
      <c r="H55" s="836">
        <f t="shared" si="7"/>
        <v>0.26700000000000007</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10592.474311393187</v>
      </c>
      <c r="C64" s="795">
        <f>'lokale energieproductie'!B4</f>
        <v>10592.474311393187</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8044.1725765286055</v>
      </c>
      <c r="C66" s="795">
        <f>'lokale energieproductie'!B6</f>
        <v>8044.1725765286055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30350.25</v>
      </c>
      <c r="C67" s="794">
        <f>B67*IFERROR(SUM(J67:L67)/SUM(D67:M67),0)</f>
        <v>0</v>
      </c>
      <c r="D67" s="826">
        <f>'lokale energieproductie'!C7</f>
        <v>35706.176470588238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7212.6476470588241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48986.896887921794</v>
      </c>
      <c r="C69" s="803">
        <f>SUM(C64:C68)</f>
        <v>18636.646887921794</v>
      </c>
      <c r="D69" s="804">
        <f t="shared" ref="D69:M69" si="8">SUM(D67:D68)</f>
        <v>35706.176470588238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7212.6476470588241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43357.500000000007</v>
      </c>
      <c r="C78" s="817">
        <f>B78*IFERROR(SUM(I78:L78)/SUM(D78:M78),0)</f>
        <v>0</v>
      </c>
      <c r="D78" s="832">
        <f>'lokale energieproductie'!C16</f>
        <v>51008.823529411784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10303.782352941182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43357.500000000007</v>
      </c>
      <c r="C81" s="803">
        <f>SUM(C78:C80)</f>
        <v>0</v>
      </c>
      <c r="D81" s="803">
        <f t="shared" ref="D81:P81" si="9">SUM(D78:D80)</f>
        <v>51008.823529411784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10303.782352941182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33514.175325401971</v>
      </c>
      <c r="C4" s="478">
        <f>huishoudens!C8</f>
        <v>0</v>
      </c>
      <c r="D4" s="478">
        <f>huishoudens!D8</f>
        <v>82584.228864205274</v>
      </c>
      <c r="E4" s="478">
        <f>huishoudens!E8</f>
        <v>6242.8326818728056</v>
      </c>
      <c r="F4" s="478">
        <f>huishoudens!F8</f>
        <v>0</v>
      </c>
      <c r="G4" s="478">
        <f>huishoudens!G8</f>
        <v>0</v>
      </c>
      <c r="H4" s="478">
        <f>huishoudens!H8</f>
        <v>0</v>
      </c>
      <c r="I4" s="478">
        <f>huishoudens!I8</f>
        <v>0</v>
      </c>
      <c r="J4" s="478">
        <f>huishoudens!J8</f>
        <v>278.55658304358371</v>
      </c>
      <c r="K4" s="478">
        <f>huishoudens!K8</f>
        <v>0</v>
      </c>
      <c r="L4" s="478">
        <f>huishoudens!L8</f>
        <v>0</v>
      </c>
      <c r="M4" s="478">
        <f>huishoudens!M8</f>
        <v>0</v>
      </c>
      <c r="N4" s="478">
        <f>huishoudens!N8</f>
        <v>26314.106295916998</v>
      </c>
      <c r="O4" s="478">
        <f>huishoudens!O8</f>
        <v>292.34333333333331</v>
      </c>
      <c r="P4" s="479">
        <f>huishoudens!P8</f>
        <v>1563.4666666666667</v>
      </c>
      <c r="Q4" s="480">
        <f>SUM(B4:P4)</f>
        <v>150789.70975044064</v>
      </c>
    </row>
    <row r="5" spans="1:17">
      <c r="A5" s="477" t="s">
        <v>156</v>
      </c>
      <c r="B5" s="478">
        <f ca="1">tertiair!B16</f>
        <v>12051.279314628699</v>
      </c>
      <c r="C5" s="478">
        <f ca="1">tertiair!C16</f>
        <v>157.5</v>
      </c>
      <c r="D5" s="478">
        <f ca="1">tertiair!D16</f>
        <v>19561.594208734568</v>
      </c>
      <c r="E5" s="478">
        <f>tertiair!E16</f>
        <v>203.12350919277628</v>
      </c>
      <c r="F5" s="478">
        <f ca="1">tertiair!F16</f>
        <v>2081.7139731275347</v>
      </c>
      <c r="G5" s="478">
        <f>tertiair!G16</f>
        <v>0</v>
      </c>
      <c r="H5" s="478">
        <f>tertiair!H16</f>
        <v>0</v>
      </c>
      <c r="I5" s="478">
        <f>tertiair!I16</f>
        <v>0</v>
      </c>
      <c r="J5" s="478">
        <f>tertiair!J16</f>
        <v>2.0063790544256842E-2</v>
      </c>
      <c r="K5" s="478">
        <f>tertiair!K16</f>
        <v>0</v>
      </c>
      <c r="L5" s="478">
        <f ca="1">tertiair!L16</f>
        <v>0</v>
      </c>
      <c r="M5" s="478">
        <f>tertiair!M16</f>
        <v>0</v>
      </c>
      <c r="N5" s="478">
        <f ca="1">tertiair!N16</f>
        <v>803.6201040678535</v>
      </c>
      <c r="O5" s="478">
        <f>tertiair!O16</f>
        <v>1.5633333333333335</v>
      </c>
      <c r="P5" s="479">
        <f>tertiair!P16</f>
        <v>0</v>
      </c>
      <c r="Q5" s="477">
        <f t="shared" ref="Q5:Q13" ca="1" si="0">SUM(B5:P5)</f>
        <v>34860.414506875313</v>
      </c>
    </row>
    <row r="6" spans="1:17">
      <c r="A6" s="477" t="s">
        <v>194</v>
      </c>
      <c r="B6" s="478">
        <f>'openbare verlichting'!B8</f>
        <v>1115.9939999999999</v>
      </c>
      <c r="C6" s="478"/>
      <c r="D6" s="478"/>
      <c r="E6" s="478"/>
      <c r="F6" s="478"/>
      <c r="G6" s="478"/>
      <c r="H6" s="478"/>
      <c r="I6" s="478"/>
      <c r="J6" s="478"/>
      <c r="K6" s="478"/>
      <c r="L6" s="478"/>
      <c r="M6" s="478"/>
      <c r="N6" s="478"/>
      <c r="O6" s="478"/>
      <c r="P6" s="479"/>
      <c r="Q6" s="477">
        <f t="shared" si="0"/>
        <v>1115.9939999999999</v>
      </c>
    </row>
    <row r="7" spans="1:17">
      <c r="A7" s="477" t="s">
        <v>112</v>
      </c>
      <c r="B7" s="478">
        <f>landbouw!B8</f>
        <v>5507.212802500233</v>
      </c>
      <c r="C7" s="478">
        <f>landbouw!C8</f>
        <v>43200</v>
      </c>
      <c r="D7" s="478">
        <f>landbouw!D8</f>
        <v>0</v>
      </c>
      <c r="E7" s="478">
        <f>landbouw!E8</f>
        <v>161.87380523488216</v>
      </c>
      <c r="F7" s="478">
        <f>landbouw!F8</f>
        <v>22942.750941056143</v>
      </c>
      <c r="G7" s="478">
        <f>landbouw!G8</f>
        <v>0</v>
      </c>
      <c r="H7" s="478">
        <f>landbouw!H8</f>
        <v>0</v>
      </c>
      <c r="I7" s="478">
        <f>landbouw!I8</f>
        <v>0</v>
      </c>
      <c r="J7" s="478">
        <f>landbouw!J8</f>
        <v>797.87686633354099</v>
      </c>
      <c r="K7" s="478">
        <f>landbouw!K8</f>
        <v>0</v>
      </c>
      <c r="L7" s="478">
        <f>landbouw!L8</f>
        <v>0</v>
      </c>
      <c r="M7" s="478">
        <f>landbouw!M8</f>
        <v>0</v>
      </c>
      <c r="N7" s="478">
        <f>landbouw!N8</f>
        <v>0</v>
      </c>
      <c r="O7" s="478">
        <f>landbouw!O8</f>
        <v>0</v>
      </c>
      <c r="P7" s="479">
        <f>landbouw!P8</f>
        <v>0</v>
      </c>
      <c r="Q7" s="477">
        <f t="shared" si="0"/>
        <v>72609.714415124792</v>
      </c>
    </row>
    <row r="8" spans="1:17">
      <c r="A8" s="477" t="s">
        <v>635</v>
      </c>
      <c r="B8" s="478">
        <f>industrie!B18</f>
        <v>6441.2271299483727</v>
      </c>
      <c r="C8" s="478">
        <f>industrie!C18</f>
        <v>0</v>
      </c>
      <c r="D8" s="478">
        <f>industrie!D18</f>
        <v>8043.3538245362688</v>
      </c>
      <c r="E8" s="478">
        <f>industrie!E18</f>
        <v>769.52013505625416</v>
      </c>
      <c r="F8" s="478">
        <f>industrie!F18</f>
        <v>2337.7773431345945</v>
      </c>
      <c r="G8" s="478">
        <f>industrie!G18</f>
        <v>0</v>
      </c>
      <c r="H8" s="478">
        <f>industrie!H18</f>
        <v>0</v>
      </c>
      <c r="I8" s="478">
        <f>industrie!I18</f>
        <v>0</v>
      </c>
      <c r="J8" s="478">
        <f>industrie!J18</f>
        <v>6.5821885449753834</v>
      </c>
      <c r="K8" s="478">
        <f>industrie!K18</f>
        <v>0</v>
      </c>
      <c r="L8" s="478">
        <f>industrie!L18</f>
        <v>0</v>
      </c>
      <c r="M8" s="478">
        <f>industrie!M18</f>
        <v>0</v>
      </c>
      <c r="N8" s="478">
        <f>industrie!N18</f>
        <v>1310.6439244500502</v>
      </c>
      <c r="O8" s="478">
        <f>industrie!O18</f>
        <v>0</v>
      </c>
      <c r="P8" s="479">
        <f>industrie!P18</f>
        <v>0</v>
      </c>
      <c r="Q8" s="477">
        <f t="shared" si="0"/>
        <v>18909.104545670518</v>
      </c>
    </row>
    <row r="9" spans="1:17" s="483" customFormat="1">
      <c r="A9" s="481" t="s">
        <v>561</v>
      </c>
      <c r="B9" s="482">
        <f>transport!B14</f>
        <v>68.552258346853279</v>
      </c>
      <c r="C9" s="482"/>
      <c r="D9" s="482">
        <f>transport!D14</f>
        <v>262.18438795401727</v>
      </c>
      <c r="E9" s="482">
        <f>transport!E14</f>
        <v>382.63084279845248</v>
      </c>
      <c r="F9" s="482"/>
      <c r="G9" s="482">
        <f>transport!G14</f>
        <v>167936.62778008656</v>
      </c>
      <c r="H9" s="482">
        <f>transport!H14</f>
        <v>29974.737376673114</v>
      </c>
      <c r="I9" s="482"/>
      <c r="J9" s="482"/>
      <c r="K9" s="482"/>
      <c r="L9" s="482"/>
      <c r="M9" s="482">
        <f>transport!M14</f>
        <v>10701.496826593293</v>
      </c>
      <c r="N9" s="482"/>
      <c r="O9" s="482"/>
      <c r="P9" s="482"/>
      <c r="Q9" s="481">
        <f>SUM(B9:P9)</f>
        <v>209326.22947245231</v>
      </c>
    </row>
    <row r="10" spans="1:17">
      <c r="A10" s="477" t="s">
        <v>551</v>
      </c>
      <c r="B10" s="478">
        <f>transport!B54</f>
        <v>0</v>
      </c>
      <c r="C10" s="478"/>
      <c r="D10" s="478">
        <f>transport!D54</f>
        <v>0</v>
      </c>
      <c r="E10" s="478"/>
      <c r="F10" s="478"/>
      <c r="G10" s="478">
        <f>transport!G54</f>
        <v>1825.4626589630309</v>
      </c>
      <c r="H10" s="478"/>
      <c r="I10" s="478"/>
      <c r="J10" s="478"/>
      <c r="K10" s="478"/>
      <c r="L10" s="478"/>
      <c r="M10" s="478">
        <f>transport!M54</f>
        <v>103.67822038475498</v>
      </c>
      <c r="N10" s="478"/>
      <c r="O10" s="478"/>
      <c r="P10" s="479"/>
      <c r="Q10" s="477">
        <f t="shared" si="0"/>
        <v>1929.1408793477858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58698.440830826134</v>
      </c>
      <c r="C14" s="488">
        <f t="shared" ref="C14:Q14" ca="1" si="1">SUM(C4:C13)</f>
        <v>43357.5</v>
      </c>
      <c r="D14" s="488">
        <f t="shared" ca="1" si="1"/>
        <v>110451.36128543013</v>
      </c>
      <c r="E14" s="488">
        <f t="shared" si="1"/>
        <v>7759.9809741551699</v>
      </c>
      <c r="F14" s="488">
        <f t="shared" ca="1" si="1"/>
        <v>27362.242257318274</v>
      </c>
      <c r="G14" s="488">
        <f t="shared" si="1"/>
        <v>169762.09043904959</v>
      </c>
      <c r="H14" s="488">
        <f t="shared" si="1"/>
        <v>29974.737376673114</v>
      </c>
      <c r="I14" s="488">
        <f t="shared" si="1"/>
        <v>0</v>
      </c>
      <c r="J14" s="488">
        <f t="shared" si="1"/>
        <v>1083.0357017126444</v>
      </c>
      <c r="K14" s="488">
        <f t="shared" si="1"/>
        <v>0</v>
      </c>
      <c r="L14" s="488">
        <f t="shared" ca="1" si="1"/>
        <v>0</v>
      </c>
      <c r="M14" s="488">
        <f t="shared" si="1"/>
        <v>10805.175046978047</v>
      </c>
      <c r="N14" s="488">
        <f t="shared" ca="1" si="1"/>
        <v>28428.370324434902</v>
      </c>
      <c r="O14" s="488">
        <f t="shared" si="1"/>
        <v>293.90666666666664</v>
      </c>
      <c r="P14" s="489">
        <f t="shared" si="1"/>
        <v>1563.4666666666667</v>
      </c>
      <c r="Q14" s="489">
        <f t="shared" ca="1" si="1"/>
        <v>489540.30756991135</v>
      </c>
    </row>
    <row r="16" spans="1:17">
      <c r="A16" s="491" t="s">
        <v>556</v>
      </c>
      <c r="B16" s="841">
        <f ca="1">huishoudens!B10</f>
        <v>0.15944033139506755</v>
      </c>
      <c r="C16" s="841">
        <f ca="1">huishoudens!C10</f>
        <v>0.23764705882352954</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5343.5112203144863</v>
      </c>
      <c r="C21" s="478">
        <f t="shared" ref="C21:C28" ca="1" si="3">C4*$C$16</f>
        <v>0</v>
      </c>
      <c r="D21" s="478">
        <f t="shared" ref="D21:D30" si="4">D4*$D$16</f>
        <v>16682.014230569468</v>
      </c>
      <c r="E21" s="478">
        <f t="shared" ref="E21:E30" si="5">E4*$E$16</f>
        <v>1417.123018785127</v>
      </c>
      <c r="F21" s="478">
        <f t="shared" ref="F21:F28" si="6">F4*$F$16</f>
        <v>0</v>
      </c>
      <c r="G21" s="478">
        <f t="shared" ref="G21:G30" si="7">G4*$G$16</f>
        <v>0</v>
      </c>
      <c r="H21" s="478">
        <f t="shared" ref="H21:H30" si="8">H4*$H$16</f>
        <v>0</v>
      </c>
      <c r="I21" s="478">
        <f t="shared" ref="I21:I28" si="9">I4*$I$16</f>
        <v>0</v>
      </c>
      <c r="J21" s="478">
        <f t="shared" ref="J21:J28" si="10">J4*$J$16</f>
        <v>98.609030397428626</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23541.257500066509</v>
      </c>
    </row>
    <row r="22" spans="1:17">
      <c r="A22" s="477" t="s">
        <v>156</v>
      </c>
      <c r="B22" s="478">
        <f t="shared" ca="1" si="2"/>
        <v>1921.4599676589223</v>
      </c>
      <c r="C22" s="478">
        <f t="shared" ca="1" si="3"/>
        <v>37.429411764705904</v>
      </c>
      <c r="D22" s="478">
        <f t="shared" ca="1" si="4"/>
        <v>3951.4420301643831</v>
      </c>
      <c r="E22" s="478">
        <f t="shared" si="5"/>
        <v>46.109036586760219</v>
      </c>
      <c r="F22" s="478">
        <f t="shared" ca="1" si="6"/>
        <v>555.81763082505176</v>
      </c>
      <c r="G22" s="478">
        <f t="shared" si="7"/>
        <v>0</v>
      </c>
      <c r="H22" s="478">
        <f t="shared" si="8"/>
        <v>0</v>
      </c>
      <c r="I22" s="478">
        <f t="shared" si="9"/>
        <v>0</v>
      </c>
      <c r="J22" s="478">
        <f t="shared" si="10"/>
        <v>7.1025818526669216E-3</v>
      </c>
      <c r="K22" s="478">
        <f t="shared" si="11"/>
        <v>0</v>
      </c>
      <c r="L22" s="478">
        <f t="shared" ca="1" si="12"/>
        <v>0</v>
      </c>
      <c r="M22" s="478">
        <f t="shared" si="13"/>
        <v>0</v>
      </c>
      <c r="N22" s="478">
        <f t="shared" ca="1" si="14"/>
        <v>0</v>
      </c>
      <c r="O22" s="478">
        <f t="shared" si="15"/>
        <v>0</v>
      </c>
      <c r="P22" s="479">
        <f t="shared" si="16"/>
        <v>0</v>
      </c>
      <c r="Q22" s="477">
        <f t="shared" ref="Q22:Q30" ca="1" si="17">SUM(B22:P22)</f>
        <v>6512.2651795816764</v>
      </c>
    </row>
    <row r="23" spans="1:17">
      <c r="A23" s="477" t="s">
        <v>194</v>
      </c>
      <c r="B23" s="478">
        <f t="shared" ca="1" si="2"/>
        <v>177.93445319490701</v>
      </c>
      <c r="C23" s="478"/>
      <c r="D23" s="478"/>
      <c r="E23" s="478"/>
      <c r="F23" s="478"/>
      <c r="G23" s="478"/>
      <c r="H23" s="478"/>
      <c r="I23" s="478"/>
      <c r="J23" s="478"/>
      <c r="K23" s="478"/>
      <c r="L23" s="478"/>
      <c r="M23" s="478"/>
      <c r="N23" s="478"/>
      <c r="O23" s="478"/>
      <c r="P23" s="479"/>
      <c r="Q23" s="477">
        <f t="shared" ca="1" si="17"/>
        <v>177.93445319490701</v>
      </c>
    </row>
    <row r="24" spans="1:17">
      <c r="A24" s="477" t="s">
        <v>112</v>
      </c>
      <c r="B24" s="478">
        <f t="shared" ca="1" si="2"/>
        <v>878.07183429379586</v>
      </c>
      <c r="C24" s="478">
        <f t="shared" ca="1" si="3"/>
        <v>10266.352941176476</v>
      </c>
      <c r="D24" s="478">
        <f t="shared" si="4"/>
        <v>0</v>
      </c>
      <c r="E24" s="478">
        <f t="shared" si="5"/>
        <v>36.745353788318248</v>
      </c>
      <c r="F24" s="478">
        <f t="shared" si="6"/>
        <v>6125.7145012619903</v>
      </c>
      <c r="G24" s="478">
        <f t="shared" si="7"/>
        <v>0</v>
      </c>
      <c r="H24" s="478">
        <f t="shared" si="8"/>
        <v>0</v>
      </c>
      <c r="I24" s="478">
        <f t="shared" si="9"/>
        <v>0</v>
      </c>
      <c r="J24" s="478">
        <f t="shared" si="10"/>
        <v>282.44841068207347</v>
      </c>
      <c r="K24" s="478">
        <f t="shared" si="11"/>
        <v>0</v>
      </c>
      <c r="L24" s="478">
        <f t="shared" si="12"/>
        <v>0</v>
      </c>
      <c r="M24" s="478">
        <f t="shared" si="13"/>
        <v>0</v>
      </c>
      <c r="N24" s="478">
        <f t="shared" si="14"/>
        <v>0</v>
      </c>
      <c r="O24" s="478">
        <f t="shared" si="15"/>
        <v>0</v>
      </c>
      <c r="P24" s="479">
        <f t="shared" si="16"/>
        <v>0</v>
      </c>
      <c r="Q24" s="477">
        <f t="shared" ca="1" si="17"/>
        <v>17589.333041202655</v>
      </c>
    </row>
    <row r="25" spans="1:17">
      <c r="A25" s="477" t="s">
        <v>635</v>
      </c>
      <c r="B25" s="478">
        <f t="shared" ca="1" si="2"/>
        <v>1026.9913881898683</v>
      </c>
      <c r="C25" s="478">
        <f t="shared" ca="1" si="3"/>
        <v>0</v>
      </c>
      <c r="D25" s="478">
        <f t="shared" si="4"/>
        <v>1624.7574725563263</v>
      </c>
      <c r="E25" s="478">
        <f t="shared" si="5"/>
        <v>174.68107065776971</v>
      </c>
      <c r="F25" s="478">
        <f t="shared" si="6"/>
        <v>624.18655061693676</v>
      </c>
      <c r="G25" s="478">
        <f t="shared" si="7"/>
        <v>0</v>
      </c>
      <c r="H25" s="478">
        <f t="shared" si="8"/>
        <v>0</v>
      </c>
      <c r="I25" s="478">
        <f t="shared" si="9"/>
        <v>0</v>
      </c>
      <c r="J25" s="478">
        <f t="shared" si="10"/>
        <v>2.3300947449212854</v>
      </c>
      <c r="K25" s="478">
        <f t="shared" si="11"/>
        <v>0</v>
      </c>
      <c r="L25" s="478">
        <f t="shared" si="12"/>
        <v>0</v>
      </c>
      <c r="M25" s="478">
        <f t="shared" si="13"/>
        <v>0</v>
      </c>
      <c r="N25" s="478">
        <f t="shared" si="14"/>
        <v>0</v>
      </c>
      <c r="O25" s="478">
        <f t="shared" si="15"/>
        <v>0</v>
      </c>
      <c r="P25" s="479">
        <f t="shared" si="16"/>
        <v>0</v>
      </c>
      <c r="Q25" s="477">
        <f t="shared" ca="1" si="17"/>
        <v>3452.9465767658226</v>
      </c>
    </row>
    <row r="26" spans="1:17" s="483" customFormat="1">
      <c r="A26" s="481" t="s">
        <v>561</v>
      </c>
      <c r="B26" s="835">
        <f t="shared" ca="1" si="2"/>
        <v>10.929994788702572</v>
      </c>
      <c r="C26" s="482"/>
      <c r="D26" s="482">
        <f t="shared" si="4"/>
        <v>52.961246366711492</v>
      </c>
      <c r="E26" s="482">
        <f t="shared" si="5"/>
        <v>86.857201315248716</v>
      </c>
      <c r="F26" s="482"/>
      <c r="G26" s="482">
        <f t="shared" si="7"/>
        <v>44839.079617283118</v>
      </c>
      <c r="H26" s="482">
        <f t="shared" si="8"/>
        <v>7463.7096067916054</v>
      </c>
      <c r="I26" s="482"/>
      <c r="J26" s="482"/>
      <c r="K26" s="482"/>
      <c r="L26" s="482"/>
      <c r="M26" s="482">
        <f t="shared" si="13"/>
        <v>0</v>
      </c>
      <c r="N26" s="482"/>
      <c r="O26" s="482"/>
      <c r="P26" s="493"/>
      <c r="Q26" s="481">
        <f t="shared" ca="1" si="17"/>
        <v>52453.537666545388</v>
      </c>
    </row>
    <row r="27" spans="1:17">
      <c r="A27" s="477" t="s">
        <v>551</v>
      </c>
      <c r="B27" s="478">
        <f t="shared" ca="1" si="2"/>
        <v>0</v>
      </c>
      <c r="C27" s="478"/>
      <c r="D27" s="482">
        <f t="shared" si="4"/>
        <v>0</v>
      </c>
      <c r="E27" s="478"/>
      <c r="F27" s="478"/>
      <c r="G27" s="478">
        <f t="shared" si="7"/>
        <v>487.39852994312929</v>
      </c>
      <c r="H27" s="478"/>
      <c r="I27" s="478"/>
      <c r="J27" s="478"/>
      <c r="K27" s="478"/>
      <c r="L27" s="478"/>
      <c r="M27" s="478">
        <f t="shared" si="13"/>
        <v>0</v>
      </c>
      <c r="N27" s="478"/>
      <c r="O27" s="478"/>
      <c r="P27" s="479"/>
      <c r="Q27" s="477">
        <f t="shared" ca="1" si="17"/>
        <v>487.39852994312929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9358.8988584406834</v>
      </c>
      <c r="C31" s="488">
        <f t="shared" ca="1" si="18"/>
        <v>10303.782352941182</v>
      </c>
      <c r="D31" s="488">
        <f t="shared" ca="1" si="18"/>
        <v>22311.174979656887</v>
      </c>
      <c r="E31" s="488">
        <f t="shared" si="18"/>
        <v>1761.5156811332236</v>
      </c>
      <c r="F31" s="488">
        <f t="shared" ca="1" si="18"/>
        <v>7305.7186827039795</v>
      </c>
      <c r="G31" s="488">
        <f t="shared" si="18"/>
        <v>45326.478147226248</v>
      </c>
      <c r="H31" s="488">
        <f t="shared" si="18"/>
        <v>7463.7096067916054</v>
      </c>
      <c r="I31" s="488">
        <f t="shared" si="18"/>
        <v>0</v>
      </c>
      <c r="J31" s="488">
        <f t="shared" si="18"/>
        <v>383.39463840627604</v>
      </c>
      <c r="K31" s="488">
        <f t="shared" si="18"/>
        <v>0</v>
      </c>
      <c r="L31" s="488">
        <f t="shared" ca="1" si="18"/>
        <v>0</v>
      </c>
      <c r="M31" s="488">
        <f t="shared" si="18"/>
        <v>0</v>
      </c>
      <c r="N31" s="488">
        <f t="shared" ca="1" si="18"/>
        <v>0</v>
      </c>
      <c r="O31" s="488">
        <f t="shared" si="18"/>
        <v>0</v>
      </c>
      <c r="P31" s="489">
        <f t="shared" si="18"/>
        <v>0</v>
      </c>
      <c r="Q31" s="489">
        <f t="shared" ca="1" si="18"/>
        <v>104214.67294730009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0.15944033139506755</v>
      </c>
      <c r="C17" s="528">
        <f ca="1">'EF ele_warmte'!B22</f>
        <v>0.23764705882352954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0.15944033139506755</v>
      </c>
      <c r="C17" s="528">
        <f ca="1">'EF ele_warmte'!B22</f>
        <v>0.23764705882352954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0.15944033139506755</v>
      </c>
      <c r="C29" s="529">
        <f ca="1">'EF ele_warmte'!B22</f>
        <v>0.23764705882352954</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7649</v>
      </c>
      <c r="C9" s="342">
        <v>8336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3627.14</v>
      </c>
    </row>
    <row r="15" spans="1:6">
      <c r="A15" s="348" t="s">
        <v>184</v>
      </c>
      <c r="B15" s="334">
        <v>24</v>
      </c>
    </row>
    <row r="16" spans="1:6">
      <c r="A16" s="348" t="s">
        <v>6</v>
      </c>
      <c r="B16" s="334">
        <v>810</v>
      </c>
    </row>
    <row r="17" spans="1:6">
      <c r="A17" s="348" t="s">
        <v>7</v>
      </c>
      <c r="B17" s="334">
        <v>869</v>
      </c>
    </row>
    <row r="18" spans="1:6">
      <c r="A18" s="348" t="s">
        <v>8</v>
      </c>
      <c r="B18" s="334">
        <v>1354</v>
      </c>
    </row>
    <row r="19" spans="1:6">
      <c r="A19" s="348" t="s">
        <v>9</v>
      </c>
      <c r="B19" s="334">
        <v>1230</v>
      </c>
    </row>
    <row r="20" spans="1:6">
      <c r="A20" s="348" t="s">
        <v>10</v>
      </c>
      <c r="B20" s="334">
        <v>764</v>
      </c>
    </row>
    <row r="21" spans="1:6">
      <c r="A21" s="348" t="s">
        <v>11</v>
      </c>
      <c r="B21" s="334">
        <v>5213</v>
      </c>
    </row>
    <row r="22" spans="1:6">
      <c r="A22" s="348" t="s">
        <v>12</v>
      </c>
      <c r="B22" s="334">
        <v>26066</v>
      </c>
    </row>
    <row r="23" spans="1:6">
      <c r="A23" s="348" t="s">
        <v>13</v>
      </c>
      <c r="B23" s="334">
        <v>268</v>
      </c>
    </row>
    <row r="24" spans="1:6">
      <c r="A24" s="348" t="s">
        <v>14</v>
      </c>
      <c r="B24" s="334">
        <v>126</v>
      </c>
    </row>
    <row r="25" spans="1:6">
      <c r="A25" s="348" t="s">
        <v>15</v>
      </c>
      <c r="B25" s="334">
        <v>1204</v>
      </c>
    </row>
    <row r="26" spans="1:6">
      <c r="A26" s="348" t="s">
        <v>16</v>
      </c>
      <c r="B26" s="334">
        <v>223</v>
      </c>
    </row>
    <row r="27" spans="1:6">
      <c r="A27" s="348" t="s">
        <v>17</v>
      </c>
      <c r="B27" s="334">
        <v>4325</v>
      </c>
    </row>
    <row r="28" spans="1:6" s="356" customFormat="1">
      <c r="A28" s="355" t="s">
        <v>18</v>
      </c>
      <c r="B28" s="355">
        <v>395839</v>
      </c>
    </row>
    <row r="29" spans="1:6">
      <c r="A29" s="355" t="s">
        <v>744</v>
      </c>
      <c r="B29" s="355">
        <v>268</v>
      </c>
      <c r="C29" s="356"/>
      <c r="D29" s="356"/>
      <c r="E29" s="356"/>
      <c r="F29" s="356"/>
    </row>
    <row r="30" spans="1:6">
      <c r="A30" s="341" t="s">
        <v>745</v>
      </c>
      <c r="B30" s="341">
        <v>97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320817.03896195203</v>
      </c>
      <c r="E38" s="334">
        <v>6</v>
      </c>
      <c r="F38" s="334">
        <v>212520.96129329101</v>
      </c>
    </row>
    <row r="39" spans="1:6">
      <c r="A39" s="348" t="s">
        <v>30</v>
      </c>
      <c r="B39" s="348" t="s">
        <v>31</v>
      </c>
      <c r="C39" s="334">
        <v>5608</v>
      </c>
      <c r="D39" s="334">
        <v>91520625.948401496</v>
      </c>
      <c r="E39" s="334">
        <v>7491</v>
      </c>
      <c r="F39" s="334">
        <v>28038624.646748748</v>
      </c>
    </row>
    <row r="40" spans="1:6">
      <c r="A40" s="348" t="s">
        <v>30</v>
      </c>
      <c r="B40" s="348" t="s">
        <v>29</v>
      </c>
      <c r="C40" s="334">
        <v>1</v>
      </c>
      <c r="D40" s="334">
        <v>36168.801271746401</v>
      </c>
      <c r="E40" s="334">
        <v>0</v>
      </c>
      <c r="F40" s="334">
        <v>0</v>
      </c>
    </row>
    <row r="41" spans="1:6">
      <c r="A41" s="348" t="s">
        <v>32</v>
      </c>
      <c r="B41" s="348" t="s">
        <v>33</v>
      </c>
      <c r="C41" s="334">
        <v>85</v>
      </c>
      <c r="D41" s="334">
        <v>1876333.8422850301</v>
      </c>
      <c r="E41" s="334">
        <v>160</v>
      </c>
      <c r="F41" s="334">
        <v>2263346.8082123101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102358.059711936</v>
      </c>
      <c r="E44" s="334">
        <v>22</v>
      </c>
      <c r="F44" s="334">
        <v>202084.765497443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4986053.3373248996</v>
      </c>
      <c r="E48" s="334">
        <v>35</v>
      </c>
      <c r="F48" s="334">
        <v>1838609.9182394401</v>
      </c>
    </row>
    <row r="49" spans="1:6">
      <c r="A49" s="348" t="s">
        <v>32</v>
      </c>
      <c r="B49" s="348" t="s">
        <v>40</v>
      </c>
      <c r="C49" s="334">
        <v>0</v>
      </c>
      <c r="D49" s="334">
        <v>0</v>
      </c>
      <c r="E49" s="334">
        <v>0</v>
      </c>
      <c r="F49" s="334">
        <v>0</v>
      </c>
    </row>
    <row r="50" spans="1:6">
      <c r="A50" s="348" t="s">
        <v>32</v>
      </c>
      <c r="B50" s="348" t="s">
        <v>41</v>
      </c>
      <c r="C50" s="334">
        <v>10</v>
      </c>
      <c r="D50" s="334">
        <v>1952498.4685897401</v>
      </c>
      <c r="E50" s="334">
        <v>17</v>
      </c>
      <c r="F50" s="334">
        <v>2137185.6379991798</v>
      </c>
    </row>
    <row r="51" spans="1:6">
      <c r="A51" s="348" t="s">
        <v>42</v>
      </c>
      <c r="B51" s="348" t="s">
        <v>43</v>
      </c>
      <c r="C51" s="334">
        <v>30</v>
      </c>
      <c r="D51" s="334">
        <v>21186846.236555099</v>
      </c>
      <c r="E51" s="334">
        <v>155</v>
      </c>
      <c r="F51" s="334">
        <v>5409357.63896746</v>
      </c>
    </row>
    <row r="52" spans="1:6">
      <c r="A52" s="348" t="s">
        <v>42</v>
      </c>
      <c r="B52" s="348" t="s">
        <v>29</v>
      </c>
      <c r="C52" s="334">
        <v>9</v>
      </c>
      <c r="D52" s="334">
        <v>237647.799742267</v>
      </c>
      <c r="E52" s="334">
        <v>9</v>
      </c>
      <c r="F52" s="334">
        <v>97855.163532772902</v>
      </c>
    </row>
    <row r="53" spans="1:6">
      <c r="A53" s="348" t="s">
        <v>44</v>
      </c>
      <c r="B53" s="348" t="s">
        <v>45</v>
      </c>
      <c r="C53" s="334">
        <v>120</v>
      </c>
      <c r="D53" s="334">
        <v>1972351.5711584201</v>
      </c>
      <c r="E53" s="334">
        <v>297</v>
      </c>
      <c r="F53" s="334">
        <v>1661660.25401278</v>
      </c>
    </row>
    <row r="54" spans="1:6">
      <c r="A54" s="348" t="s">
        <v>46</v>
      </c>
      <c r="B54" s="348" t="s">
        <v>47</v>
      </c>
      <c r="C54" s="334">
        <v>0</v>
      </c>
      <c r="D54" s="334">
        <v>0</v>
      </c>
      <c r="E54" s="334">
        <v>1</v>
      </c>
      <c r="F54" s="334">
        <v>1115994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63</v>
      </c>
      <c r="D57" s="334">
        <v>5349543.7327161198</v>
      </c>
      <c r="E57" s="334">
        <v>53</v>
      </c>
      <c r="F57" s="334">
        <v>736244.68438230501</v>
      </c>
    </row>
    <row r="58" spans="1:6">
      <c r="A58" s="348" t="s">
        <v>49</v>
      </c>
      <c r="B58" s="348" t="s">
        <v>51</v>
      </c>
      <c r="C58" s="334">
        <v>30</v>
      </c>
      <c r="D58" s="334">
        <v>533989.97330269299</v>
      </c>
      <c r="E58" s="334">
        <v>50</v>
      </c>
      <c r="F58" s="334">
        <v>308113.036661455</v>
      </c>
    </row>
    <row r="59" spans="1:6">
      <c r="A59" s="348" t="s">
        <v>49</v>
      </c>
      <c r="B59" s="348" t="s">
        <v>52</v>
      </c>
      <c r="C59" s="334">
        <v>99</v>
      </c>
      <c r="D59" s="334">
        <v>3683059.9017258901</v>
      </c>
      <c r="E59" s="334">
        <v>177</v>
      </c>
      <c r="F59" s="334">
        <v>4455075.5171397198</v>
      </c>
    </row>
    <row r="60" spans="1:6">
      <c r="A60" s="348" t="s">
        <v>49</v>
      </c>
      <c r="B60" s="348" t="s">
        <v>53</v>
      </c>
      <c r="C60" s="334">
        <v>49</v>
      </c>
      <c r="D60" s="334">
        <v>1878058.5289895399</v>
      </c>
      <c r="E60" s="334">
        <v>62</v>
      </c>
      <c r="F60" s="334">
        <v>1130975.08872966</v>
      </c>
    </row>
    <row r="61" spans="1:6">
      <c r="A61" s="348" t="s">
        <v>49</v>
      </c>
      <c r="B61" s="348" t="s">
        <v>54</v>
      </c>
      <c r="C61" s="334">
        <v>143</v>
      </c>
      <c r="D61" s="334">
        <v>5865732.7487638602</v>
      </c>
      <c r="E61" s="334">
        <v>254</v>
      </c>
      <c r="F61" s="334">
        <v>3393425.74916289</v>
      </c>
    </row>
    <row r="62" spans="1:6">
      <c r="A62" s="348" t="s">
        <v>49</v>
      </c>
      <c r="B62" s="348" t="s">
        <v>55</v>
      </c>
      <c r="C62" s="334">
        <v>9</v>
      </c>
      <c r="D62" s="334">
        <v>496085.92632698599</v>
      </c>
      <c r="E62" s="334">
        <v>16</v>
      </c>
      <c r="F62" s="334">
        <v>231148.61627493901</v>
      </c>
    </row>
    <row r="63" spans="1:6">
      <c r="A63" s="348" t="s">
        <v>49</v>
      </c>
      <c r="B63" s="348" t="s">
        <v>29</v>
      </c>
      <c r="C63" s="334">
        <v>87</v>
      </c>
      <c r="D63" s="334">
        <v>4229664.6745768702</v>
      </c>
      <c r="E63" s="334">
        <v>90</v>
      </c>
      <c r="F63" s="334">
        <v>1686046.6222777299</v>
      </c>
    </row>
    <row r="64" spans="1:6">
      <c r="A64" s="348" t="s">
        <v>56</v>
      </c>
      <c r="B64" s="348" t="s">
        <v>57</v>
      </c>
      <c r="C64" s="334">
        <v>0</v>
      </c>
      <c r="D64" s="334">
        <v>0</v>
      </c>
      <c r="E64" s="334">
        <v>0</v>
      </c>
      <c r="F64" s="334">
        <v>0</v>
      </c>
    </row>
    <row r="65" spans="1:6">
      <c r="A65" s="348" t="s">
        <v>56</v>
      </c>
      <c r="B65" s="348" t="s">
        <v>29</v>
      </c>
      <c r="C65" s="334">
        <v>1</v>
      </c>
      <c r="D65" s="334">
        <v>15300.0044920612</v>
      </c>
      <c r="E65" s="334">
        <v>3</v>
      </c>
      <c r="F65" s="334">
        <v>11345.666994950199</v>
      </c>
    </row>
    <row r="66" spans="1:6">
      <c r="A66" s="348" t="s">
        <v>56</v>
      </c>
      <c r="B66" s="348" t="s">
        <v>58</v>
      </c>
      <c r="C66" s="334">
        <v>0</v>
      </c>
      <c r="D66" s="334">
        <v>0</v>
      </c>
      <c r="E66" s="334">
        <v>4</v>
      </c>
      <c r="F66" s="334">
        <v>90980.857483031607</v>
      </c>
    </row>
    <row r="67" spans="1:6">
      <c r="A67" s="355" t="s">
        <v>56</v>
      </c>
      <c r="B67" s="355" t="s">
        <v>59</v>
      </c>
      <c r="C67" s="334">
        <v>0</v>
      </c>
      <c r="D67" s="334">
        <v>0</v>
      </c>
      <c r="E67" s="334">
        <v>0</v>
      </c>
      <c r="F67" s="334">
        <v>0</v>
      </c>
    </row>
    <row r="68" spans="1:6">
      <c r="A68" s="341" t="s">
        <v>56</v>
      </c>
      <c r="B68" s="341" t="s">
        <v>60</v>
      </c>
      <c r="C68" s="334">
        <v>9</v>
      </c>
      <c r="D68" s="334">
        <v>245028.452651926</v>
      </c>
      <c r="E68" s="334">
        <v>22</v>
      </c>
      <c r="F68" s="334">
        <v>190039.44046995099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29881128</v>
      </c>
      <c r="E73" s="476">
        <v>28839477.694350749</v>
      </c>
    </row>
    <row r="74" spans="1:6">
      <c r="A74" s="348" t="s">
        <v>64</v>
      </c>
      <c r="B74" s="348" t="s">
        <v>657</v>
      </c>
      <c r="C74" s="1272" t="s">
        <v>659</v>
      </c>
      <c r="D74" s="476">
        <v>4113774.3761303695</v>
      </c>
      <c r="E74" s="476">
        <v>3876585.7764337813</v>
      </c>
    </row>
    <row r="75" spans="1:6">
      <c r="A75" s="348" t="s">
        <v>65</v>
      </c>
      <c r="B75" s="348" t="s">
        <v>656</v>
      </c>
      <c r="C75" s="1272" t="s">
        <v>660</v>
      </c>
      <c r="D75" s="476">
        <v>56411435</v>
      </c>
      <c r="E75" s="476">
        <v>49406784.109727189</v>
      </c>
    </row>
    <row r="76" spans="1:6">
      <c r="A76" s="348" t="s">
        <v>65</v>
      </c>
      <c r="B76" s="348" t="s">
        <v>657</v>
      </c>
      <c r="C76" s="1272" t="s">
        <v>661</v>
      </c>
      <c r="D76" s="476">
        <v>3318966.3761303695</v>
      </c>
      <c r="E76" s="476">
        <v>2950371.0362824891</v>
      </c>
    </row>
    <row r="77" spans="1:6">
      <c r="A77" s="348" t="s">
        <v>66</v>
      </c>
      <c r="B77" s="348" t="s">
        <v>656</v>
      </c>
      <c r="C77" s="1272" t="s">
        <v>662</v>
      </c>
      <c r="D77" s="476">
        <v>87961837</v>
      </c>
      <c r="E77" s="476">
        <v>94596188.484877437</v>
      </c>
    </row>
    <row r="78" spans="1:6">
      <c r="A78" s="341" t="s">
        <v>66</v>
      </c>
      <c r="B78" s="341" t="s">
        <v>657</v>
      </c>
      <c r="C78" s="341" t="s">
        <v>663</v>
      </c>
      <c r="D78" s="1273">
        <v>22142360</v>
      </c>
      <c r="E78" s="1273">
        <v>22754244.362929415</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523215.24773926096</v>
      </c>
      <c r="C83" s="476">
        <v>521206.22457315883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10592.474311393187</v>
      </c>
    </row>
    <row r="91" spans="1:6">
      <c r="A91" s="348" t="s">
        <v>68</v>
      </c>
      <c r="B91" s="334">
        <v>5475.5506786532214</v>
      </c>
    </row>
    <row r="92" spans="1:6">
      <c r="A92" s="341" t="s">
        <v>69</v>
      </c>
      <c r="B92" s="342">
        <v>2568.6218978753841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3398</v>
      </c>
    </row>
    <row r="98" spans="1:6">
      <c r="A98" s="348" t="s">
        <v>72</v>
      </c>
      <c r="B98" s="334">
        <v>2</v>
      </c>
    </row>
    <row r="99" spans="1:6">
      <c r="A99" s="348" t="s">
        <v>73</v>
      </c>
      <c r="B99" s="334">
        <v>114</v>
      </c>
    </row>
    <row r="100" spans="1:6">
      <c r="A100" s="348" t="s">
        <v>74</v>
      </c>
      <c r="B100" s="334">
        <v>499</v>
      </c>
    </row>
    <row r="101" spans="1:6">
      <c r="A101" s="348" t="s">
        <v>75</v>
      </c>
      <c r="B101" s="334">
        <v>141</v>
      </c>
    </row>
    <row r="102" spans="1:6">
      <c r="A102" s="348" t="s">
        <v>76</v>
      </c>
      <c r="B102" s="334">
        <v>152</v>
      </c>
    </row>
    <row r="103" spans="1:6">
      <c r="A103" s="348" t="s">
        <v>77</v>
      </c>
      <c r="B103" s="334">
        <v>229</v>
      </c>
    </row>
    <row r="104" spans="1:6">
      <c r="A104" s="348" t="s">
        <v>78</v>
      </c>
      <c r="B104" s="334">
        <v>1855</v>
      </c>
    </row>
    <row r="105" spans="1:6">
      <c r="A105" s="341" t="s">
        <v>79</v>
      </c>
      <c r="B105" s="341">
        <v>18</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57</v>
      </c>
      <c r="C123" s="334">
        <v>49</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138</v>
      </c>
    </row>
    <row r="130" spans="1:6">
      <c r="A130" s="348" t="s">
        <v>295</v>
      </c>
      <c r="B130" s="334">
        <v>1</v>
      </c>
    </row>
    <row r="131" spans="1:6">
      <c r="A131" s="348" t="s">
        <v>296</v>
      </c>
      <c r="B131" s="334">
        <v>0</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58698.440830826134</v>
      </c>
      <c r="C3" s="43" t="s">
        <v>170</v>
      </c>
      <c r="D3" s="43"/>
      <c r="E3" s="154"/>
      <c r="F3" s="43"/>
      <c r="G3" s="43"/>
      <c r="H3" s="43"/>
      <c r="I3" s="43"/>
      <c r="J3" s="43"/>
      <c r="K3" s="96"/>
    </row>
    <row r="4" spans="1:11">
      <c r="A4" s="383" t="s">
        <v>171</v>
      </c>
      <c r="B4" s="49">
        <f>IF(ISERROR('SEAP template'!B69),0,'SEAP template'!B69)</f>
        <v>48986.896887921794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7212.6476470588241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0.15944033139506755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10303.782352941182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43357.5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0.23764705882352954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1115.9939999999999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1115.9939999999999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0.15944033139506755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177.93445319490701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28038.624646748747</v>
      </c>
      <c r="C5" s="17">
        <f>IF(ISERROR('Eigen informatie GS &amp; warmtenet'!B57),0,'Eigen informatie GS &amp; warmtenet'!B57)</f>
        <v>0</v>
      </c>
      <c r="D5" s="30">
        <f>(SUM(HH_hh_gas_kWh,HH_rest_gas_kWh)/1000)*0.902</f>
        <v>82584.228864205274</v>
      </c>
      <c r="E5" s="17">
        <f>B46*B57</f>
        <v>6242.8326818728056</v>
      </c>
      <c r="F5" s="17">
        <f>B51*B62</f>
        <v>0</v>
      </c>
      <c r="G5" s="18"/>
      <c r="H5" s="17"/>
      <c r="I5" s="17"/>
      <c r="J5" s="17">
        <f>B50*B61+C50*C61</f>
        <v>278.55658304358371</v>
      </c>
      <c r="K5" s="17"/>
      <c r="L5" s="17"/>
      <c r="M5" s="17"/>
      <c r="N5" s="17">
        <f>B48*B59+C48*C59</f>
        <v>26314.106295916998</v>
      </c>
      <c r="O5" s="17">
        <f>B69*B70*B71</f>
        <v>292.34333333333331</v>
      </c>
      <c r="P5" s="17">
        <f>B77*B78*B79/1000-B77*B78*B79/1000/B80</f>
        <v>1563.4666666666667</v>
      </c>
    </row>
    <row r="6" spans="1:16">
      <c r="A6" s="16" t="s">
        <v>621</v>
      </c>
      <c r="B6" s="843">
        <f>kWh_PV_kleiner_dan_10kW</f>
        <v>5475.5506786532214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33514.175325401971</v>
      </c>
      <c r="C8" s="21">
        <f>C5</f>
        <v>0</v>
      </c>
      <c r="D8" s="21">
        <f>D5</f>
        <v>82584.228864205274</v>
      </c>
      <c r="E8" s="21">
        <f>E5</f>
        <v>6242.8326818728056</v>
      </c>
      <c r="F8" s="21">
        <f>F5</f>
        <v>0</v>
      </c>
      <c r="G8" s="21"/>
      <c r="H8" s="21"/>
      <c r="I8" s="21"/>
      <c r="J8" s="21">
        <f>J5</f>
        <v>278.55658304358371</v>
      </c>
      <c r="K8" s="21"/>
      <c r="L8" s="21">
        <f>L5</f>
        <v>0</v>
      </c>
      <c r="M8" s="21">
        <f>M5</f>
        <v>0</v>
      </c>
      <c r="N8" s="21">
        <f>N5</f>
        <v>26314.106295916998</v>
      </c>
      <c r="O8" s="21">
        <f>O5</f>
        <v>292.34333333333331</v>
      </c>
      <c r="P8" s="21">
        <f>P5</f>
        <v>1563.4666666666667</v>
      </c>
    </row>
    <row r="9" spans="1:16">
      <c r="B9" s="19"/>
      <c r="C9" s="19"/>
      <c r="D9" s="258"/>
      <c r="E9" s="19"/>
      <c r="F9" s="19"/>
      <c r="G9" s="19"/>
      <c r="H9" s="19"/>
      <c r="I9" s="19"/>
      <c r="J9" s="19"/>
      <c r="K9" s="19"/>
      <c r="L9" s="19"/>
      <c r="M9" s="19"/>
      <c r="N9" s="19"/>
      <c r="O9" s="19"/>
      <c r="P9" s="19"/>
    </row>
    <row r="10" spans="1:16">
      <c r="A10" s="24" t="s">
        <v>214</v>
      </c>
      <c r="B10" s="25">
        <f ca="1">'EF ele_warmte'!B12</f>
        <v>0.15944033139506755</v>
      </c>
      <c r="C10" s="25">
        <f ca="1">'EF ele_warmte'!B22</f>
        <v>0.23764705882352954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5343.5112203144863</v>
      </c>
      <c r="C12" s="23">
        <f ca="1">C10*C8</f>
        <v>0</v>
      </c>
      <c r="D12" s="23">
        <f>D8*D10</f>
        <v>16682.014230569468</v>
      </c>
      <c r="E12" s="23">
        <f>E10*E8</f>
        <v>1417.123018785127</v>
      </c>
      <c r="F12" s="23">
        <f>F10*F8</f>
        <v>0</v>
      </c>
      <c r="G12" s="23"/>
      <c r="H12" s="23"/>
      <c r="I12" s="23"/>
      <c r="J12" s="23">
        <f>J10*J8</f>
        <v>98.609030397428626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3398</v>
      </c>
      <c r="C18" s="166" t="s">
        <v>111</v>
      </c>
      <c r="D18" s="228"/>
      <c r="E18" s="15"/>
    </row>
    <row r="19" spans="1:7">
      <c r="A19" s="171" t="s">
        <v>72</v>
      </c>
      <c r="B19" s="37">
        <f>aantalw2001_ander</f>
        <v>2</v>
      </c>
      <c r="C19" s="166" t="s">
        <v>111</v>
      </c>
      <c r="D19" s="229"/>
      <c r="E19" s="15"/>
    </row>
    <row r="20" spans="1:7">
      <c r="A20" s="171" t="s">
        <v>73</v>
      </c>
      <c r="B20" s="37">
        <f>aantalw2001_propaan</f>
        <v>114</v>
      </c>
      <c r="C20" s="167">
        <f>IF(ISERROR(B20/SUM($B$20,$B$21,$B$22)*100),0,B20/SUM($B$20,$B$21,$B$22)*100)</f>
        <v>15.119363395225463</v>
      </c>
      <c r="D20" s="229"/>
      <c r="E20" s="15"/>
    </row>
    <row r="21" spans="1:7">
      <c r="A21" s="171" t="s">
        <v>74</v>
      </c>
      <c r="B21" s="37">
        <f>aantalw2001_elektriciteit</f>
        <v>499</v>
      </c>
      <c r="C21" s="167">
        <f>IF(ISERROR(B21/SUM($B$20,$B$21,$B$22)*100),0,B21/SUM($B$20,$B$21,$B$22)*100)</f>
        <v>66.180371352785144</v>
      </c>
      <c r="D21" s="229"/>
      <c r="E21" s="15"/>
    </row>
    <row r="22" spans="1:7">
      <c r="A22" s="171" t="s">
        <v>75</v>
      </c>
      <c r="B22" s="37">
        <f>aantalw2001_hout</f>
        <v>141</v>
      </c>
      <c r="C22" s="167">
        <f>IF(ISERROR(B22/SUM($B$20,$B$21,$B$22)*100),0,B22/SUM($B$20,$B$21,$B$22)*100)</f>
        <v>18.700265251989389</v>
      </c>
      <c r="D22" s="229"/>
      <c r="E22" s="15"/>
    </row>
    <row r="23" spans="1:7">
      <c r="A23" s="171" t="s">
        <v>76</v>
      </c>
      <c r="B23" s="37">
        <f>aantalw2001_niet_gespec</f>
        <v>152</v>
      </c>
      <c r="C23" s="166" t="s">
        <v>111</v>
      </c>
      <c r="D23" s="228"/>
      <c r="E23" s="15"/>
    </row>
    <row r="24" spans="1:7">
      <c r="A24" s="171" t="s">
        <v>77</v>
      </c>
      <c r="B24" s="37">
        <f>aantalw2001_steenkool</f>
        <v>229</v>
      </c>
      <c r="C24" s="166" t="s">
        <v>111</v>
      </c>
      <c r="D24" s="229"/>
      <c r="E24" s="15"/>
    </row>
    <row r="25" spans="1:7">
      <c r="A25" s="171" t="s">
        <v>78</v>
      </c>
      <c r="B25" s="37">
        <f>aantalw2001_stookolie</f>
        <v>1855</v>
      </c>
      <c r="C25" s="166" t="s">
        <v>111</v>
      </c>
      <c r="D25" s="228"/>
      <c r="E25" s="52"/>
    </row>
    <row r="26" spans="1:7">
      <c r="A26" s="171" t="s">
        <v>79</v>
      </c>
      <c r="B26" s="37">
        <f>aantalw2001_WP</f>
        <v>18</v>
      </c>
      <c r="C26" s="166" t="s">
        <v>111</v>
      </c>
      <c r="D26" s="228"/>
      <c r="E26" s="15"/>
    </row>
    <row r="27" spans="1:7" s="15" customFormat="1">
      <c r="A27" s="171"/>
      <c r="B27" s="29"/>
      <c r="C27" s="36"/>
      <c r="D27" s="228"/>
    </row>
    <row r="28" spans="1:7" s="15" customFormat="1">
      <c r="A28" s="230" t="s">
        <v>794</v>
      </c>
      <c r="B28" s="37">
        <f>aantalHuishoudens2011</f>
        <v>7649</v>
      </c>
      <c r="C28" s="36"/>
      <c r="D28" s="228"/>
    </row>
    <row r="29" spans="1:7" s="15" customFormat="1">
      <c r="A29" s="230" t="s">
        <v>795</v>
      </c>
      <c r="B29" s="37">
        <f>SUM(HH_hh_gas_aantal,HH_rest_gas_aantal)</f>
        <v>5609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5609</v>
      </c>
      <c r="C32" s="167">
        <f>IF(ISERROR(B32/SUM($B$32,$B$34,$B$35,$B$36,$B$38,$B$39)*100),0,B32/SUM($B$32,$B$34,$B$35,$B$36,$B$38,$B$39)*100)</f>
        <v>74.124487908021692</v>
      </c>
      <c r="D32" s="233"/>
      <c r="G32" s="15"/>
    </row>
    <row r="33" spans="1:7">
      <c r="A33" s="171" t="s">
        <v>72</v>
      </c>
      <c r="B33" s="34" t="s">
        <v>111</v>
      </c>
      <c r="C33" s="167"/>
      <c r="D33" s="233"/>
      <c r="G33" s="15"/>
    </row>
    <row r="34" spans="1:7">
      <c r="A34" s="171" t="s">
        <v>73</v>
      </c>
      <c r="B34" s="33">
        <f>IF((($B$28-$B$32-$B$39-$B$77-$B$38)*C20/100)&lt;0,0,($B$28-$B$32-$B$39-$B$77-$B$38)*C20/100)</f>
        <v>294.84270557029174</v>
      </c>
      <c r="C34" s="167">
        <f>IF(ISERROR(B34/SUM($B$32,$B$34,$B$35,$B$36,$B$38,$B$39)*100),0,B34/SUM($B$32,$B$34,$B$35,$B$36,$B$38,$B$39)*100)</f>
        <v>3.8964279842776763</v>
      </c>
      <c r="D34" s="233"/>
      <c r="G34" s="15"/>
    </row>
    <row r="35" spans="1:7">
      <c r="A35" s="171" t="s">
        <v>74</v>
      </c>
      <c r="B35" s="33">
        <f>IF((($B$28-$B$32-$B$39-$B$77-$B$38)*C21/100)&lt;0,0,($B$28-$B$32-$B$39-$B$77-$B$38)*C21/100)</f>
        <v>1290.5834217506631</v>
      </c>
      <c r="C35" s="167">
        <f>IF(ISERROR(B35/SUM($B$32,$B$34,$B$35,$B$36,$B$38,$B$39)*100),0,B35/SUM($B$32,$B$34,$B$35,$B$36,$B$38,$B$39)*100)</f>
        <v>17.05541722942597</v>
      </c>
      <c r="D35" s="233"/>
      <c r="G35" s="15"/>
    </row>
    <row r="36" spans="1:7">
      <c r="A36" s="171" t="s">
        <v>75</v>
      </c>
      <c r="B36" s="33">
        <f>IF((($B$28-$B$32-$B$39-$B$77-$B$38)*C22/100)&lt;0,0,($B$28-$B$32-$B$39-$B$77-$B$38)*C22/100)</f>
        <v>364.67387267904508</v>
      </c>
      <c r="C36" s="167">
        <f>IF(ISERROR(B36/SUM($B$32,$B$34,$B$35,$B$36,$B$38,$B$39)*100),0,B36/SUM($B$32,$B$34,$B$35,$B$36,$B$38,$B$39)*100)</f>
        <v>4.8192661910802839</v>
      </c>
      <c r="D36" s="233"/>
      <c r="G36" s="15"/>
    </row>
    <row r="37" spans="1:7">
      <c r="A37" s="171" t="s">
        <v>76</v>
      </c>
      <c r="B37" s="34" t="s">
        <v>111</v>
      </c>
      <c r="C37" s="167"/>
      <c r="D37" s="173"/>
      <c r="G37" s="15"/>
    </row>
    <row r="38" spans="1:7">
      <c r="A38" s="171" t="s">
        <v>77</v>
      </c>
      <c r="B38" s="33">
        <f>IF((B24-(B29-B18)*0.1)&lt;0,0,B24-(B29-B18)*0.1)</f>
        <v>7.8999999999999773</v>
      </c>
      <c r="C38" s="167">
        <f>IF(ISERROR(B38/SUM($B$32,$B$34,$B$35,$B$36,$B$38,$B$39)*100),0,B38/SUM($B$32,$B$34,$B$35,$B$36,$B$38,$B$39)*100)</f>
        <v>0.10440068719439644</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5609</v>
      </c>
      <c r="C44" s="34" t="s">
        <v>111</v>
      </c>
      <c r="D44" s="174"/>
    </row>
    <row r="45" spans="1:7">
      <c r="A45" s="171" t="s">
        <v>72</v>
      </c>
      <c r="B45" s="33" t="str">
        <f t="shared" si="0"/>
        <v>-</v>
      </c>
      <c r="C45" s="34" t="s">
        <v>111</v>
      </c>
      <c r="D45" s="174"/>
    </row>
    <row r="46" spans="1:7">
      <c r="A46" s="171" t="s">
        <v>73</v>
      </c>
      <c r="B46" s="33">
        <f t="shared" si="0"/>
        <v>294.84270557029174</v>
      </c>
      <c r="C46" s="34" t="s">
        <v>111</v>
      </c>
      <c r="D46" s="174"/>
    </row>
    <row r="47" spans="1:7">
      <c r="A47" s="171" t="s">
        <v>74</v>
      </c>
      <c r="B47" s="33">
        <f t="shared" si="0"/>
        <v>1290.5834217506631</v>
      </c>
      <c r="C47" s="34" t="s">
        <v>111</v>
      </c>
      <c r="D47" s="174"/>
    </row>
    <row r="48" spans="1:7">
      <c r="A48" s="171" t="s">
        <v>75</v>
      </c>
      <c r="B48" s="33">
        <f t="shared" si="0"/>
        <v>364.67387267904508</v>
      </c>
      <c r="C48" s="33">
        <f>B48*10</f>
        <v>3646.7387267904505</v>
      </c>
      <c r="D48" s="234"/>
    </row>
    <row r="49" spans="1:6">
      <c r="A49" s="171" t="s">
        <v>76</v>
      </c>
      <c r="B49" s="33" t="str">
        <f t="shared" si="0"/>
        <v>-</v>
      </c>
      <c r="C49" s="34" t="s">
        <v>111</v>
      </c>
      <c r="D49" s="234"/>
    </row>
    <row r="50" spans="1:6">
      <c r="A50" s="171" t="s">
        <v>77</v>
      </c>
      <c r="B50" s="33">
        <f t="shared" si="0"/>
        <v>7.8999999999999773</v>
      </c>
      <c r="C50" s="33">
        <f>B50*2</f>
        <v>15.799999999999955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11941.029314628699</v>
      </c>
      <c r="C5" s="17">
        <f>IF(ISERROR('Eigen informatie GS &amp; warmtenet'!B58),0,'Eigen informatie GS &amp; warmtenet'!B58)</f>
        <v>0</v>
      </c>
      <c r="D5" s="30">
        <f>SUM(D6:D12)</f>
        <v>19876.594208734568</v>
      </c>
      <c r="E5" s="17">
        <f>SUM(E6:E12)</f>
        <v>203.12350919277628</v>
      </c>
      <c r="F5" s="17">
        <f>SUM(F6:F12)</f>
        <v>2081.7139731275347</v>
      </c>
      <c r="G5" s="18"/>
      <c r="H5" s="17"/>
      <c r="I5" s="17"/>
      <c r="J5" s="17">
        <f>SUM(J6:J12)</f>
        <v>2.0063790544256842E-2</v>
      </c>
      <c r="K5" s="17"/>
      <c r="L5" s="17"/>
      <c r="M5" s="17"/>
      <c r="N5" s="17">
        <f>SUM(N6:N12)</f>
        <v>803.6201040678535</v>
      </c>
      <c r="O5" s="17">
        <f>B38*B39*B40</f>
        <v>1.5633333333333335</v>
      </c>
      <c r="P5" s="17">
        <f>B46*B47*B48/1000-B46*B47*B48/1000/B49</f>
        <v>0</v>
      </c>
      <c r="R5" s="32"/>
    </row>
    <row r="6" spans="1:18">
      <c r="A6" s="32" t="s">
        <v>54</v>
      </c>
      <c r="B6" s="37">
        <f>B26</f>
        <v>3393.42574916289</v>
      </c>
      <c r="C6" s="33"/>
      <c r="D6" s="37">
        <f>IF(ISERROR(TER_kantoor_gas_kWh/1000),0,TER_kantoor_gas_kWh/1000)*0.902</f>
        <v>5290.8909393850026</v>
      </c>
      <c r="E6" s="33">
        <f>$C$26*'E Balans VL '!I12/100/3.6*1000000</f>
        <v>2.1268863960030495E-2</v>
      </c>
      <c r="F6" s="33">
        <f>$C$26*('E Balans VL '!L12+'E Balans VL '!N12)/100/3.6*1000000</f>
        <v>509.93706874028095</v>
      </c>
      <c r="G6" s="34"/>
      <c r="H6" s="33"/>
      <c r="I6" s="33"/>
      <c r="J6" s="33">
        <f>$C$26*('E Balans VL '!D12+'E Balans VL '!E12)/100/3.6*1000000</f>
        <v>0</v>
      </c>
      <c r="K6" s="33"/>
      <c r="L6" s="33"/>
      <c r="M6" s="33"/>
      <c r="N6" s="33">
        <f>$C$26*'E Balans VL '!Y12/100/3.6*1000000</f>
        <v>3.2453085984913446</v>
      </c>
      <c r="O6" s="33"/>
      <c r="P6" s="33"/>
      <c r="R6" s="32"/>
    </row>
    <row r="7" spans="1:18">
      <c r="A7" s="32" t="s">
        <v>53</v>
      </c>
      <c r="B7" s="37">
        <f t="shared" ref="B7:B12" si="0">B27</f>
        <v>1130.97508872966</v>
      </c>
      <c r="C7" s="33"/>
      <c r="D7" s="37">
        <f>IF(ISERROR(TER_horeca_gas_kWh/1000),0,TER_horeca_gas_kWh/1000)*0.902</f>
        <v>1694.0087931485652</v>
      </c>
      <c r="E7" s="33">
        <f>$C$27*'E Balans VL '!I9/100/3.6*1000000</f>
        <v>16.195374886121193</v>
      </c>
      <c r="F7" s="33">
        <f>$C$27*('E Balans VL '!L9+'E Balans VL '!N9)/100/3.6*1000000</f>
        <v>143.21874722865437</v>
      </c>
      <c r="G7" s="34"/>
      <c r="H7" s="33"/>
      <c r="I7" s="33"/>
      <c r="J7" s="33">
        <f>$C$27*('E Balans VL '!D9+'E Balans VL '!E9)/100/3.6*1000000</f>
        <v>0</v>
      </c>
      <c r="K7" s="33"/>
      <c r="L7" s="33"/>
      <c r="M7" s="33"/>
      <c r="N7" s="33">
        <f>$C$27*'E Balans VL '!Y9/100/3.6*1000000</f>
        <v>0.32513040214955669</v>
      </c>
      <c r="O7" s="33"/>
      <c r="P7" s="33"/>
      <c r="R7" s="32"/>
    </row>
    <row r="8" spans="1:18">
      <c r="A8" s="6" t="s">
        <v>52</v>
      </c>
      <c r="B8" s="37">
        <f t="shared" si="0"/>
        <v>4455.0755171397195</v>
      </c>
      <c r="C8" s="33"/>
      <c r="D8" s="37">
        <f>IF(ISERROR(TER_handel_gas_kWh/1000),0,TER_handel_gas_kWh/1000)*0.902</f>
        <v>3322.1200313567529</v>
      </c>
      <c r="E8" s="33">
        <f>$C$28*'E Balans VL '!I13/100/3.6*1000000</f>
        <v>161.58503963135772</v>
      </c>
      <c r="F8" s="33">
        <f>$C$28*('E Balans VL '!L13+'E Balans VL '!N13)/100/3.6*1000000</f>
        <v>858.09265510875753</v>
      </c>
      <c r="G8" s="34"/>
      <c r="H8" s="33"/>
      <c r="I8" s="33"/>
      <c r="J8" s="33">
        <f>$C$28*('E Balans VL '!D13+'E Balans VL '!E13)/100/3.6*1000000</f>
        <v>0</v>
      </c>
      <c r="K8" s="33"/>
      <c r="L8" s="33"/>
      <c r="M8" s="33"/>
      <c r="N8" s="33">
        <f>$C$28*'E Balans VL '!Y13/100/3.6*1000000</f>
        <v>6.1713046583983795</v>
      </c>
      <c r="O8" s="33"/>
      <c r="P8" s="33"/>
      <c r="R8" s="32"/>
    </row>
    <row r="9" spans="1:18">
      <c r="A9" s="32" t="s">
        <v>51</v>
      </c>
      <c r="B9" s="37">
        <f t="shared" si="0"/>
        <v>308.113036661455</v>
      </c>
      <c r="C9" s="33"/>
      <c r="D9" s="37">
        <f>IF(ISERROR(TER_gezond_gas_kWh/1000),0,TER_gezond_gas_kWh/1000)*0.902</f>
        <v>481.6589559190291</v>
      </c>
      <c r="E9" s="33">
        <f>$C$29*'E Balans VL '!I10/100/3.6*1000000</f>
        <v>1.9290918161663E-2</v>
      </c>
      <c r="F9" s="33">
        <f>$C$29*('E Balans VL '!L10+'E Balans VL '!N10)/100/3.6*1000000</f>
        <v>45.771129710914451</v>
      </c>
      <c r="G9" s="34"/>
      <c r="H9" s="33"/>
      <c r="I9" s="33"/>
      <c r="J9" s="33">
        <f>$C$29*('E Balans VL '!D10+'E Balans VL '!E10)/100/3.6*1000000</f>
        <v>0</v>
      </c>
      <c r="K9" s="33"/>
      <c r="L9" s="33"/>
      <c r="M9" s="33"/>
      <c r="N9" s="33">
        <f>$C$29*'E Balans VL '!Y10/100/3.6*1000000</f>
        <v>4.7659221814460677</v>
      </c>
      <c r="O9" s="33"/>
      <c r="P9" s="33"/>
      <c r="R9" s="32"/>
    </row>
    <row r="10" spans="1:18">
      <c r="A10" s="32" t="s">
        <v>50</v>
      </c>
      <c r="B10" s="37">
        <f t="shared" si="0"/>
        <v>736.24468438230497</v>
      </c>
      <c r="C10" s="33"/>
      <c r="D10" s="37">
        <f>IF(ISERROR(TER_ander_gas_kWh/1000),0,TER_ander_gas_kWh/1000)*0.902</f>
        <v>4825.2884469099399</v>
      </c>
      <c r="E10" s="33">
        <f>$C$30*'E Balans VL '!I14/100/3.6*1000000</f>
        <v>0.87757735484411725</v>
      </c>
      <c r="F10" s="33">
        <f>$C$30*('E Balans VL '!L14+'E Balans VL '!N14)/100/3.6*1000000</f>
        <v>192.6343403022934</v>
      </c>
      <c r="G10" s="34"/>
      <c r="H10" s="33"/>
      <c r="I10" s="33"/>
      <c r="J10" s="33">
        <f>$C$30*('E Balans VL '!D14+'E Balans VL '!E14)/100/3.6*1000000</f>
        <v>1.5980986098465162E-2</v>
      </c>
      <c r="K10" s="33"/>
      <c r="L10" s="33"/>
      <c r="M10" s="33"/>
      <c r="N10" s="33">
        <f>$C$30*'E Balans VL '!Y14/100/3.6*1000000</f>
        <v>625.20097032361491</v>
      </c>
      <c r="O10" s="33"/>
      <c r="P10" s="33"/>
      <c r="R10" s="32"/>
    </row>
    <row r="11" spans="1:18">
      <c r="A11" s="32" t="s">
        <v>55</v>
      </c>
      <c r="B11" s="37">
        <f t="shared" si="0"/>
        <v>231.148616274939</v>
      </c>
      <c r="C11" s="33"/>
      <c r="D11" s="37">
        <f>IF(ISERROR(TER_onderwijs_gas_kWh/1000),0,TER_onderwijs_gas_kWh/1000)*0.902</f>
        <v>447.46950554694138</v>
      </c>
      <c r="E11" s="33">
        <f>$C$31*'E Balans VL '!I11/100/3.6*1000000</f>
        <v>3.4876603193404021</v>
      </c>
      <c r="F11" s="33">
        <f>$C$31*('E Balans VL '!L11+'E Balans VL '!N11)/100/3.6*1000000</f>
        <v>40.500930280371165</v>
      </c>
      <c r="G11" s="34"/>
      <c r="H11" s="33"/>
      <c r="I11" s="33"/>
      <c r="J11" s="33">
        <f>$C$31*('E Balans VL '!D11+'E Balans VL '!E11)/100/3.6*1000000</f>
        <v>0</v>
      </c>
      <c r="K11" s="33"/>
      <c r="L11" s="33"/>
      <c r="M11" s="33"/>
      <c r="N11" s="33">
        <f>$C$31*'E Balans VL '!Y11/100/3.6*1000000</f>
        <v>0.65046977878468459</v>
      </c>
      <c r="O11" s="33"/>
      <c r="P11" s="33"/>
      <c r="R11" s="32"/>
    </row>
    <row r="12" spans="1:18">
      <c r="A12" s="32" t="s">
        <v>260</v>
      </c>
      <c r="B12" s="37">
        <f t="shared" si="0"/>
        <v>1686.04662227773</v>
      </c>
      <c r="C12" s="33"/>
      <c r="D12" s="37">
        <f>IF(ISERROR(TER_rest_gas_kWh/1000),0,TER_rest_gas_kWh/1000)*0.902</f>
        <v>3815.1575364683372</v>
      </c>
      <c r="E12" s="33">
        <f>$C$32*'E Balans VL '!I8/100/3.6*1000000</f>
        <v>20.937297218991176</v>
      </c>
      <c r="F12" s="33">
        <f>$C$32*('E Balans VL '!L8+'E Balans VL '!N8)/100/3.6*1000000</f>
        <v>291.55910175626263</v>
      </c>
      <c r="G12" s="34"/>
      <c r="H12" s="33"/>
      <c r="I12" s="33"/>
      <c r="J12" s="33">
        <f>$C$32*('E Balans VL '!D8+'E Balans VL '!E8)/100/3.6*1000000</f>
        <v>4.0828044457916803E-3</v>
      </c>
      <c r="K12" s="33"/>
      <c r="L12" s="33"/>
      <c r="M12" s="33"/>
      <c r="N12" s="33">
        <f>$C$32*'E Balans VL '!Y8/100/3.6*1000000</f>
        <v>163.26099812496852</v>
      </c>
      <c r="O12" s="33"/>
      <c r="P12" s="33"/>
      <c r="R12" s="32"/>
    </row>
    <row r="13" spans="1:18">
      <c r="A13" s="16" t="s">
        <v>488</v>
      </c>
      <c r="B13" s="247">
        <f ca="1">'lokale energieproductie'!N90+'lokale energieproductie'!N59</f>
        <v>110.25</v>
      </c>
      <c r="C13" s="247">
        <f ca="1">'lokale energieproductie'!O90+'lokale energieproductie'!O59</f>
        <v>157.5</v>
      </c>
      <c r="D13" s="310">
        <f ca="1">('lokale energieproductie'!P59+'lokale energieproductie'!P90)*(-1)</f>
        <v>-315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12051.279314628699</v>
      </c>
      <c r="C16" s="21">
        <f t="shared" ca="1" si="1"/>
        <v>157.5</v>
      </c>
      <c r="D16" s="21">
        <f t="shared" ca="1" si="1"/>
        <v>19561.594208734568</v>
      </c>
      <c r="E16" s="21">
        <f t="shared" si="1"/>
        <v>203.12350919277628</v>
      </c>
      <c r="F16" s="21">
        <f t="shared" ca="1" si="1"/>
        <v>2081.7139731275347</v>
      </c>
      <c r="G16" s="21">
        <f t="shared" si="1"/>
        <v>0</v>
      </c>
      <c r="H16" s="21">
        <f t="shared" si="1"/>
        <v>0</v>
      </c>
      <c r="I16" s="21">
        <f t="shared" si="1"/>
        <v>0</v>
      </c>
      <c r="J16" s="21">
        <f t="shared" si="1"/>
        <v>2.0063790544256842E-2</v>
      </c>
      <c r="K16" s="21">
        <f t="shared" si="1"/>
        <v>0</v>
      </c>
      <c r="L16" s="21">
        <f t="shared" ca="1" si="1"/>
        <v>0</v>
      </c>
      <c r="M16" s="21">
        <f t="shared" si="1"/>
        <v>0</v>
      </c>
      <c r="N16" s="21">
        <f t="shared" ca="1" si="1"/>
        <v>803.6201040678535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0.15944033139506755</v>
      </c>
      <c r="C18" s="25">
        <f ca="1">'EF ele_warmte'!B22</f>
        <v>0.23764705882352954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1921.4599676589223</v>
      </c>
      <c r="C20" s="23">
        <f t="shared" ref="C20:P20" ca="1" si="2">C16*C18</f>
        <v>37.429411764705904</v>
      </c>
      <c r="D20" s="23">
        <f t="shared" ca="1" si="2"/>
        <v>3951.4420301643831</v>
      </c>
      <c r="E20" s="23">
        <f t="shared" si="2"/>
        <v>46.109036586760219</v>
      </c>
      <c r="F20" s="23">
        <f t="shared" ca="1" si="2"/>
        <v>555.81763082505176</v>
      </c>
      <c r="G20" s="23">
        <f t="shared" si="2"/>
        <v>0</v>
      </c>
      <c r="H20" s="23">
        <f t="shared" si="2"/>
        <v>0</v>
      </c>
      <c r="I20" s="23">
        <f t="shared" si="2"/>
        <v>0</v>
      </c>
      <c r="J20" s="23">
        <f t="shared" si="2"/>
        <v>7.1025818526669216E-3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3393.42574916289</v>
      </c>
      <c r="C26" s="39">
        <f>IF(ISERROR(B26*3.6/1000000/'E Balans VL '!Z12*100),0,B26*3.6/1000000/'E Balans VL '!Z12*100)</f>
        <v>7.1731644716700696E-2</v>
      </c>
      <c r="D26" s="237" t="s">
        <v>754</v>
      </c>
      <c r="F26" s="6"/>
    </row>
    <row r="27" spans="1:18">
      <c r="A27" s="231" t="s">
        <v>53</v>
      </c>
      <c r="B27" s="33">
        <f>IF(ISERROR(TER_horeca_ele_kWh/1000),0,TER_horeca_ele_kWh/1000)</f>
        <v>1130.97508872966</v>
      </c>
      <c r="C27" s="39">
        <f>IF(ISERROR(B27*3.6/1000000/'E Balans VL '!Z9*100),0,B27*3.6/1000000/'E Balans VL '!Z9*100)</f>
        <v>8.9154344708623351E-2</v>
      </c>
      <c r="D27" s="237" t="s">
        <v>754</v>
      </c>
      <c r="F27" s="6"/>
    </row>
    <row r="28" spans="1:18">
      <c r="A28" s="171" t="s">
        <v>52</v>
      </c>
      <c r="B28" s="33">
        <f>IF(ISERROR(TER_handel_ele_kWh/1000),0,TER_handel_ele_kWh/1000)</f>
        <v>4455.0755171397195</v>
      </c>
      <c r="C28" s="39">
        <f>IF(ISERROR(B28*3.6/1000000/'E Balans VL '!Z13*100),0,B28*3.6/1000000/'E Balans VL '!Z13*100)</f>
        <v>0.12930429202955229</v>
      </c>
      <c r="D28" s="237" t="s">
        <v>754</v>
      </c>
      <c r="F28" s="6"/>
    </row>
    <row r="29" spans="1:18">
      <c r="A29" s="231" t="s">
        <v>51</v>
      </c>
      <c r="B29" s="33">
        <f>IF(ISERROR(TER_gezond_ele_kWh/1000),0,TER_gezond_ele_kWh/1000)</f>
        <v>308.113036661455</v>
      </c>
      <c r="C29" s="39">
        <f>IF(ISERROR(B29*3.6/1000000/'E Balans VL '!Z10*100),0,B29*3.6/1000000/'E Balans VL '!Z10*100)</f>
        <v>3.244936211006047E-2</v>
      </c>
      <c r="D29" s="237" t="s">
        <v>754</v>
      </c>
      <c r="F29" s="6"/>
    </row>
    <row r="30" spans="1:18">
      <c r="A30" s="231" t="s">
        <v>50</v>
      </c>
      <c r="B30" s="33">
        <f>IF(ISERROR(TER_ander_ele_kWh/1000),0,TER_ander_ele_kWh/1000)</f>
        <v>736.24468438230497</v>
      </c>
      <c r="C30" s="39">
        <f>IF(ISERROR(B30*3.6/1000000/'E Balans VL '!Z14*100),0,B30*3.6/1000000/'E Balans VL '!Z14*100)</f>
        <v>5.4305567831588804E-2</v>
      </c>
      <c r="D30" s="237" t="s">
        <v>754</v>
      </c>
      <c r="F30" s="6"/>
    </row>
    <row r="31" spans="1:18">
      <c r="A31" s="231" t="s">
        <v>55</v>
      </c>
      <c r="B31" s="33">
        <f>IF(ISERROR(TER_onderwijs_ele_kWh/1000),0,TER_onderwijs_ele_kWh/1000)</f>
        <v>231.148616274939</v>
      </c>
      <c r="C31" s="39">
        <f>IF(ISERROR(B31*3.6/1000000/'E Balans VL '!Z11*100),0,B31*3.6/1000000/'E Balans VL '!Z11*100)</f>
        <v>5.7405029059915624E-2</v>
      </c>
      <c r="D31" s="237" t="s">
        <v>754</v>
      </c>
    </row>
    <row r="32" spans="1:18">
      <c r="A32" s="231" t="s">
        <v>260</v>
      </c>
      <c r="B32" s="33">
        <f>IF(ISERROR(TER_rest_ele_kWh/1000),0,TER_rest_ele_kWh/1000)</f>
        <v>1686.04662227773</v>
      </c>
      <c r="C32" s="39">
        <f>IF(ISERROR(B32*3.6/1000000/'E Balans VL '!Z8*100),0,B32*3.6/1000000/'E Balans VL '!Z8*100)</f>
        <v>1.3873925701953189E-2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6441.2271299483727</v>
      </c>
      <c r="C5" s="17">
        <f>IF(ISERROR('Eigen informatie GS &amp; warmtenet'!B59),0,'Eigen informatie GS &amp; warmtenet'!B59)</f>
        <v>0</v>
      </c>
      <c r="D5" s="30">
        <f>SUM(D6:D15)</f>
        <v>8043.3538245362688</v>
      </c>
      <c r="E5" s="17">
        <f>SUM(E6:E15)</f>
        <v>769.52013505625416</v>
      </c>
      <c r="F5" s="17">
        <f>SUM(F6:F15)</f>
        <v>2337.7773431345945</v>
      </c>
      <c r="G5" s="18"/>
      <c r="H5" s="17"/>
      <c r="I5" s="17"/>
      <c r="J5" s="17">
        <f>SUM(J6:J15)</f>
        <v>6.5821885449753834</v>
      </c>
      <c r="K5" s="17"/>
      <c r="L5" s="17"/>
      <c r="M5" s="17"/>
      <c r="N5" s="17">
        <f>SUM(N6:N15)</f>
        <v>1310.6439244500502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202.08476549744302</v>
      </c>
      <c r="C8" s="33"/>
      <c r="D8" s="37">
        <f>IF( ISERROR(IND_metaal_Gas_kWH/1000),0,IND_metaal_Gas_kWH/1000)*0.902</f>
        <v>92.326969860166287</v>
      </c>
      <c r="E8" s="33">
        <f>C30*'E Balans VL '!I18/100/3.6*1000000</f>
        <v>1.8579742434263482</v>
      </c>
      <c r="F8" s="33">
        <f>C30*'E Balans VL '!L18/100/3.6*1000000+C30*'E Balans VL '!N18/100/3.6*1000000</f>
        <v>18.948822920769352</v>
      </c>
      <c r="G8" s="34"/>
      <c r="H8" s="33"/>
      <c r="I8" s="33"/>
      <c r="J8" s="40">
        <f>C30*'E Balans VL '!D18/100/3.6*1000000+C30*'E Balans VL '!E18/100/3.6*1000000</f>
        <v>0</v>
      </c>
      <c r="K8" s="33"/>
      <c r="L8" s="33"/>
      <c r="M8" s="33"/>
      <c r="N8" s="33">
        <f>C30*'E Balans VL '!Y18/100/3.6*1000000</f>
        <v>2.8830731389593787</v>
      </c>
      <c r="O8" s="33"/>
      <c r="P8" s="33"/>
      <c r="R8" s="32"/>
    </row>
    <row r="9" spans="1:18">
      <c r="A9" s="6" t="s">
        <v>33</v>
      </c>
      <c r="B9" s="37">
        <f t="shared" si="0"/>
        <v>2263.34680821231</v>
      </c>
      <c r="C9" s="33"/>
      <c r="D9" s="37">
        <f>IF( ISERROR(IND_andere_gas_kWh/1000),0,IND_andere_gas_kWh/1000)*0.902</f>
        <v>1692.453125741097</v>
      </c>
      <c r="E9" s="33">
        <f>C31*'E Balans VL '!I19/100/3.6*1000000</f>
        <v>661.62033420571174</v>
      </c>
      <c r="F9" s="33">
        <f>C31*'E Balans VL '!L19/100/3.6*1000000+C31*'E Balans VL '!N19/100/3.6*1000000</f>
        <v>1818.7704800101121</v>
      </c>
      <c r="G9" s="34"/>
      <c r="H9" s="33"/>
      <c r="I9" s="33"/>
      <c r="J9" s="40">
        <f>C31*'E Balans VL '!D19/100/3.6*1000000+C31*'E Balans VL '!E19/100/3.6*1000000</f>
        <v>0</v>
      </c>
      <c r="K9" s="33"/>
      <c r="L9" s="33"/>
      <c r="M9" s="33"/>
      <c r="N9" s="33">
        <f>C31*'E Balans VL '!Y19/100/3.6*1000000</f>
        <v>747.84488745360738</v>
      </c>
      <c r="O9" s="33"/>
      <c r="P9" s="33"/>
      <c r="R9" s="32"/>
    </row>
    <row r="10" spans="1:18">
      <c r="A10" s="6" t="s">
        <v>41</v>
      </c>
      <c r="B10" s="37">
        <f t="shared" si="0"/>
        <v>2137.1856379991796</v>
      </c>
      <c r="C10" s="33"/>
      <c r="D10" s="37">
        <f>IF( ISERROR(IND_voed_gas_kWh/1000),0,IND_voed_gas_kWh/1000)*0.902</f>
        <v>1761.1536186679455</v>
      </c>
      <c r="E10" s="33">
        <f>C32*'E Balans VL '!I20/100/3.6*1000000</f>
        <v>4.5212493546430572</v>
      </c>
      <c r="F10" s="33">
        <f>C32*'E Balans VL '!L20/100/3.6*1000000+C32*'E Balans VL '!N20/100/3.6*1000000</f>
        <v>135.88444593509951</v>
      </c>
      <c r="G10" s="34"/>
      <c r="H10" s="33"/>
      <c r="I10" s="33"/>
      <c r="J10" s="40">
        <f>C32*'E Balans VL '!D20/100/3.6*1000000+C32*'E Balans VL '!E20/100/3.6*1000000</f>
        <v>0</v>
      </c>
      <c r="K10" s="33"/>
      <c r="L10" s="33"/>
      <c r="M10" s="33"/>
      <c r="N10" s="33">
        <f>C32*'E Balans VL '!Y20/100/3.6*1000000</f>
        <v>147.48689928515094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1838.60991823944</v>
      </c>
      <c r="C15" s="33"/>
      <c r="D15" s="37">
        <f>IF( ISERROR(IND_rest_gas_kWh/1000),0,IND_rest_gas_kWh/1000)*0.902</f>
        <v>4497.4201102670595</v>
      </c>
      <c r="E15" s="33">
        <f>C37*'E Balans VL '!I15/100/3.6*1000000</f>
        <v>101.52057725247305</v>
      </c>
      <c r="F15" s="33">
        <f>C37*'E Balans VL '!L15/100/3.6*1000000+C37*'E Balans VL '!N15/100/3.6*1000000</f>
        <v>364.17359426861361</v>
      </c>
      <c r="G15" s="34"/>
      <c r="H15" s="33"/>
      <c r="I15" s="33"/>
      <c r="J15" s="40">
        <f>C37*'E Balans VL '!D15/100/3.6*1000000+C37*'E Balans VL '!E15/100/3.6*1000000</f>
        <v>6.5821885449753834</v>
      </c>
      <c r="K15" s="33"/>
      <c r="L15" s="33"/>
      <c r="M15" s="33"/>
      <c r="N15" s="33">
        <f>C37*'E Balans VL '!Y15/100/3.6*1000000</f>
        <v>412.42906457233266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6441.2271299483727</v>
      </c>
      <c r="C18" s="21">
        <f>C5+C16</f>
        <v>0</v>
      </c>
      <c r="D18" s="21">
        <f>MAX((D5+D16),0)</f>
        <v>8043.3538245362688</v>
      </c>
      <c r="E18" s="21">
        <f>MAX((E5+E16),0)</f>
        <v>769.52013505625416</v>
      </c>
      <c r="F18" s="21">
        <f>MAX((F5+F16),0)</f>
        <v>2337.7773431345945</v>
      </c>
      <c r="G18" s="21"/>
      <c r="H18" s="21"/>
      <c r="I18" s="21"/>
      <c r="J18" s="21">
        <f>MAX((J5+J16),0)</f>
        <v>6.5821885449753834</v>
      </c>
      <c r="K18" s="21"/>
      <c r="L18" s="21">
        <f>MAX((L5+L16),0)</f>
        <v>0</v>
      </c>
      <c r="M18" s="21"/>
      <c r="N18" s="21">
        <f>MAX((N5+N16),0)</f>
        <v>1310.6439244500502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0.15944033139506755</v>
      </c>
      <c r="C20" s="25">
        <f ca="1">'EF ele_warmte'!B22</f>
        <v>0.23764705882352954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1026.9913881898683</v>
      </c>
      <c r="C22" s="23">
        <f ca="1">C18*C20</f>
        <v>0</v>
      </c>
      <c r="D22" s="23">
        <f>D18*D20</f>
        <v>1624.7574725563263</v>
      </c>
      <c r="E22" s="23">
        <f>E18*E20</f>
        <v>174.68107065776971</v>
      </c>
      <c r="F22" s="23">
        <f>F18*F20</f>
        <v>624.18655061693676</v>
      </c>
      <c r="G22" s="23"/>
      <c r="H22" s="23"/>
      <c r="I22" s="23"/>
      <c r="J22" s="23">
        <f>J18*J20</f>
        <v>2.3300947449212854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202.08476549744302</v>
      </c>
      <c r="C30" s="39">
        <f>IF(ISERROR(B30*3.6/1000000/'E Balans VL '!Z18*100),0,B30*3.6/1000000/'E Balans VL '!Z18*100)</f>
        <v>1.1452661839970261E-2</v>
      </c>
      <c r="D30" s="237" t="s">
        <v>754</v>
      </c>
    </row>
    <row r="31" spans="1:18">
      <c r="A31" s="6" t="s">
        <v>33</v>
      </c>
      <c r="B31" s="37">
        <f>IF( ISERROR(IND_ander_ele_kWh/1000),0,IND_ander_ele_kWh/1000)</f>
        <v>2263.34680821231</v>
      </c>
      <c r="C31" s="39">
        <f>IF(ISERROR(B31*3.6/1000000/'E Balans VL '!Z19*100),0,B31*3.6/1000000/'E Balans VL '!Z19*100)</f>
        <v>0.10265598680842999</v>
      </c>
      <c r="D31" s="237" t="s">
        <v>754</v>
      </c>
    </row>
    <row r="32" spans="1:18">
      <c r="A32" s="171" t="s">
        <v>41</v>
      </c>
      <c r="B32" s="37">
        <f>IF( ISERROR(IND_voed_ele_kWh/1000),0,IND_voed_ele_kWh/1000)</f>
        <v>2137.1856379991796</v>
      </c>
      <c r="C32" s="39">
        <f>IF(ISERROR(B32*3.6/1000000/'E Balans VL '!Z20*100),0,B32*3.6/1000000/'E Balans VL '!Z20*100)</f>
        <v>6.6112853786917683E-2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1838.60991823944</v>
      </c>
      <c r="C37" s="39">
        <f>IF(ISERROR(B37*3.6/1000000/'E Balans VL '!Z15*100),0,B37*3.6/1000000/'E Balans VL '!Z15*100)</f>
        <v>1.4573241629776466E-2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5507.212802500233</v>
      </c>
      <c r="C5" s="17">
        <f>'Eigen informatie GS &amp; warmtenet'!B60</f>
        <v>0</v>
      </c>
      <c r="D5" s="30">
        <f>IF(ISERROR(SUM(LB_lb_gas_kWh,LB_rest_gas_kWh,onbekend_gas_kWh)/1000),0,SUM(LB_lb_gas_kWh,LB_rest_gas_kWh,onbekend_gas_kWh)/1000)*0.902</f>
        <v>21103.95473792512</v>
      </c>
      <c r="E5" s="17">
        <f>B17*'E Balans VL '!I25/3.6*1000000/100</f>
        <v>161.87380523488216</v>
      </c>
      <c r="F5" s="17">
        <f>B17*('E Balans VL '!L25/3.6*1000000+'E Balans VL '!N25/3.6*1000000)/100</f>
        <v>22942.750941056143</v>
      </c>
      <c r="G5" s="18"/>
      <c r="H5" s="17"/>
      <c r="I5" s="17"/>
      <c r="J5" s="17">
        <f>('E Balans VL '!D25+'E Balans VL '!E25)/3.6*1000000*landbouw!B17/100</f>
        <v>797.87686633354099</v>
      </c>
      <c r="K5" s="17"/>
      <c r="L5" s="17">
        <f>L6*(-1)</f>
        <v>0</v>
      </c>
      <c r="M5" s="17"/>
      <c r="N5" s="17">
        <f>N6*(-1)</f>
        <v>0</v>
      </c>
      <c r="O5" s="17"/>
      <c r="P5" s="17"/>
      <c r="R5" s="32"/>
    </row>
    <row r="6" spans="1:18">
      <c r="A6" s="16" t="s">
        <v>488</v>
      </c>
      <c r="B6" s="17" t="s">
        <v>211</v>
      </c>
      <c r="C6" s="17">
        <f>'lokale energieproductie'!O91+'lokale energieproductie'!O60</f>
        <v>43200</v>
      </c>
      <c r="D6" s="310">
        <f>('lokale energieproductie'!P60+'lokale energieproductie'!P91)*(-1)</f>
        <v>-86400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5507.212802500233</v>
      </c>
      <c r="C8" s="21">
        <f>C5+C6</f>
        <v>43200</v>
      </c>
      <c r="D8" s="21">
        <f>MAX((D5+D6),0)</f>
        <v>0</v>
      </c>
      <c r="E8" s="21">
        <f>MAX((E5+E6),0)</f>
        <v>161.87380523488216</v>
      </c>
      <c r="F8" s="21">
        <f>MAX((F5+F6),0)</f>
        <v>22942.750941056143</v>
      </c>
      <c r="G8" s="21"/>
      <c r="H8" s="21"/>
      <c r="I8" s="21"/>
      <c r="J8" s="21">
        <f>MAX((J5+J6),0)</f>
        <v>797.87686633354099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0.15944033139506755</v>
      </c>
      <c r="C10" s="31">
        <f ca="1">'EF ele_warmte'!B22</f>
        <v>0.23764705882352954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878.07183429379586</v>
      </c>
      <c r="C12" s="23">
        <f ca="1">C8*C10</f>
        <v>10266.352941176476</v>
      </c>
      <c r="D12" s="23">
        <f>D8*D10</f>
        <v>0</v>
      </c>
      <c r="E12" s="23">
        <f>E8*E10</f>
        <v>36.745353788318248</v>
      </c>
      <c r="F12" s="23">
        <f>F8*F10</f>
        <v>6125.7145012619903</v>
      </c>
      <c r="G12" s="23"/>
      <c r="H12" s="23"/>
      <c r="I12" s="23"/>
      <c r="J12" s="23">
        <f>J8*J10</f>
        <v>282.44841068207347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0.78149077502801478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419.94859814276361</v>
      </c>
      <c r="C26" s="247">
        <f>B26*'GWP N2O_CH4'!B5</f>
        <v>8818.9205609980363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204.90354048254807</v>
      </c>
      <c r="C27" s="247">
        <f>B27*'GWP N2O_CH4'!B5</f>
        <v>4302.9743501335097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6.3557183611080186</v>
      </c>
      <c r="C28" s="247">
        <f>B28*'GWP N2O_CH4'!B4</f>
        <v>1970.2726919434858</v>
      </c>
      <c r="D28" s="50"/>
    </row>
    <row r="29" spans="1:4">
      <c r="A29" s="41" t="s">
        <v>277</v>
      </c>
      <c r="B29" s="247">
        <f>B34*'ha_N2O bodem landbouw'!B4</f>
        <v>23.599044750118722</v>
      </c>
      <c r="C29" s="247">
        <f>B29*'GWP N2O_CH4'!B4</f>
        <v>7315.7038725368038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5.3852206860509309E-3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2.4678813004867182E-4</v>
      </c>
      <c r="C5" s="463" t="s">
        <v>211</v>
      </c>
      <c r="D5" s="448">
        <f>SUM(D6:D11)</f>
        <v>9.4386379663446225E-4</v>
      </c>
      <c r="E5" s="448">
        <f>SUM(E6:E11)</f>
        <v>1.3774710340744289E-3</v>
      </c>
      <c r="F5" s="461" t="s">
        <v>211</v>
      </c>
      <c r="G5" s="448">
        <f>SUM(G6:G11)</f>
        <v>0.60457186000831165</v>
      </c>
      <c r="H5" s="448">
        <f>SUM(H6:H11)</f>
        <v>0.1079090545560232</v>
      </c>
      <c r="I5" s="463" t="s">
        <v>211</v>
      </c>
      <c r="J5" s="463" t="s">
        <v>211</v>
      </c>
      <c r="K5" s="463" t="s">
        <v>211</v>
      </c>
      <c r="L5" s="463" t="s">
        <v>211</v>
      </c>
      <c r="M5" s="448">
        <f>SUM(M6:M11)</f>
        <v>3.8525388575735849E-2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4.2319205155594396E-5</v>
      </c>
      <c r="C6" s="449"/>
      <c r="D6" s="962">
        <f>vkm_2011_GW_PW*SUMIFS(TableVerdeelsleutelVkm[CNG],TableVerdeelsleutelVkm[Voertuigtype],"Lichte voertuigen")*SUMIFS(TableECFTransport[EnergieConsumptieFactor (PJ per km)],TableECFTransport[Index],CONCATENATE($A6,"_CNG_CNG"))</f>
        <v>1.269333264523766E-4</v>
      </c>
      <c r="E6" s="962">
        <f>vkm_2011_GW_PW*SUMIFS(TableVerdeelsleutelVkm[LPG],TableVerdeelsleutelVkm[Voertuigtype],"Lichte voertuigen")*SUMIFS(TableECFTransport[EnergieConsumptieFactor (PJ per km)],TableECFTransport[Index],CONCATENATE($A6,"_LPG_LPG"))</f>
        <v>1.7340915700772431E-4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4.4835658802888374E-2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1.443468016279433E-2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3.0479214235133107E-3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3.8603860680854966E-2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1.1763614410772413E-5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2.2558814340462815E-3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7.9892803607898555E-5</v>
      </c>
      <c r="C8" s="449"/>
      <c r="D8" s="451">
        <f>vkm_2011_NGW_PW*SUMIFS(TableVerdeelsleutelVkm[CNG],TableVerdeelsleutelVkm[Voertuigtype],"Lichte voertuigen")*SUMIFS(TableECFTransport[EnergieConsumptieFactor (PJ per km)],TableECFTransport[Index],CONCATENATE($A8,"_CNG_CNG"))</f>
        <v>4.2606936995215588E-4</v>
      </c>
      <c r="E8" s="451">
        <f>vkm_2011_NGW_PW*SUMIFS(TableVerdeelsleutelVkm[LPG],TableVerdeelsleutelVkm[Voertuigtype],"Lichte voertuigen")*SUMIFS(TableECFTransport[EnergieConsumptieFactor (PJ per km)],TableECFTransport[Index],CONCATENATE($A8,"_LPG_LPG"))</f>
        <v>5.390646860084792E-4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0.12988500502726016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4.7084743493151608E-2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8.9858875934444877E-3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3.9935920310202516E-2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1.1456558840528132E-5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2.333701421743471E-3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1.2457612128517886E-4</v>
      </c>
      <c r="C10" s="449"/>
      <c r="D10" s="451">
        <f>vkm_2011_SW_PW*SUMIFS(TableVerdeelsleutelVkm[CNG],TableVerdeelsleutelVkm[Voertuigtype],"Lichte voertuigen")*SUMIFS(TableECFTransport[EnergieConsumptieFactor (PJ per km)],TableECFTransport[Index],CONCATENATE($A10,"_CNG_CNG"))</f>
        <v>3.9086110022992982E-4</v>
      </c>
      <c r="E10" s="451">
        <f>vkm_2011_SW_PW*SUMIFS(TableVerdeelsleutelVkm[LPG],TableVerdeelsleutelVkm[Voertuigtype],"Lichte voertuigen")*SUMIFS(TableECFTransport[EnergieConsumptieFactor (PJ per km)],TableECFTransport[Index],CONCATENATE($A10,"_LPG_LPG"))</f>
        <v>6.649971910582253E-4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0.15328335922145225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4.6301245442847125E-2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1.03297516272102E-2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0.1980280559656534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6.5165283978841626E-5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1.1572245075778092E-2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68.552258346853279</v>
      </c>
      <c r="C14" s="21"/>
      <c r="D14" s="21">
        <f t="shared" ref="D14:M14" si="0">((D5)*10^9/3600)+D12</f>
        <v>262.18438795401727</v>
      </c>
      <c r="E14" s="21">
        <f t="shared" si="0"/>
        <v>382.63084279845248</v>
      </c>
      <c r="F14" s="21"/>
      <c r="G14" s="21">
        <f t="shared" si="0"/>
        <v>167936.62778008656</v>
      </c>
      <c r="H14" s="21">
        <f t="shared" si="0"/>
        <v>29974.737376673114</v>
      </c>
      <c r="I14" s="21"/>
      <c r="J14" s="21"/>
      <c r="K14" s="21"/>
      <c r="L14" s="21"/>
      <c r="M14" s="21">
        <f t="shared" si="0"/>
        <v>10701.496826593293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0.15944033139506755</v>
      </c>
      <c r="C16" s="56">
        <f ca="1">'EF ele_warmte'!B22</f>
        <v>0.23764705882352954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10.929994788702572</v>
      </c>
      <c r="C18" s="23"/>
      <c r="D18" s="23">
        <f t="shared" ref="D18:M18" si="1">D14*D16</f>
        <v>52.961246366711492</v>
      </c>
      <c r="E18" s="23">
        <f t="shared" si="1"/>
        <v>86.857201315248716</v>
      </c>
      <c r="F18" s="23"/>
      <c r="G18" s="23">
        <f t="shared" si="1"/>
        <v>44839.079617283118</v>
      </c>
      <c r="H18" s="23">
        <f t="shared" si="1"/>
        <v>7463.7096067916054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6.5716655722669109E-3</v>
      </c>
      <c r="H50" s="321">
        <f t="shared" si="2"/>
        <v>0</v>
      </c>
      <c r="I50" s="321">
        <f t="shared" si="2"/>
        <v>0</v>
      </c>
      <c r="J50" s="321">
        <f t="shared" si="2"/>
        <v>0</v>
      </c>
      <c r="K50" s="321">
        <f t="shared" si="2"/>
        <v>0</v>
      </c>
      <c r="L50" s="321">
        <f t="shared" si="2"/>
        <v>0</v>
      </c>
      <c r="M50" s="321">
        <f t="shared" si="2"/>
        <v>3.7324159338511796E-4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6.5716655722669109E-3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3.7324159338511796E-4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1825.4626589630309</v>
      </c>
      <c r="H54" s="21">
        <f t="shared" si="3"/>
        <v>0</v>
      </c>
      <c r="I54" s="21">
        <f t="shared" si="3"/>
        <v>0</v>
      </c>
      <c r="J54" s="21">
        <f t="shared" si="3"/>
        <v>0</v>
      </c>
      <c r="K54" s="21">
        <f t="shared" si="3"/>
        <v>0</v>
      </c>
      <c r="L54" s="21">
        <f t="shared" si="3"/>
        <v>0</v>
      </c>
      <c r="M54" s="21">
        <f t="shared" si="3"/>
        <v>103.67822038475498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0.15944033139506755</v>
      </c>
      <c r="C56" s="56">
        <f ca="1">'EF ele_warmte'!B22</f>
        <v>0.23764705882352954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487.39852994312929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10592.474311393187</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8044.1725765286055</v>
      </c>
      <c r="C6" s="1263"/>
      <c r="D6" s="1248"/>
      <c r="E6" s="1248"/>
      <c r="F6" s="1266"/>
      <c r="G6" s="1269"/>
      <c r="H6" s="1260"/>
      <c r="I6" s="1248"/>
      <c r="J6" s="1248"/>
      <c r="K6" s="1248"/>
      <c r="L6" s="1252"/>
      <c r="M6" s="575"/>
      <c r="N6" s="1226"/>
      <c r="O6" s="1227"/>
      <c r="Q6" s="573"/>
      <c r="R6" s="1214"/>
      <c r="S6" s="1214"/>
    </row>
    <row r="7" spans="1:19" s="563" customFormat="1">
      <c r="A7" s="576" t="s">
        <v>252</v>
      </c>
      <c r="B7" s="577">
        <f>N57</f>
        <v>30350.25</v>
      </c>
      <c r="C7" s="578">
        <f>B100</f>
        <v>35706.176470588238</v>
      </c>
      <c r="D7" s="579"/>
      <c r="E7" s="579">
        <f>E100</f>
        <v>0</v>
      </c>
      <c r="F7" s="580"/>
      <c r="G7" s="581"/>
      <c r="H7" s="579">
        <f>I100</f>
        <v>0</v>
      </c>
      <c r="I7" s="579">
        <f>G100+F100</f>
        <v>0</v>
      </c>
      <c r="J7" s="579">
        <f>H100+D100+C100</f>
        <v>0</v>
      </c>
      <c r="K7" s="579"/>
      <c r="L7" s="582"/>
      <c r="M7" s="583">
        <f>C7*$C$11+D7*$D$11+E7*$E$11+F7*$F$11+G7*$G$11+H7*$H$11+I7*$I$11+J7*$J$11</f>
        <v>7212.6476470588241</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48986.896887921794</v>
      </c>
      <c r="C9" s="594">
        <f t="shared" ref="C9:L9" si="0">SUM(C7:C8)</f>
        <v>35706.176470588238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7212.6476470588241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43357.500000000007</v>
      </c>
      <c r="C16" s="610">
        <f>B101</f>
        <v>51008.823529411784</v>
      </c>
      <c r="D16" s="611"/>
      <c r="E16" s="611">
        <f>E101</f>
        <v>0</v>
      </c>
      <c r="F16" s="612"/>
      <c r="G16" s="613"/>
      <c r="H16" s="610">
        <f>I101</f>
        <v>0</v>
      </c>
      <c r="I16" s="611">
        <f>G101+F101</f>
        <v>0</v>
      </c>
      <c r="J16" s="611">
        <f>H101+D101+C101</f>
        <v>0</v>
      </c>
      <c r="K16" s="611"/>
      <c r="L16" s="614"/>
      <c r="M16" s="615">
        <f>C16*$C$21+E16*$E$21+H16*$H$21+I16*$I$21+J16*$J$21+D16*$D$21+F16*$F$21+G16*$G$21+K16*$K$21+L16*$L$21</f>
        <v>10303.782352941182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43357.500000000007</v>
      </c>
      <c r="C19" s="593">
        <f>SUM(C16:C18)</f>
        <v>51008.823529411784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10303.782352941182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46020</v>
      </c>
      <c r="C27" s="851">
        <v>9170</v>
      </c>
      <c r="D27" s="672" t="s">
        <v>844</v>
      </c>
      <c r="E27" s="671" t="s">
        <v>845</v>
      </c>
      <c r="F27" s="671" t="s">
        <v>846</v>
      </c>
      <c r="G27" s="671" t="s">
        <v>847</v>
      </c>
      <c r="H27" s="671" t="s">
        <v>848</v>
      </c>
      <c r="I27" s="671" t="s">
        <v>845</v>
      </c>
      <c r="J27" s="850">
        <v>40374</v>
      </c>
      <c r="K27" s="850">
        <v>40374</v>
      </c>
      <c r="L27" s="671" t="s">
        <v>849</v>
      </c>
      <c r="M27" s="671">
        <v>1600</v>
      </c>
      <c r="N27" s="671">
        <v>7200</v>
      </c>
      <c r="O27" s="671">
        <v>10285.714285714286</v>
      </c>
      <c r="P27" s="671">
        <v>20571.428571428572</v>
      </c>
      <c r="Q27" s="671">
        <v>0</v>
      </c>
      <c r="R27" s="671">
        <v>0</v>
      </c>
      <c r="S27" s="671">
        <v>0</v>
      </c>
      <c r="T27" s="671">
        <v>0</v>
      </c>
      <c r="U27" s="671">
        <v>0</v>
      </c>
      <c r="V27" s="671">
        <v>0</v>
      </c>
      <c r="W27" s="671">
        <v>0</v>
      </c>
      <c r="X27" s="671">
        <v>10</v>
      </c>
      <c r="Y27" s="671" t="s">
        <v>112</v>
      </c>
      <c r="Z27" s="673" t="s">
        <v>112</v>
      </c>
    </row>
    <row r="28" spans="1:26" s="625" customFormat="1" ht="25.5">
      <c r="A28" s="624"/>
      <c r="B28" s="851">
        <v>46020</v>
      </c>
      <c r="C28" s="851">
        <v>9170</v>
      </c>
      <c r="D28" s="672" t="s">
        <v>850</v>
      </c>
      <c r="E28" s="671" t="s">
        <v>851</v>
      </c>
      <c r="F28" s="671" t="s">
        <v>852</v>
      </c>
      <c r="G28" s="671" t="s">
        <v>847</v>
      </c>
      <c r="H28" s="671" t="s">
        <v>848</v>
      </c>
      <c r="I28" s="671" t="s">
        <v>851</v>
      </c>
      <c r="J28" s="850">
        <v>40590</v>
      </c>
      <c r="K28" s="850">
        <v>40590</v>
      </c>
      <c r="L28" s="671" t="s">
        <v>849</v>
      </c>
      <c r="M28" s="671">
        <v>5120</v>
      </c>
      <c r="N28" s="671">
        <v>23040</v>
      </c>
      <c r="O28" s="671">
        <v>32914.285714285717</v>
      </c>
      <c r="P28" s="671">
        <v>65828.571428571435</v>
      </c>
      <c r="Q28" s="671">
        <v>0</v>
      </c>
      <c r="R28" s="671">
        <v>0</v>
      </c>
      <c r="S28" s="671">
        <v>0</v>
      </c>
      <c r="T28" s="671">
        <v>0</v>
      </c>
      <c r="U28" s="671">
        <v>0</v>
      </c>
      <c r="V28" s="671">
        <v>0</v>
      </c>
      <c r="W28" s="671">
        <v>0</v>
      </c>
      <c r="X28" s="671">
        <v>10</v>
      </c>
      <c r="Y28" s="671" t="s">
        <v>112</v>
      </c>
      <c r="Z28" s="673" t="s">
        <v>112</v>
      </c>
    </row>
    <row r="29" spans="1:26" s="625" customFormat="1" ht="38.25">
      <c r="A29" s="624"/>
      <c r="B29" s="851">
        <v>46020</v>
      </c>
      <c r="C29" s="851">
        <v>9170</v>
      </c>
      <c r="D29" s="672" t="s">
        <v>853</v>
      </c>
      <c r="E29" s="671" t="s">
        <v>854</v>
      </c>
      <c r="F29" s="671" t="s">
        <v>855</v>
      </c>
      <c r="G29" s="671" t="s">
        <v>847</v>
      </c>
      <c r="H29" s="671" t="s">
        <v>848</v>
      </c>
      <c r="I29" s="671" t="s">
        <v>854</v>
      </c>
      <c r="J29" s="850">
        <v>41561</v>
      </c>
      <c r="K29" s="850">
        <v>41565</v>
      </c>
      <c r="L29" s="671" t="s">
        <v>849</v>
      </c>
      <c r="M29" s="671">
        <v>5.5</v>
      </c>
      <c r="N29" s="671">
        <v>24.75</v>
      </c>
      <c r="O29" s="671">
        <v>35.357142857142861</v>
      </c>
      <c r="P29" s="671">
        <v>70.714285714285722</v>
      </c>
      <c r="Q29" s="671">
        <v>0</v>
      </c>
      <c r="R29" s="671">
        <v>0</v>
      </c>
      <c r="S29" s="671">
        <v>0</v>
      </c>
      <c r="T29" s="671">
        <v>0</v>
      </c>
      <c r="U29" s="671">
        <v>0</v>
      </c>
      <c r="V29" s="671">
        <v>0</v>
      </c>
      <c r="W29" s="671">
        <v>0</v>
      </c>
      <c r="X29" s="671">
        <v>1500</v>
      </c>
      <c r="Y29" s="671" t="s">
        <v>51</v>
      </c>
      <c r="Z29" s="673" t="s">
        <v>156</v>
      </c>
    </row>
    <row r="30" spans="1:26" s="625" customFormat="1" ht="38.25">
      <c r="A30" s="624"/>
      <c r="B30" s="851">
        <v>46020</v>
      </c>
      <c r="C30" s="851">
        <v>9170</v>
      </c>
      <c r="D30" s="672" t="s">
        <v>853</v>
      </c>
      <c r="E30" s="671" t="s">
        <v>854</v>
      </c>
      <c r="F30" s="671" t="s">
        <v>856</v>
      </c>
      <c r="G30" s="671" t="s">
        <v>847</v>
      </c>
      <c r="H30" s="671" t="s">
        <v>848</v>
      </c>
      <c r="I30" s="671" t="s">
        <v>857</v>
      </c>
      <c r="J30" s="850">
        <v>41561</v>
      </c>
      <c r="K30" s="850">
        <v>41565</v>
      </c>
      <c r="L30" s="671" t="s">
        <v>849</v>
      </c>
      <c r="M30" s="671">
        <v>10</v>
      </c>
      <c r="N30" s="671">
        <v>45</v>
      </c>
      <c r="O30" s="671">
        <v>64.285714285714292</v>
      </c>
      <c r="P30" s="671">
        <v>128.57142857142858</v>
      </c>
      <c r="Q30" s="671">
        <v>0</v>
      </c>
      <c r="R30" s="671">
        <v>0</v>
      </c>
      <c r="S30" s="671">
        <v>0</v>
      </c>
      <c r="T30" s="671">
        <v>0</v>
      </c>
      <c r="U30" s="671">
        <v>0</v>
      </c>
      <c r="V30" s="671">
        <v>0</v>
      </c>
      <c r="W30" s="671">
        <v>0</v>
      </c>
      <c r="X30" s="671">
        <v>1500</v>
      </c>
      <c r="Y30" s="671" t="s">
        <v>51</v>
      </c>
      <c r="Z30" s="673" t="s">
        <v>156</v>
      </c>
    </row>
    <row r="31" spans="1:26" s="625" customFormat="1" ht="63.75">
      <c r="A31" s="624"/>
      <c r="B31" s="851">
        <v>46020</v>
      </c>
      <c r="C31" s="851">
        <v>9170</v>
      </c>
      <c r="D31" s="672" t="s">
        <v>858</v>
      </c>
      <c r="E31" s="671" t="s">
        <v>859</v>
      </c>
      <c r="F31" s="671" t="s">
        <v>860</v>
      </c>
      <c r="G31" s="671" t="s">
        <v>847</v>
      </c>
      <c r="H31" s="671" t="s">
        <v>848</v>
      </c>
      <c r="I31" s="671" t="s">
        <v>859</v>
      </c>
      <c r="J31" s="850">
        <v>41807</v>
      </c>
      <c r="K31" s="850">
        <v>41807</v>
      </c>
      <c r="L31" s="671" t="s">
        <v>849</v>
      </c>
      <c r="M31" s="671">
        <v>9</v>
      </c>
      <c r="N31" s="671">
        <v>40.5</v>
      </c>
      <c r="O31" s="671">
        <v>57.857142857142861</v>
      </c>
      <c r="P31" s="671">
        <v>115.71428571428572</v>
      </c>
      <c r="Q31" s="671">
        <v>0</v>
      </c>
      <c r="R31" s="671">
        <v>0</v>
      </c>
      <c r="S31" s="671">
        <v>0</v>
      </c>
      <c r="T31" s="671">
        <v>0</v>
      </c>
      <c r="U31" s="671">
        <v>0</v>
      </c>
      <c r="V31" s="671">
        <v>0</v>
      </c>
      <c r="W31" s="671">
        <v>0</v>
      </c>
      <c r="X31" s="671">
        <v>1600</v>
      </c>
      <c r="Y31" s="671" t="s">
        <v>50</v>
      </c>
      <c r="Z31" s="673" t="s">
        <v>156</v>
      </c>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6744.5</v>
      </c>
      <c r="N57" s="629">
        <f>SUM(N27:N56)</f>
        <v>30350.25</v>
      </c>
      <c r="O57" s="629">
        <f t="shared" ref="O57:W57" si="2">SUM(O27:O56)</f>
        <v>43357.500000000007</v>
      </c>
      <c r="P57" s="629">
        <f t="shared" si="2"/>
        <v>86715.000000000015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24.5</v>
      </c>
      <c r="N59" s="629">
        <f ca="1">SUMIF($Z$27:AB56,"tertiair",N27:N56)</f>
        <v>110.25</v>
      </c>
      <c r="O59" s="629">
        <f ca="1">SUMIF($Z$27:AC56,"tertiair",O27:O56)</f>
        <v>157.5</v>
      </c>
      <c r="P59" s="629">
        <f ca="1">SUMIF($Z$27:AD56,"tertiair",P27:P56)</f>
        <v>315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6720</v>
      </c>
      <c r="N60" s="634">
        <f t="shared" ref="N60:W60" si="4">SUMIF($Z$27:$Z$56,"landbouw",N27:N56)</f>
        <v>30240</v>
      </c>
      <c r="O60" s="634">
        <f t="shared" si="4"/>
        <v>43200</v>
      </c>
      <c r="P60" s="634">
        <f t="shared" si="4"/>
        <v>86400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35706.176470588238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51008.823529411784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2019-01-01T21:21:17Z</dcterms:modified>
</cp:coreProperties>
</file>