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I7" i="18" l="1"/>
  <c r="H18" i="14"/>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B22" i="6"/>
  <c r="C10" i="17" s="1"/>
  <c r="C12" s="1"/>
  <c r="D48"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5" i="48"/>
  <c r="Q4"/>
  <c r="N22"/>
  <c r="R11" i="14"/>
  <c r="J21" i="48"/>
  <c r="R10" i="14"/>
  <c r="C18" i="15" l="1"/>
  <c r="C20" s="1"/>
  <c r="D36" i="14" s="1"/>
  <c r="C29" i="20"/>
  <c r="C16" i="22"/>
  <c r="C20" i="16"/>
  <c r="C22" s="1"/>
  <c r="D39" i="14" s="1"/>
  <c r="C17" i="19"/>
  <c r="C19" s="1"/>
  <c r="D35" i="14" s="1"/>
  <c r="C17" i="49"/>
  <c r="C56" i="22"/>
  <c r="C58" s="1"/>
  <c r="D44" i="14" s="1"/>
  <c r="D46"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<sst xmlns="http://schemas.openxmlformats.org/spreadsheetml/2006/main" count="2108" uniqueCount="850">
  <si>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</si>
  <si>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</si>
  <si>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</si>
  <si>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</si>
  <si>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</si>
  <si>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</si>
  <si>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</si>
  <si>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</si>
  <si>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</si>
  <si>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</si>
  <si>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</si>
  <si>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</si>
  <si>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</si>
  <si>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</si>
  <si>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</si>
  <si>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</si>
  <si>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</si>
  <si>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</si>
  <si>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</si>
  <si>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</si>
  <si>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</si>
  <si>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</si>
  <si>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</si>
  <si>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</si>
  <si>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</si>
  <si>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</si>
  <si>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</si>
  <si>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</si>
  <si>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</si>
  <si>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</si>
  <si>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</si>
  <si>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</si>
  <si>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</si>
  <si>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</si>
  <si>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</si>
  <si>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</si>
  <si>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</si>
  <si>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</si>
  <si>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</si>
  <si>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</si>
  <si>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</si>
  <si>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</si>
  <si>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</si>
  <si>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</si>
  <si>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</si>
  <si>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</si>
  <si>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</si>
  <si>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</si>
  <si>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</si>
  <si>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</si>
  <si>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</si>
  <si>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</si>
  <si>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</si>
  <si>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</si>
  <si>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</si>
  <si>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</si>
  <si>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</si>
  <si>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</si>
  <si>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</si>
  <si>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</si>
  <si>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</si>
  <si>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</si>
  <si>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</si>
  <si>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</si>
  <si>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</si>
  <si>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</si>
  <si>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</si>
  <si>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</si>
  <si>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</si>
  <si>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</si>
  <si>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</si>
  <si>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</si>
  <si>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</si>
  <si>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</si>
  <si>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</si>
  <si>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</si>
  <si>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</si>
  <si>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</si>
  <si>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</si>
  <si>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</si>
  <si>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</si>
  <si>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</si>
  <si>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</si>
  <si>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</si>
  <si>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</si>
  <si>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</si>
  <si>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</si>
  <si>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</si>
  <si>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</si>
  <si>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</si>
  <si>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</si>
  <si>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</si>
  <si>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</si>
  <si>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</si>
  <si>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</si>
  <si>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</si>
  <si>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</si>
  <si>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</si>
  <si>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</si>
  <si>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</si>
  <si>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</si>
  <si>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</si>
  <si>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</si>
  <si>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</si>
  <si>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</si>
  <si>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</si>
  <si>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</si>
  <si>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</si>
  <si>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</si>
  <si>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</si>
  <si>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</si>
  <si>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</si>
  <si>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</si>
  <si>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</si>
  <si>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</si>
  <si>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</si>
  <si>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</si>
  <si>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</si>
  <si>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</si>
  <si>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</si>
  <si>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</si>
  <si>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</si>
  <si>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</si>
  <si>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</si>
  <si>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</si>
  <si>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</si>
  <si>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</si>
  <si>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</si>
  <si>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</si>
  <si>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</si>
  <si>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</si>
  <si>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</si>
  <si>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</si>
  <si>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</si>
  <si>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</si>
  <si>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</si>
  <si>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</si>
  <si>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</si>
  <si>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</si>
  <si>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</si>
  <si>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</si>
  <si>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</si>
  <si>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</si>
  <si>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</si>
  <si>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</si>
  <si>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</si>
  <si>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</si>
  <si>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</si>
  <si>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</si>
  <si>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</si>
  <si>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</si>
  <si>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</si>
  <si>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</si>
  <si>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</si>
  <si>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</si>
  <si>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</si>
  <si>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</si>
  <si>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</si>
  <si>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</si>
  <si>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</si>
  <si>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</si>
  <si>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</si>
  <si>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</si>
  <si>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</si>
  <si>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</si>
  <si>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</si>
  <si>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</si>
  <si>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</si>
  <si>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</si>
  <si>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</si>
  <si>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</si>
  <si>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</si>
  <si>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</si>
  <si>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</si>
  <si>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</si>
  <si>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</si>
  <si>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</si>
  <si>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</si>
  <si>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</si>
  <si>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</si>
  <si>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</si>
  <si>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</si>
  <si>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</si>
  <si>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</si>
  <si>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</si>
  <si>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</si>
  <si>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</si>
  <si>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</si>
  <si>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</si>
  <si>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</si>
  <si>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</si>
  <si>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</si>
  <si>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</si>
  <si>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</si>
  <si>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</si>
  <si>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</si>
  <si>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</si>
  <si>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</si>
  <si>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</si>
  <si>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</si>
  <si>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</si>
  <si>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</si>
  <si>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</si>
  <si>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</si>
  <si>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</si>
  <si>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</si>
  <si>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</si>
  <si>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</si>
  <si>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</si>
  <si>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</si>
  <si>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</si>
  <si>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</si>
  <si>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</si>
  <si>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</si>
  <si>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</si>
  <si>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</si>
  <si>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</si>
  <si>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</si>
  <si>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</si>
  <si>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</si>
  <si>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</si>
  <si>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</si>
  <si>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</si>
  <si>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</si>
  <si>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</si>
  <si>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</si>
  <si>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</si>
  <si>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</si>
  <si>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</si>
  <si>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</si>
  <si>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</si>
  <si>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</si>
  <si>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</si>
  <si>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</si>
  <si>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</si>
  <si>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</si>
  <si>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</si>
  <si>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</si>
  <si>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</si>
  <si>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</si>
  <si>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</si>
  <si>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</si>
  <si>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</si>
  <si>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</si>
  <si>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</si>
  <si>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</si>
  <si>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</si>
  <si>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</si>
  <si>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</si>
  <si>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</si>
  <si>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</si>
  <si>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</si>
  <si>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</si>
  <si>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</si>
  <si>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</si>
  <si>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</si>
  <si>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</si>
  <si>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</si>
  <si>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</si>
  <si>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</si>
  <si>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</si>
  <si>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</si>
  <si>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</si>
  <si>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</si>
  <si>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</si>
  <si>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</si>
  <si>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</si>
  <si>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</si>
  <si>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</si>
  <si>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</si>
  <si>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</si>
  <si>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</si>
  <si>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</si>
  <si>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</si>
  <si>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</si>
  <si>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</si>
  <si>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</si>
  <si>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</si>
  <si>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</si>
  <si>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</si>
  <si>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</si>
  <si>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</si>
  <si>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</si>
  <si>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</si>
  <si>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</si>
  <si>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</si>
  <si>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</si>
  <si>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</si>
  <si>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</si>
  <si>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</si>
  <si>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</si>
  <si>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</si>
  <si>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</si>
  <si>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</si>
  <si>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</si>
  <si>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</si>
  <si>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</si>
  <si>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</si>
  <si>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</si>
  <si>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</si>
  <si>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</si>
  <si>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</si>
  <si>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</si>
  <si>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</si>
  <si>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</si>
  <si>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</si>
  <si>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</si>
  <si>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</si>
  <si>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</si>
  <si>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</si>
  <si>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</si>
  <si>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</si>
  <si>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</si>
  <si>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</si>
  <si>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</si>
  <si>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</si>
  <si>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</si>
  <si>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</si>
  <si>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</si>
  <si>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</si>
  <si>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</si>
  <si>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</si>
  <si>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</si>
  <si>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</si>
  <si>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</si>
  <si>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</si>
  <si>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</si>
  <si>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</si>
  <si>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</si>
  <si>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</si>
  <si>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</si>
  <si>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</si>
  <si>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</si>
  <si>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</si>
  <si>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</si>
  <si>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</si>
  <si>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</si>
  <si>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</si>
  <si>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</si>
  <si>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</si>
  <si>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</si>
  <si>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</si>
  <si>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</si>
  <si>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</si>
  <si>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</si>
  <si>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</si>
  <si>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</si>
  <si>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</si>
  <si>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</si>
  <si>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</si>
  <si>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</si>
  <si>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</si>
  <si>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</si>
  <si>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</si>
  <si>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</si>
  <si>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</si>
  <si>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</si>
  <si>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</si>
  <si>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</si>
  <si>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</si>
  <si>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</si>
  <si>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</si>
  <si>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</si>
  <si>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</si>
  <si>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</si>
  <si>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</si>
  <si>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</si>
  <si>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</si>
  <si>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</si>
  <si>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</si>
  <si>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</si>
  <si>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</si>
  <si>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</si>
  <si>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</si>
  <si>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</si>
  <si>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</si>
  <si>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</si>
  <si>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</si>
  <si>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</si>
  <si>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</si>
  <si>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</si>
  <si>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</si>
  <si>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</si>
  <si>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</si>
  <si>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</si>
  <si>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</si>
  <si>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</si>
  <si>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</si>
  <si>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</si>
  <si>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</si>
  <si>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</si>
  <si>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</si>
  <si>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</si>
  <si>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</si>
  <si>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</si>
  <si>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</si>
  <si>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</si>
  <si>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</si>
  <si>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</si>
  <si>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</si>
  <si>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</si>
  <si>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</si>
  <si>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</si>
  <si>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</si>
  <si>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</si>
  <si>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</si>
  <si>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</si>
  <si>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</si>
  <si>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</si>
  <si>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</si>
  <si>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</si>
  <si>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</si>
  <si>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</si>
  <si>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</si>
  <si>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</si>
  <si>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</si>
  <si>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</si>
  <si>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</si>
  <si>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</si>
  <si>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</si>
  <si>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</si>
  <si>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</si>
  <si>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</si>
  <si>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</si>
  <si>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</si>
  <si>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</si>
  <si>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</si>
  <si>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</si>
  <si>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</si>
  <si>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</si>
  <si>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</si>
  <si>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</si>
  <si>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</si>
  <si>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</si>
  <si>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</si>
  <si>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</si>
  <si>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</si>
  <si>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</si>
  <si>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</si>
  <si>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</si>
  <si>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</si>
  <si>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</si>
  <si>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</si>
  <si>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</si>
  <si>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</si>
  <si>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</si>
  <si>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</si>
  <si>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</si>
  <si>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</si>
  <si>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</si>
  <si>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</si>
  <si>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</si>
  <si>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</si>
  <si>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</si>
  <si>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</si>
  <si>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</si>
  <si>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</si>
  <si>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</si>
  <si>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</si>
  <si>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</si>
  <si>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</si>
  <si>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</si>
  <si>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</si>
  <si>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</si>
  <si>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</si>
  <si>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</si>
  <si>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</si>
  <si>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</si>
  <si>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</si>
  <si>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</si>
  <si>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</si>
  <si>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</si>
  <si>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</si>
  <si>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</si>
  <si>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</si>
  <si>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</si>
  <si>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</si>
  <si>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</si>
  <si>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</si>
  <si>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</si>
  <si>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</si>
  <si>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</si>
  <si>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</si>
  <si>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</si>
  <si>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</si>
  <si>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</si>
  <si>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</si>
  <si>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</si>
  <si>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</si>
  <si>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</si>
  <si>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</si>
  <si>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</si>
  <si>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</si>
  <si>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</si>
  <si>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</si>
  <si>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</si>
  <si>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</si>
  <si>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</si>
  <si>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</si>
  <si>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</si>
  <si>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</si>
  <si>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</si>
  <si>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</si>
  <si>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</si>
  <si>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</si>
  <si>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</si>
  <si>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</si>
  <si>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</si>
  <si>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</si>
  <si>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</si>
  <si>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</si>
  <si>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</si>
  <si>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</si>
  <si>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</si>
  <si>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</si>
  <si>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</si>
  <si>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</si>
  <si>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</si>
  <si>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</si>
  <si>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</si>
  <si>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</si>
  <si>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</si>
  <si>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</si>
  <si>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</si>
  <si>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</si>
  <si>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</si>
  <si>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</si>
  <si>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</si>
  <si>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</si>
  <si>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</si>
  <si>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</si>
  <si>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</si>
  <si>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</si>
  <si>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</si>
  <si>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</si>
  <si>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</si>
  <si>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</si>
  <si>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</si>
  <si>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</si>
  <si>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</si>
  <si>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</si>
  <si>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</si>
  <si>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</si>
  <si>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</si>
  <si>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</si>
  <si>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</si>
  <si>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</si>
  <si>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</si>
  <si>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</si>
  <si>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</si>
  <si>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</si>
  <si>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</si>
  <si>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</si>
  <si>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</si>
  <si>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</si>
  <si>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</si>
  <si>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</si>
  <si>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</si>
  <si>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</si>
  <si>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</si>
  <si>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</si>
  <si>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</si>
  <si>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</si>
  <si>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</si>
  <si>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</si>
  <si>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</si>
  <si>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</si>
  <si>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</si>
  <si>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</si>
  <si>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</si>
  <si>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</si>
  <si>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</si>
  <si>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</si>
  <si>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</si>
  <si>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</si>
  <si>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</si>
  <si>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</si>
  <si>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</si>
  <si>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</si>
  <si>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</si>
  <si>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</si>
  <si>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</si>
  <si>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</si>
  <si>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</si>
  <si>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</si>
  <si>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</si>
  <si>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</si>
  <si>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</si>
  <si>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</si>
  <si>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</si>
  <si>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</si>
  <si>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</si>
  <si>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</si>
  <si>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</si>
  <si>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</si>
  <si>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</si>
  <si>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</si>
  <si>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</si>
  <si>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</si>
  <si>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</si>
  <si>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</si>
  <si>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</si>
  <si>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</si>
  <si>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</si>
  <si>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</si>
  <si>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</si>
  <si>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</si>
  <si>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</si>
  <si>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</si>
  <si>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</si>
  <si>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</si>
  <si>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</si>
  <si>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</si>
  <si>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</si>
  <si>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</si>
  <si>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</si>
  <si>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</si>
  <si>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</si>
  <si>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</si>
  <si>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</si>
  <si>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</si>
  <si>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</si>
  <si>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</si>
  <si>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</si>
  <si>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</si>
  <si>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</si>
  <si>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</si>
  <si>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</si>
  <si>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</si>
  <si>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</si>
  <si>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</si>
  <si>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</si>
  <si>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</si>
  <si>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</si>
  <si>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</si>
  <si>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</si>
  <si>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</si>
  <si>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</si>
  <si>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</si>
  <si>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</si>
  <si>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</si>
  <si>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</si>
  <si>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</si>
  <si>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</si>
  <si>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</si>
  <si>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</si>
  <si>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</si>
  <si>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</si>
  <si>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</si>
  <si>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</si>
  <si>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</si>
  <si>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</si>
  <si>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</si>
  <si>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</si>
  <si>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</si>
  <si>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</si>
  <si>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</si>
  <si>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</si>
  <si>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</si>
  <si>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</si>
  <si>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</si>
  <si>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</si>
  <si>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</si>
  <si>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</si>
  <si>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</si>
  <si>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</si>
  <si>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</si>
  <si>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</si>
  <si>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</si>
  <si>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</si>
  <si>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</si>
  <si>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</si>
  <si>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</si>
  <si>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</si>
  <si>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</si>
  <si>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</si>
  <si>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</si>
  <si>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</si>
  <si>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</si>
  <si>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</si>
  <si>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</si>
  <si>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</si>
  <si>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</si>
  <si>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</si>
  <si>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</si>
  <si>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</si>
  <si>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</si>
  <si>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</si>
  <si>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</si>
  <si>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</si>
  <si>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</si>
  <si>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</si>
  <si>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</si>
  <si>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</si>
  <si>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</si>
  <si>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</si>
  <si>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</si>
  <si>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</si>
  <si>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</si>
  <si>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</si>
  <si>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</si>
  <si>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</si>
  <si>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</si>
  <si>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</si>
  <si>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</si>
  <si>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</si>
  <si>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</si>
  <si>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</si>
  <si>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</si>
  <si>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</si>
  <si>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</si>
  <si>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</si>
  <si>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</si>
  <si>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</si>
  <si>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</si>
  <si>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</si>
  <si>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</si>
  <si>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</si>
  <si>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</si>
  <si>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</si>
  <si>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</si>
  <si>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</si>
  <si>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</si>
  <si>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</si>
  <si>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</si>
  <si>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</si>
  <si>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</si>
  <si>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</si>
  <si>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</si>
  <si>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</si>
  <si>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</si>
  <si>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</si>
  <si>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</si>
  <si>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</si>
  <si>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</si>
  <si>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</si>
  <si>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</si>
  <si>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</si>
  <si>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</si>
  <si>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</si>
  <si>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</si>
  <si>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</si>
  <si>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</si>
  <si>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</si>
  <si>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</si>
  <si>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</si>
  <si>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</si>
  <si>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</si>
  <si>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</si>
  <si>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</si>
  <si>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</si>
  <si>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</si>
  <si>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</si>
  <si>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</si>
  <si>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</si>
  <si>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</si>
  <si>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</si>
  <si>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</si>
  <si>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</si>
  <si>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</si>
  <si>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</si>
  <si>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</si>
  <si>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</si>
  <si>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</si>
  <si>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</si>
  <si>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</si>
  <si>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</si>
  <si>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</si>
  <si>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</si>
  <si>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</si>
  <si>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</si>
  <si>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</si>
  <si>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</si>
  <si>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</si>
  <si>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</si>
  <si>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</si>
  <si>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</si>
  <si>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</si>
  <si>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</si>
  <si>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</si>
  <si>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</si>
  <si>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</si>
  <si>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</si>
  <si>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</si>
  <si>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</si>
  <si>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</si>
  <si>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</si>
  <si>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</si>
  <si>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</si>
  <si>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</si>
  <si>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</si>
  <si>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</si>
  <si>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</si>
  <si>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</si>
  <si>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</si>
  <si>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</si>
  <si>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</si>
  <si>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</si>
  <si>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</si>
  <si>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</si>
  <si>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</si>
  <si>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</si>
  <si>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</si>
  <si>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</si>
  <si>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</si>
  <si>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</si>
  <si>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</si>
  <si>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</si>
  <si>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</si>
  <si>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</si>
  <si>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</si>
  <si>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</si>
  <si>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</si>
  <si>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</si>
  <si>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</si>
  <si>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</si>
  <si>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</si>
  <si>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</si>
  <si>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</si>
  <si>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</si>
  <si>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</si>
  <si>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</si>
  <si>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</si>
  <si>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</si>
  <si>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</si>
  <si>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</si>
  <si>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</si>
  <si>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</si>
  <si>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</si>
  <si>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</si>
  <si>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</si>
  <si>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</si>
  <si>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</si>
  <si>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</si>
  <si>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</si>
  <si>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</si>
  <si>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45061</t>
  </si>
  <si>
    <t>WORTEGEM-PETEGEM</t>
  </si>
  <si>
    <t>Eandis (januari 2018); Infrax (juni 2018)</t>
  </si>
  <si>
    <t>MOW (september 2017)</t>
  </si>
  <si>
    <t>referentietaak LNE (2017); Jaarverslag De Lijn (2016)</t>
  </si>
  <si>
    <t>VEA (april 2018)</t>
  </si>
  <si>
    <t>VEA (januari 2017)</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</si>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</sst>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62024.779193548944</c:v>
                </c:pt>
                <c:pt idx="1">
                  <c:v>9840.9047822083958</c:v>
                </c:pt>
                <c:pt idx="2">
                  <c:v>591.59500000000003</c:v>
                </c:pt>
                <c:pt idx="3">
                  <c:v>8213.0484031107917</c:v>
                </c:pt>
                <c:pt idx="4">
                  <c:v>8416.9868269974249</c:v>
                </c:pt>
                <c:pt idx="5">
                  <c:v>35919.011136400848</c:v>
                </c:pt>
                <c:pt idx="6">
                  <c:v>527.52721019529156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62024.779193548944</c:v>
                </c:pt>
                <c:pt idx="1">
                  <c:v>9840.9047822083958</c:v>
                </c:pt>
                <c:pt idx="2">
                  <c:v>591.59500000000003</c:v>
                </c:pt>
                <c:pt idx="3">
                  <c:v>8213.0484031107917</c:v>
                </c:pt>
                <c:pt idx="4">
                  <c:v>8416.9868269974249</c:v>
                </c:pt>
                <c:pt idx="5">
                  <c:v>35919.011136400848</c:v>
                </c:pt>
                <c:pt idx="6">
                  <c:v>527.52721019529156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12719.522374866296</c:v>
                </c:pt>
                <c:pt idx="1">
                  <c:v>1899.1734891121555</c:v>
                </c:pt>
                <c:pt idx="2">
                  <c:v>113.10201249908648</c:v>
                </c:pt>
                <c:pt idx="3">
                  <c:v>2065.589043256542</c:v>
                </c:pt>
                <c:pt idx="4">
                  <c:v>1577.0967691242279</c:v>
                </c:pt>
                <c:pt idx="5">
                  <c:v>8974.3674271029722</c:v>
                </c:pt>
                <c:pt idx="6">
                  <c:v>133.28004683676207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12719.522374866296</c:v>
                </c:pt>
                <c:pt idx="1">
                  <c:v>1899.1734891121555</c:v>
                </c:pt>
                <c:pt idx="2">
                  <c:v>113.10201249908648</c:v>
                </c:pt>
                <c:pt idx="3">
                  <c:v>2065.589043256542</c:v>
                </c:pt>
                <c:pt idx="4">
                  <c:v>1577.0967691242279</c:v>
                </c:pt>
                <c:pt idx="5">
                  <c:v>8974.3674271029722</c:v>
                </c:pt>
                <c:pt idx="6">
                  <c:v>133.28004683676207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45061</v>
      </c>
      <c r="B6" s="415"/>
      <c r="C6" s="416"/>
    </row>
    <row r="7" spans="1:7" s="413" customFormat="1" ht="15.75" customHeight="1">
      <c r="A7" s="417" t="str">
        <f>txtMunicipality</f>
        <v>WORTEGEM-PETEGEM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6957.3068683029423</v>
      </c>
      <c r="D10" s="718">
        <f ca="1">tertiair!C16</f>
        <v>0</v>
      </c>
      <c r="E10" s="718">
        <f ca="1">tertiair!D16</f>
        <v>1856.2641047487436</v>
      </c>
      <c r="F10" s="718">
        <f>tertiair!E16</f>
        <v>84.402765193856965</v>
      </c>
      <c r="G10" s="718">
        <f ca="1">tertiair!F16</f>
        <v>1078.7962396761736</v>
      </c>
      <c r="H10" s="718">
        <f>tertiair!G16</f>
        <v>0</v>
      </c>
      <c r="I10" s="718">
        <f>tertiair!H16</f>
        <v>0</v>
      </c>
      <c r="J10" s="718">
        <f>tertiair!I16</f>
        <v>0</v>
      </c>
      <c r="K10" s="718">
        <f>tertiair!J16</f>
        <v>1.0869947189939697E-2</v>
      </c>
      <c r="L10" s="718">
        <f>tertiair!K16</f>
        <v>0</v>
      </c>
      <c r="M10" s="718">
        <f ca="1">tertiair!L16</f>
        <v>0</v>
      </c>
      <c r="N10" s="718">
        <f>tertiair!M16</f>
        <v>0</v>
      </c>
      <c r="O10" s="718">
        <f ca="1">tertiair!N16</f>
        <v>436.65226767282149</v>
      </c>
      <c r="P10" s="718">
        <f>tertiair!O16</f>
        <v>0</v>
      </c>
      <c r="Q10" s="719">
        <f>tertiair!P16</f>
        <v>19.066666666666666</v>
      </c>
      <c r="R10" s="721">
        <f ca="1">SUM(C10:Q10)</f>
        <v>10432.499782208397</v>
      </c>
      <c r="S10" s="67"/>
    </row>
    <row r="11" spans="1:19" s="474" customFormat="1">
      <c r="A11" s="870" t="s">
        <v>225</v>
      </c>
      <c r="B11" s="875"/>
      <c r="C11" s="718">
        <f>huishoudens!B8</f>
        <v>12012.490681984065</v>
      </c>
      <c r="D11" s="718">
        <f>huishoudens!C8</f>
        <v>0</v>
      </c>
      <c r="E11" s="718">
        <f>huishoudens!D8</f>
        <v>10657.120982639883</v>
      </c>
      <c r="F11" s="718">
        <f>huishoudens!E8</f>
        <v>3164.5333544842888</v>
      </c>
      <c r="G11" s="718">
        <f>huishoudens!F8</f>
        <v>24539.506907471918</v>
      </c>
      <c r="H11" s="718">
        <f>huishoudens!G8</f>
        <v>0</v>
      </c>
      <c r="I11" s="718">
        <f>huishoudens!H8</f>
        <v>0</v>
      </c>
      <c r="J11" s="718">
        <f>huishoudens!I8</f>
        <v>0</v>
      </c>
      <c r="K11" s="718">
        <f>huishoudens!J8</f>
        <v>2824.3521901001413</v>
      </c>
      <c r="L11" s="718">
        <f>huishoudens!K8</f>
        <v>0</v>
      </c>
      <c r="M11" s="718">
        <f>huishoudens!L8</f>
        <v>0</v>
      </c>
      <c r="N11" s="718">
        <f>huishoudens!M8</f>
        <v>0</v>
      </c>
      <c r="O11" s="718">
        <f>huishoudens!N8</f>
        <v>8088.4184102019826</v>
      </c>
      <c r="P11" s="718">
        <f>huishoudens!O8</f>
        <v>223.55666666666667</v>
      </c>
      <c r="Q11" s="719">
        <f>huishoudens!P8</f>
        <v>514.79999999999995</v>
      </c>
      <c r="R11" s="721">
        <f>SUM(C11:Q11)</f>
        <v>62024.779193548944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4083.1608313382699</v>
      </c>
      <c r="D13" s="718">
        <f>industrie!C18</f>
        <v>0</v>
      </c>
      <c r="E13" s="718">
        <f>industrie!D18</f>
        <v>519.00906040738039</v>
      </c>
      <c r="F13" s="718">
        <f>industrie!E18</f>
        <v>689.58189131596646</v>
      </c>
      <c r="G13" s="718">
        <f>industrie!F18</f>
        <v>1994.0194259779353</v>
      </c>
      <c r="H13" s="718">
        <f>industrie!G18</f>
        <v>0</v>
      </c>
      <c r="I13" s="718">
        <f>industrie!H18</f>
        <v>0</v>
      </c>
      <c r="J13" s="718">
        <f>industrie!I18</f>
        <v>0</v>
      </c>
      <c r="K13" s="718">
        <f>industrie!J18</f>
        <v>7.609883188749353</v>
      </c>
      <c r="L13" s="718">
        <f>industrie!K18</f>
        <v>0</v>
      </c>
      <c r="M13" s="718">
        <f>industrie!L18</f>
        <v>0</v>
      </c>
      <c r="N13" s="718">
        <f>industrie!M18</f>
        <v>0</v>
      </c>
      <c r="O13" s="718">
        <f>industrie!N18</f>
        <v>1123.6057347691226</v>
      </c>
      <c r="P13" s="718">
        <f>industrie!O18</f>
        <v>0</v>
      </c>
      <c r="Q13" s="719">
        <f>industrie!P18</f>
        <v>0</v>
      </c>
      <c r="R13" s="721">
        <f>SUM(C13:Q13)</f>
        <v>8416.9868269974249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23052.958381625278</v>
      </c>
      <c r="D15" s="723">
        <f t="shared" ref="D15:Q15" ca="1" si="0">SUM(D9:D14)</f>
        <v>0</v>
      </c>
      <c r="E15" s="723">
        <f t="shared" ca="1" si="0"/>
        <v>13032.394147796007</v>
      </c>
      <c r="F15" s="723">
        <f t="shared" si="0"/>
        <v>3938.518010994112</v>
      </c>
      <c r="G15" s="723">
        <f t="shared" ca="1" si="0"/>
        <v>27612.322573126025</v>
      </c>
      <c r="H15" s="723">
        <f t="shared" si="0"/>
        <v>0</v>
      </c>
      <c r="I15" s="723">
        <f t="shared" si="0"/>
        <v>0</v>
      </c>
      <c r="J15" s="723">
        <f t="shared" si="0"/>
        <v>0</v>
      </c>
      <c r="K15" s="723">
        <f t="shared" si="0"/>
        <v>2831.9729432360805</v>
      </c>
      <c r="L15" s="723">
        <f t="shared" si="0"/>
        <v>0</v>
      </c>
      <c r="M15" s="723">
        <f t="shared" ca="1" si="0"/>
        <v>0</v>
      </c>
      <c r="N15" s="723">
        <f t="shared" si="0"/>
        <v>0</v>
      </c>
      <c r="O15" s="723">
        <f t="shared" ca="1" si="0"/>
        <v>9648.6764126439266</v>
      </c>
      <c r="P15" s="723">
        <f t="shared" si="0"/>
        <v>223.55666666666667</v>
      </c>
      <c r="Q15" s="724">
        <f t="shared" si="0"/>
        <v>533.86666666666667</v>
      </c>
      <c r="R15" s="725">
        <f ca="1">SUM(R9:R14)</f>
        <v>80874.265802754759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499.1762053811313</v>
      </c>
      <c r="I18" s="718">
        <f>transport!H54</f>
        <v>0</v>
      </c>
      <c r="J18" s="718">
        <f>transport!I54</f>
        <v>0</v>
      </c>
      <c r="K18" s="718">
        <f>transport!J54</f>
        <v>0</v>
      </c>
      <c r="L18" s="718">
        <f>transport!K54</f>
        <v>0</v>
      </c>
      <c r="M18" s="718">
        <f>transport!L54</f>
        <v>0</v>
      </c>
      <c r="N18" s="718">
        <f>transport!M54</f>
        <v>28.351004814160241</v>
      </c>
      <c r="O18" s="718">
        <f>transport!N54</f>
        <v>0</v>
      </c>
      <c r="P18" s="718">
        <f>transport!O54</f>
        <v>0</v>
      </c>
      <c r="Q18" s="719">
        <f>transport!P54</f>
        <v>0</v>
      </c>
      <c r="R18" s="721">
        <f>SUM(C18:Q18)</f>
        <v>527.52721019529156</v>
      </c>
      <c r="S18" s="67"/>
    </row>
    <row r="19" spans="1:19" s="474" customFormat="1" ht="15" thickBot="1">
      <c r="A19" s="870" t="s">
        <v>307</v>
      </c>
      <c r="B19" s="875"/>
      <c r="C19" s="727">
        <f>transport!B14</f>
        <v>15.249822312042442</v>
      </c>
      <c r="D19" s="727">
        <f>transport!C14</f>
        <v>0</v>
      </c>
      <c r="E19" s="727">
        <f>transport!D14</f>
        <v>66.915564208756194</v>
      </c>
      <c r="F19" s="727">
        <f>transport!E14</f>
        <v>86.531654757969434</v>
      </c>
      <c r="G19" s="727">
        <f>transport!F14</f>
        <v>0</v>
      </c>
      <c r="H19" s="727">
        <f>transport!G14</f>
        <v>26523.588741688145</v>
      </c>
      <c r="I19" s="727">
        <f>transport!H14</f>
        <v>7455.7996777025392</v>
      </c>
      <c r="J19" s="727">
        <f>transport!I14</f>
        <v>0</v>
      </c>
      <c r="K19" s="727">
        <f>transport!J14</f>
        <v>0</v>
      </c>
      <c r="L19" s="727">
        <f>transport!K14</f>
        <v>0</v>
      </c>
      <c r="M19" s="727">
        <f>transport!L14</f>
        <v>0</v>
      </c>
      <c r="N19" s="727">
        <f>transport!M14</f>
        <v>1770.9256757314022</v>
      </c>
      <c r="O19" s="727">
        <f>transport!N14</f>
        <v>0</v>
      </c>
      <c r="P19" s="727">
        <f>transport!O14</f>
        <v>0</v>
      </c>
      <c r="Q19" s="728">
        <f>transport!P14</f>
        <v>0</v>
      </c>
      <c r="R19" s="729">
        <f>SUM(C19:Q19)</f>
        <v>35919.011136400848</v>
      </c>
      <c r="S19" s="67"/>
    </row>
    <row r="20" spans="1:19" s="474" customFormat="1" ht="15.75" thickBot="1">
      <c r="A20" s="730" t="s">
        <v>230</v>
      </c>
      <c r="B20" s="878"/>
      <c r="C20" s="873">
        <f>SUM(C17:C19)</f>
        <v>15.249822312042442</v>
      </c>
      <c r="D20" s="731">
        <f t="shared" ref="D20:R20" si="1">SUM(D17:D19)</f>
        <v>0</v>
      </c>
      <c r="E20" s="731">
        <f t="shared" si="1"/>
        <v>66.915564208756194</v>
      </c>
      <c r="F20" s="731">
        <f t="shared" si="1"/>
        <v>86.531654757969434</v>
      </c>
      <c r="G20" s="731">
        <f t="shared" si="1"/>
        <v>0</v>
      </c>
      <c r="H20" s="731">
        <f t="shared" si="1"/>
        <v>27022.764947069278</v>
      </c>
      <c r="I20" s="731">
        <f t="shared" si="1"/>
        <v>7455.7996777025392</v>
      </c>
      <c r="J20" s="731">
        <f t="shared" si="1"/>
        <v>0</v>
      </c>
      <c r="K20" s="731">
        <f t="shared" si="1"/>
        <v>0</v>
      </c>
      <c r="L20" s="731">
        <f t="shared" si="1"/>
        <v>0</v>
      </c>
      <c r="M20" s="731">
        <f t="shared" si="1"/>
        <v>0</v>
      </c>
      <c r="N20" s="731">
        <f t="shared" si="1"/>
        <v>1799.2766805455624</v>
      </c>
      <c r="O20" s="731">
        <f t="shared" si="1"/>
        <v>0</v>
      </c>
      <c r="P20" s="731">
        <f t="shared" si="1"/>
        <v>0</v>
      </c>
      <c r="Q20" s="732">
        <f t="shared" si="1"/>
        <v>0</v>
      </c>
      <c r="R20" s="733">
        <f t="shared" si="1"/>
        <v>36446.538346596142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1482.5374137280935</v>
      </c>
      <c r="D22" s="727">
        <f>+landbouw!C8</f>
        <v>62.357142857142847</v>
      </c>
      <c r="E22" s="727">
        <f>+landbouw!D8</f>
        <v>233.61895687607884</v>
      </c>
      <c r="F22" s="727">
        <f>+landbouw!E8</f>
        <v>43.576302781380903</v>
      </c>
      <c r="G22" s="727">
        <f>+landbouw!F8</f>
        <v>6176.1707534742982</v>
      </c>
      <c r="H22" s="727">
        <f>+landbouw!G8</f>
        <v>0</v>
      </c>
      <c r="I22" s="727">
        <f>+landbouw!H8</f>
        <v>0</v>
      </c>
      <c r="J22" s="727">
        <f>+landbouw!I8</f>
        <v>0</v>
      </c>
      <c r="K22" s="727">
        <f>+landbouw!J8</f>
        <v>214.7878333937966</v>
      </c>
      <c r="L22" s="727">
        <f>+landbouw!K8</f>
        <v>0</v>
      </c>
      <c r="M22" s="727">
        <f>+landbouw!L8</f>
        <v>0</v>
      </c>
      <c r="N22" s="727">
        <f>+landbouw!M8</f>
        <v>0</v>
      </c>
      <c r="O22" s="727">
        <f>+landbouw!N8</f>
        <v>0</v>
      </c>
      <c r="P22" s="727">
        <f>+landbouw!O8</f>
        <v>0</v>
      </c>
      <c r="Q22" s="728">
        <f>+landbouw!P8</f>
        <v>0</v>
      </c>
      <c r="R22" s="729">
        <f>SUM(C22:Q22)</f>
        <v>8213.0484031107917</v>
      </c>
      <c r="S22" s="67"/>
    </row>
    <row r="23" spans="1:19" s="474" customFormat="1" ht="17.25" thickTop="1" thickBot="1">
      <c r="A23" s="734" t="s">
        <v>116</v>
      </c>
      <c r="B23" s="864"/>
      <c r="C23" s="735">
        <f ca="1">C20+C15+C22</f>
        <v>24550.745617665412</v>
      </c>
      <c r="D23" s="735">
        <f t="shared" ref="D23:Q23" ca="1" si="2">D20+D15+D22</f>
        <v>62.357142857142847</v>
      </c>
      <c r="E23" s="735">
        <f t="shared" ca="1" si="2"/>
        <v>13332.928668880841</v>
      </c>
      <c r="F23" s="735">
        <f t="shared" si="2"/>
        <v>4068.6259685334626</v>
      </c>
      <c r="G23" s="735">
        <f t="shared" ca="1" si="2"/>
        <v>33788.493326600321</v>
      </c>
      <c r="H23" s="735">
        <f t="shared" si="2"/>
        <v>27022.764947069278</v>
      </c>
      <c r="I23" s="735">
        <f t="shared" si="2"/>
        <v>7455.7996777025392</v>
      </c>
      <c r="J23" s="735">
        <f t="shared" si="2"/>
        <v>0</v>
      </c>
      <c r="K23" s="735">
        <f t="shared" si="2"/>
        <v>3046.760776629877</v>
      </c>
      <c r="L23" s="735">
        <f t="shared" si="2"/>
        <v>0</v>
      </c>
      <c r="M23" s="735">
        <f t="shared" ca="1" si="2"/>
        <v>0</v>
      </c>
      <c r="N23" s="735">
        <f t="shared" si="2"/>
        <v>1799.2766805455624</v>
      </c>
      <c r="O23" s="735">
        <f t="shared" ca="1" si="2"/>
        <v>9648.6764126439266</v>
      </c>
      <c r="P23" s="735">
        <f t="shared" si="2"/>
        <v>223.55666666666667</v>
      </c>
      <c r="Q23" s="736">
        <f t="shared" si="2"/>
        <v>533.86666666666667</v>
      </c>
      <c r="R23" s="737">
        <f ca="1">R20+R15+R22</f>
        <v>125533.8525524617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1330.1082807981466</v>
      </c>
      <c r="D36" s="718">
        <f ca="1">tertiair!C20</f>
        <v>0</v>
      </c>
      <c r="E36" s="718">
        <f ca="1">tertiair!D20</f>
        <v>374.96534915924622</v>
      </c>
      <c r="F36" s="718">
        <f>tertiair!E20</f>
        <v>19.15942769900553</v>
      </c>
      <c r="G36" s="718">
        <f ca="1">tertiair!F20</f>
        <v>288.03859599353837</v>
      </c>
      <c r="H36" s="718">
        <f>tertiair!G20</f>
        <v>0</v>
      </c>
      <c r="I36" s="718">
        <f>tertiair!H20</f>
        <v>0</v>
      </c>
      <c r="J36" s="718">
        <f>tertiair!I20</f>
        <v>0</v>
      </c>
      <c r="K36" s="718">
        <f>tertiair!J20</f>
        <v>3.8479613052386525E-3</v>
      </c>
      <c r="L36" s="718">
        <f>tertiair!K20</f>
        <v>0</v>
      </c>
      <c r="M36" s="718">
        <f ca="1">tertiair!L20</f>
        <v>0</v>
      </c>
      <c r="N36" s="718">
        <f>tertiair!M20</f>
        <v>0</v>
      </c>
      <c r="O36" s="718">
        <f ca="1">tertiair!N20</f>
        <v>0</v>
      </c>
      <c r="P36" s="718">
        <f>tertiair!O20</f>
        <v>0</v>
      </c>
      <c r="Q36" s="828">
        <f>tertiair!P20</f>
        <v>0</v>
      </c>
      <c r="R36" s="917">
        <f ca="1">SUM(C36:Q36)</f>
        <v>2012.2755016112419</v>
      </c>
    </row>
    <row r="37" spans="1:18">
      <c r="A37" s="885" t="s">
        <v>225</v>
      </c>
      <c r="B37" s="892"/>
      <c r="C37" s="718">
        <f ca="1">huishoudens!B12</f>
        <v>2296.5658453146521</v>
      </c>
      <c r="D37" s="718">
        <f ca="1">huishoudens!C12</f>
        <v>0</v>
      </c>
      <c r="E37" s="718">
        <f>huishoudens!D12</f>
        <v>2152.7384384932566</v>
      </c>
      <c r="F37" s="718">
        <f>huishoudens!E12</f>
        <v>718.34907146793353</v>
      </c>
      <c r="G37" s="718">
        <f>huishoudens!F12</f>
        <v>6552.0483442950026</v>
      </c>
      <c r="H37" s="718">
        <f>huishoudens!G12</f>
        <v>0</v>
      </c>
      <c r="I37" s="718">
        <f>huishoudens!H12</f>
        <v>0</v>
      </c>
      <c r="J37" s="718">
        <f>huishoudens!I12</f>
        <v>0</v>
      </c>
      <c r="K37" s="718">
        <f>huishoudens!J12</f>
        <v>999.82067529544997</v>
      </c>
      <c r="L37" s="718">
        <f>huishoudens!K12</f>
        <v>0</v>
      </c>
      <c r="M37" s="718">
        <f>huishoudens!L12</f>
        <v>0</v>
      </c>
      <c r="N37" s="718">
        <f>huishoudens!M12</f>
        <v>0</v>
      </c>
      <c r="O37" s="718">
        <f>huishoudens!N12</f>
        <v>0</v>
      </c>
      <c r="P37" s="718">
        <f>huishoudens!O12</f>
        <v>0</v>
      </c>
      <c r="Q37" s="828">
        <f>huishoudens!P12</f>
        <v>0</v>
      </c>
      <c r="R37" s="917">
        <f ca="1">SUM(C37:Q37)</f>
        <v>12719.522374866296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780.62476420828659</v>
      </c>
      <c r="D39" s="718">
        <f ca="1">industrie!C22</f>
        <v>0</v>
      </c>
      <c r="E39" s="718">
        <f>industrie!D22</f>
        <v>104.83983020229084</v>
      </c>
      <c r="F39" s="718">
        <f>industrie!E22</f>
        <v>156.53508932872438</v>
      </c>
      <c r="G39" s="718">
        <f>industrie!F22</f>
        <v>532.40318673610875</v>
      </c>
      <c r="H39" s="718">
        <f>industrie!G22</f>
        <v>0</v>
      </c>
      <c r="I39" s="718">
        <f>industrie!H22</f>
        <v>0</v>
      </c>
      <c r="J39" s="718">
        <f>industrie!I22</f>
        <v>0</v>
      </c>
      <c r="K39" s="718">
        <f>industrie!J22</f>
        <v>2.6938986488172709</v>
      </c>
      <c r="L39" s="718">
        <f>industrie!K22</f>
        <v>0</v>
      </c>
      <c r="M39" s="718">
        <f>industrie!L22</f>
        <v>0</v>
      </c>
      <c r="N39" s="718">
        <f>industrie!M22</f>
        <v>0</v>
      </c>
      <c r="O39" s="718">
        <f>industrie!N22</f>
        <v>0</v>
      </c>
      <c r="P39" s="718">
        <f>industrie!O22</f>
        <v>0</v>
      </c>
      <c r="Q39" s="828">
        <f>industrie!P22</f>
        <v>0</v>
      </c>
      <c r="R39" s="918">
        <f ca="1">SUM(C39:Q39)</f>
        <v>1577.0967691242279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4407.2988903210853</v>
      </c>
      <c r="D41" s="763">
        <f t="shared" ref="D41:R41" ca="1" si="4">SUM(D35:D40)</f>
        <v>0</v>
      </c>
      <c r="E41" s="763">
        <f t="shared" ca="1" si="4"/>
        <v>2632.5436178547934</v>
      </c>
      <c r="F41" s="763">
        <f t="shared" si="4"/>
        <v>894.04358849566347</v>
      </c>
      <c r="G41" s="763">
        <f t="shared" ca="1" si="4"/>
        <v>7372.4901270246501</v>
      </c>
      <c r="H41" s="763">
        <f t="shared" si="4"/>
        <v>0</v>
      </c>
      <c r="I41" s="763">
        <f t="shared" si="4"/>
        <v>0</v>
      </c>
      <c r="J41" s="763">
        <f t="shared" si="4"/>
        <v>0</v>
      </c>
      <c r="K41" s="763">
        <f t="shared" si="4"/>
        <v>1002.5184219055725</v>
      </c>
      <c r="L41" s="763">
        <f t="shared" si="4"/>
        <v>0</v>
      </c>
      <c r="M41" s="763">
        <f t="shared" ca="1" si="4"/>
        <v>0</v>
      </c>
      <c r="N41" s="763">
        <f t="shared" si="4"/>
        <v>0</v>
      </c>
      <c r="O41" s="763">
        <f t="shared" ca="1" si="4"/>
        <v>0</v>
      </c>
      <c r="P41" s="763">
        <f t="shared" si="4"/>
        <v>0</v>
      </c>
      <c r="Q41" s="764">
        <f t="shared" si="4"/>
        <v>0</v>
      </c>
      <c r="R41" s="765">
        <f t="shared" ca="1" si="4"/>
        <v>16308.894645601766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133.28004683676207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133.28004683676207</v>
      </c>
    </row>
    <row r="45" spans="1:18" ht="15" thickBot="1">
      <c r="A45" s="888" t="s">
        <v>307</v>
      </c>
      <c r="B45" s="898"/>
      <c r="C45" s="727">
        <f ca="1">transport!B18</f>
        <v>2.9154837240772351</v>
      </c>
      <c r="D45" s="727">
        <f>transport!C18</f>
        <v>0</v>
      </c>
      <c r="E45" s="727">
        <f>transport!D18</f>
        <v>13.516943970168752</v>
      </c>
      <c r="F45" s="727">
        <f>transport!E18</f>
        <v>19.642685630059063</v>
      </c>
      <c r="G45" s="727">
        <f>transport!F18</f>
        <v>0</v>
      </c>
      <c r="H45" s="727">
        <f>transport!G18</f>
        <v>7081.7981940307354</v>
      </c>
      <c r="I45" s="727">
        <f>transport!H18</f>
        <v>1856.4941197479322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8974.3674271029722</v>
      </c>
    </row>
    <row r="46" spans="1:18" ht="15.75" thickBot="1">
      <c r="A46" s="886" t="s">
        <v>230</v>
      </c>
      <c r="B46" s="899"/>
      <c r="C46" s="763">
        <f t="shared" ref="C46:R46" ca="1" si="5">SUM(C43:C45)</f>
        <v>2.9154837240772351</v>
      </c>
      <c r="D46" s="763">
        <f t="shared" ca="1" si="5"/>
        <v>0</v>
      </c>
      <c r="E46" s="763">
        <f t="shared" si="5"/>
        <v>13.516943970168752</v>
      </c>
      <c r="F46" s="763">
        <f t="shared" si="5"/>
        <v>19.642685630059063</v>
      </c>
      <c r="G46" s="763">
        <f t="shared" si="5"/>
        <v>0</v>
      </c>
      <c r="H46" s="763">
        <f t="shared" si="5"/>
        <v>7215.0782408674977</v>
      </c>
      <c r="I46" s="763">
        <f t="shared" si="5"/>
        <v>1856.4941197479322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9107.6474739397345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283.43370903715913</v>
      </c>
      <c r="D48" s="718">
        <f ca="1">+landbouw!C12</f>
        <v>0</v>
      </c>
      <c r="E48" s="718">
        <f>+landbouw!D12</f>
        <v>47.191029288967925</v>
      </c>
      <c r="F48" s="718">
        <f>+landbouw!E12</f>
        <v>9.8918207313734658</v>
      </c>
      <c r="G48" s="718">
        <f>+landbouw!F12</f>
        <v>1649.0375911776378</v>
      </c>
      <c r="H48" s="718">
        <f>+landbouw!G12</f>
        <v>0</v>
      </c>
      <c r="I48" s="718">
        <f>+landbouw!H12</f>
        <v>0</v>
      </c>
      <c r="J48" s="718">
        <f>+landbouw!I12</f>
        <v>0</v>
      </c>
      <c r="K48" s="718">
        <f>+landbouw!J12</f>
        <v>76.034893021403988</v>
      </c>
      <c r="L48" s="718">
        <f>+landbouw!K12</f>
        <v>0</v>
      </c>
      <c r="M48" s="718">
        <f>+landbouw!L12</f>
        <v>0</v>
      </c>
      <c r="N48" s="718">
        <f>+landbouw!M12</f>
        <v>0</v>
      </c>
      <c r="O48" s="718">
        <f>+landbouw!N12</f>
        <v>0</v>
      </c>
      <c r="P48" s="718">
        <f>+landbouw!O12</f>
        <v>0</v>
      </c>
      <c r="Q48" s="719">
        <f>+landbouw!P12</f>
        <v>0</v>
      </c>
      <c r="R48" s="761">
        <f ca="1">SUM(C48:Q48)</f>
        <v>2065.589043256542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4693.648083082322</v>
      </c>
      <c r="D53" s="773">
        <f t="shared" ref="D53:Q53" ca="1" si="6">D41+D46+D48</f>
        <v>0</v>
      </c>
      <c r="E53" s="773">
        <f t="shared" ca="1" si="6"/>
        <v>2693.2515911139299</v>
      </c>
      <c r="F53" s="773">
        <f t="shared" si="6"/>
        <v>923.57809485709606</v>
      </c>
      <c r="G53" s="773">
        <f t="shared" ca="1" si="6"/>
        <v>9021.5277182022874</v>
      </c>
      <c r="H53" s="773">
        <f t="shared" si="6"/>
        <v>7215.0782408674977</v>
      </c>
      <c r="I53" s="773">
        <f t="shared" si="6"/>
        <v>1856.4941197479322</v>
      </c>
      <c r="J53" s="773">
        <f t="shared" si="6"/>
        <v>0</v>
      </c>
      <c r="K53" s="773">
        <f t="shared" si="6"/>
        <v>1078.5533149269766</v>
      </c>
      <c r="L53" s="773">
        <f t="shared" si="6"/>
        <v>0</v>
      </c>
      <c r="M53" s="773">
        <f t="shared" ca="1" si="6"/>
        <v>0</v>
      </c>
      <c r="N53" s="773">
        <f t="shared" si="6"/>
        <v>0</v>
      </c>
      <c r="O53" s="773">
        <f t="shared" ca="1" si="6"/>
        <v>0</v>
      </c>
      <c r="P53" s="773">
        <f>P41+P46+P48</f>
        <v>0</v>
      </c>
      <c r="Q53" s="774">
        <f t="shared" si="6"/>
        <v>0</v>
      </c>
      <c r="R53" s="775">
        <f ca="1">R41+R46+R48</f>
        <v>27482.131162798043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0.1911814881787143</v>
      </c>
      <c r="D55" s="836">
        <f t="shared" ca="1" si="7"/>
        <v>0</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3268.868997383418</v>
      </c>
      <c r="C66" s="795">
        <f>'lokale energieproductie'!B6</f>
        <v>3268.868997383418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3312.5189973834181</v>
      </c>
      <c r="C69" s="803">
        <f>SUM(C64:C68)</f>
        <v>3312.5189973834181</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12012.490681984065</v>
      </c>
      <c r="C4" s="478">
        <f>huishoudens!C8</f>
        <v>0</v>
      </c>
      <c r="D4" s="478">
        <f>huishoudens!D8</f>
        <v>10657.120982639883</v>
      </c>
      <c r="E4" s="478">
        <f>huishoudens!E8</f>
        <v>3164.5333544842888</v>
      </c>
      <c r="F4" s="478">
        <f>huishoudens!F8</f>
        <v>24539.506907471918</v>
      </c>
      <c r="G4" s="478">
        <f>huishoudens!G8</f>
        <v>0</v>
      </c>
      <c r="H4" s="478">
        <f>huishoudens!H8</f>
        <v>0</v>
      </c>
      <c r="I4" s="478">
        <f>huishoudens!I8</f>
        <v>0</v>
      </c>
      <c r="J4" s="478">
        <f>huishoudens!J8</f>
        <v>2824.3521901001413</v>
      </c>
      <c r="K4" s="478">
        <f>huishoudens!K8</f>
        <v>0</v>
      </c>
      <c r="L4" s="478">
        <f>huishoudens!L8</f>
        <v>0</v>
      </c>
      <c r="M4" s="478">
        <f>huishoudens!M8</f>
        <v>0</v>
      </c>
      <c r="N4" s="478">
        <f>huishoudens!N8</f>
        <v>8088.4184102019826</v>
      </c>
      <c r="O4" s="478">
        <f>huishoudens!O8</f>
        <v>223.55666666666667</v>
      </c>
      <c r="P4" s="479">
        <f>huishoudens!P8</f>
        <v>514.79999999999995</v>
      </c>
      <c r="Q4" s="480">
        <f>SUM(B4:P4)</f>
        <v>62024.779193548944</v>
      </c>
    </row>
    <row r="5" spans="1:17">
      <c r="A5" s="477" t="s">
        <v>156</v>
      </c>
      <c r="B5" s="478">
        <f ca="1">tertiair!B16</f>
        <v>6365.7118683029421</v>
      </c>
      <c r="C5" s="478">
        <f ca="1">tertiair!C16</f>
        <v>0</v>
      </c>
      <c r="D5" s="478">
        <f ca="1">tertiair!D16</f>
        <v>1856.2641047487436</v>
      </c>
      <c r="E5" s="478">
        <f>tertiair!E16</f>
        <v>84.402765193856965</v>
      </c>
      <c r="F5" s="478">
        <f ca="1">tertiair!F16</f>
        <v>1078.7962396761736</v>
      </c>
      <c r="G5" s="478">
        <f>tertiair!G16</f>
        <v>0</v>
      </c>
      <c r="H5" s="478">
        <f>tertiair!H16</f>
        <v>0</v>
      </c>
      <c r="I5" s="478">
        <f>tertiair!I16</f>
        <v>0</v>
      </c>
      <c r="J5" s="478">
        <f>tertiair!J16</f>
        <v>1.0869947189939697E-2</v>
      </c>
      <c r="K5" s="478">
        <f>tertiair!K16</f>
        <v>0</v>
      </c>
      <c r="L5" s="478">
        <f ca="1">tertiair!L16</f>
        <v>0</v>
      </c>
      <c r="M5" s="478">
        <f>tertiair!M16</f>
        <v>0</v>
      </c>
      <c r="N5" s="478">
        <f ca="1">tertiair!N16</f>
        <v>436.65226767282149</v>
      </c>
      <c r="O5" s="478">
        <f>tertiair!O16</f>
        <v>0</v>
      </c>
      <c r="P5" s="479">
        <f>tertiair!P16</f>
        <v>19.066666666666666</v>
      </c>
      <c r="Q5" s="477">
        <f t="shared" ref="Q5:Q13" ca="1" si="0">SUM(B5:P5)</f>
        <v>9840.9047822083958</v>
      </c>
    </row>
    <row r="6" spans="1:17">
      <c r="A6" s="477" t="s">
        <v>194</v>
      </c>
      <c r="B6" s="478">
        <f>'openbare verlichting'!B8</f>
        <v>591.59500000000003</v>
      </c>
      <c r="C6" s="478"/>
      <c r="D6" s="478"/>
      <c r="E6" s="478"/>
      <c r="F6" s="478"/>
      <c r="G6" s="478"/>
      <c r="H6" s="478"/>
      <c r="I6" s="478"/>
      <c r="J6" s="478"/>
      <c r="K6" s="478"/>
      <c r="L6" s="478"/>
      <c r="M6" s="478"/>
      <c r="N6" s="478"/>
      <c r="O6" s="478"/>
      <c r="P6" s="479"/>
      <c r="Q6" s="477">
        <f t="shared" si="0"/>
        <v>591.59500000000003</v>
      </c>
    </row>
    <row r="7" spans="1:17">
      <c r="A7" s="477" t="s">
        <v>112</v>
      </c>
      <c r="B7" s="478">
        <f>landbouw!B8</f>
        <v>1482.5374137280935</v>
      </c>
      <c r="C7" s="478">
        <f>landbouw!C8</f>
        <v>62.357142857142847</v>
      </c>
      <c r="D7" s="478">
        <f>landbouw!D8</f>
        <v>233.61895687607884</v>
      </c>
      <c r="E7" s="478">
        <f>landbouw!E8</f>
        <v>43.576302781380903</v>
      </c>
      <c r="F7" s="478">
        <f>landbouw!F8</f>
        <v>6176.1707534742982</v>
      </c>
      <c r="G7" s="478">
        <f>landbouw!G8</f>
        <v>0</v>
      </c>
      <c r="H7" s="478">
        <f>landbouw!H8</f>
        <v>0</v>
      </c>
      <c r="I7" s="478">
        <f>landbouw!I8</f>
        <v>0</v>
      </c>
      <c r="J7" s="478">
        <f>landbouw!J8</f>
        <v>214.7878333937966</v>
      </c>
      <c r="K7" s="478">
        <f>landbouw!K8</f>
        <v>0</v>
      </c>
      <c r="L7" s="478">
        <f>landbouw!L8</f>
        <v>0</v>
      </c>
      <c r="M7" s="478">
        <f>landbouw!M8</f>
        <v>0</v>
      </c>
      <c r="N7" s="478">
        <f>landbouw!N8</f>
        <v>0</v>
      </c>
      <c r="O7" s="478">
        <f>landbouw!O8</f>
        <v>0</v>
      </c>
      <c r="P7" s="479">
        <f>landbouw!P8</f>
        <v>0</v>
      </c>
      <c r="Q7" s="477">
        <f t="shared" si="0"/>
        <v>8213.0484031107917</v>
      </c>
    </row>
    <row r="8" spans="1:17">
      <c r="A8" s="477" t="s">
        <v>635</v>
      </c>
      <c r="B8" s="478">
        <f>industrie!B18</f>
        <v>4083.1608313382699</v>
      </c>
      <c r="C8" s="478">
        <f>industrie!C18</f>
        <v>0</v>
      </c>
      <c r="D8" s="478">
        <f>industrie!D18</f>
        <v>519.00906040738039</v>
      </c>
      <c r="E8" s="478">
        <f>industrie!E18</f>
        <v>689.58189131596646</v>
      </c>
      <c r="F8" s="478">
        <f>industrie!F18</f>
        <v>1994.0194259779353</v>
      </c>
      <c r="G8" s="478">
        <f>industrie!G18</f>
        <v>0</v>
      </c>
      <c r="H8" s="478">
        <f>industrie!H18</f>
        <v>0</v>
      </c>
      <c r="I8" s="478">
        <f>industrie!I18</f>
        <v>0</v>
      </c>
      <c r="J8" s="478">
        <f>industrie!J18</f>
        <v>7.609883188749353</v>
      </c>
      <c r="K8" s="478">
        <f>industrie!K18</f>
        <v>0</v>
      </c>
      <c r="L8" s="478">
        <f>industrie!L18</f>
        <v>0</v>
      </c>
      <c r="M8" s="478">
        <f>industrie!M18</f>
        <v>0</v>
      </c>
      <c r="N8" s="478">
        <f>industrie!N18</f>
        <v>1123.6057347691226</v>
      </c>
      <c r="O8" s="478">
        <f>industrie!O18</f>
        <v>0</v>
      </c>
      <c r="P8" s="479">
        <f>industrie!P18</f>
        <v>0</v>
      </c>
      <c r="Q8" s="477">
        <f t="shared" si="0"/>
        <v>8416.9868269974249</v>
      </c>
    </row>
    <row r="9" spans="1:17" s="483" customFormat="1">
      <c r="A9" s="481" t="s">
        <v>561</v>
      </c>
      <c r="B9" s="482">
        <f>transport!B14</f>
        <v>15.249822312042442</v>
      </c>
      <c r="C9" s="482"/>
      <c r="D9" s="482">
        <f>transport!D14</f>
        <v>66.915564208756194</v>
      </c>
      <c r="E9" s="482">
        <f>transport!E14</f>
        <v>86.531654757969434</v>
      </c>
      <c r="F9" s="482"/>
      <c r="G9" s="482">
        <f>transport!G14</f>
        <v>26523.588741688145</v>
      </c>
      <c r="H9" s="482">
        <f>transport!H14</f>
        <v>7455.7996777025392</v>
      </c>
      <c r="I9" s="482"/>
      <c r="J9" s="482"/>
      <c r="K9" s="482"/>
      <c r="L9" s="482"/>
      <c r="M9" s="482">
        <f>transport!M14</f>
        <v>1770.9256757314022</v>
      </c>
      <c r="N9" s="482"/>
      <c r="O9" s="482"/>
      <c r="P9" s="482"/>
      <c r="Q9" s="481">
        <f>SUM(B9:P9)</f>
        <v>35919.011136400848</v>
      </c>
    </row>
    <row r="10" spans="1:17">
      <c r="A10" s="477" t="s">
        <v>551</v>
      </c>
      <c r="B10" s="478">
        <f>transport!B54</f>
        <v>0</v>
      </c>
      <c r="C10" s="478"/>
      <c r="D10" s="478">
        <f>transport!D54</f>
        <v>0</v>
      </c>
      <c r="E10" s="478"/>
      <c r="F10" s="478"/>
      <c r="G10" s="478">
        <f>transport!G54</f>
        <v>499.1762053811313</v>
      </c>
      <c r="H10" s="478"/>
      <c r="I10" s="478"/>
      <c r="J10" s="478"/>
      <c r="K10" s="478"/>
      <c r="L10" s="478"/>
      <c r="M10" s="478">
        <f>transport!M54</f>
        <v>28.351004814160241</v>
      </c>
      <c r="N10" s="478"/>
      <c r="O10" s="478"/>
      <c r="P10" s="479"/>
      <c r="Q10" s="477">
        <f t="shared" si="0"/>
        <v>527.52721019529156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24550.745617665416</v>
      </c>
      <c r="C14" s="488">
        <f t="shared" ref="C14:Q14" ca="1" si="1">SUM(C4:C13)</f>
        <v>62.357142857142847</v>
      </c>
      <c r="D14" s="488">
        <f t="shared" ca="1" si="1"/>
        <v>13332.928668880841</v>
      </c>
      <c r="E14" s="488">
        <f t="shared" si="1"/>
        <v>4068.6259685334626</v>
      </c>
      <c r="F14" s="488">
        <f t="shared" ca="1" si="1"/>
        <v>33788.493326600328</v>
      </c>
      <c r="G14" s="488">
        <f t="shared" si="1"/>
        <v>27022.764947069278</v>
      </c>
      <c r="H14" s="488">
        <f t="shared" si="1"/>
        <v>7455.7996777025392</v>
      </c>
      <c r="I14" s="488">
        <f t="shared" si="1"/>
        <v>0</v>
      </c>
      <c r="J14" s="488">
        <f t="shared" si="1"/>
        <v>3046.760776629877</v>
      </c>
      <c r="K14" s="488">
        <f t="shared" si="1"/>
        <v>0</v>
      </c>
      <c r="L14" s="488">
        <f t="shared" ca="1" si="1"/>
        <v>0</v>
      </c>
      <c r="M14" s="488">
        <f t="shared" si="1"/>
        <v>1799.2766805455624</v>
      </c>
      <c r="N14" s="488">
        <f t="shared" ca="1" si="1"/>
        <v>9648.6764126439266</v>
      </c>
      <c r="O14" s="488">
        <f t="shared" si="1"/>
        <v>223.55666666666667</v>
      </c>
      <c r="P14" s="489">
        <f t="shared" si="1"/>
        <v>533.86666666666667</v>
      </c>
      <c r="Q14" s="489">
        <f t="shared" ca="1" si="1"/>
        <v>125533.85255246169</v>
      </c>
    </row>
    <row r="16" spans="1:17">
      <c r="A16" s="491" t="s">
        <v>556</v>
      </c>
      <c r="B16" s="841">
        <f ca="1">huishoudens!B10</f>
        <v>0.19118148817871428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2296.5658453146521</v>
      </c>
      <c r="C21" s="478">
        <f t="shared" ref="C21:C28" ca="1" si="3">C4*$C$16</f>
        <v>0</v>
      </c>
      <c r="D21" s="478">
        <f t="shared" ref="D21:D30" si="4">D4*$D$16</f>
        <v>2152.7384384932566</v>
      </c>
      <c r="E21" s="478">
        <f t="shared" ref="E21:E30" si="5">E4*$E$16</f>
        <v>718.34907146793353</v>
      </c>
      <c r="F21" s="478">
        <f t="shared" ref="F21:F28" si="6">F4*$F$16</f>
        <v>6552.0483442950026</v>
      </c>
      <c r="G21" s="478">
        <f t="shared" ref="G21:G30" si="7">G4*$G$16</f>
        <v>0</v>
      </c>
      <c r="H21" s="478">
        <f t="shared" ref="H21:H30" si="8">H4*$H$16</f>
        <v>0</v>
      </c>
      <c r="I21" s="478">
        <f t="shared" ref="I21:I28" si="9">I4*$I$16</f>
        <v>0</v>
      </c>
      <c r="J21" s="478">
        <f t="shared" ref="J21:J28" si="10">J4*$J$16</f>
        <v>999.82067529544997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12719.522374866296</v>
      </c>
    </row>
    <row r="22" spans="1:17">
      <c r="A22" s="477" t="s">
        <v>156</v>
      </c>
      <c r="B22" s="478">
        <f t="shared" ca="1" si="2"/>
        <v>1217.0062682990601</v>
      </c>
      <c r="C22" s="478">
        <f t="shared" ca="1" si="3"/>
        <v>0</v>
      </c>
      <c r="D22" s="478">
        <f t="shared" ca="1" si="4"/>
        <v>374.96534915924622</v>
      </c>
      <c r="E22" s="478">
        <f t="shared" si="5"/>
        <v>19.15942769900553</v>
      </c>
      <c r="F22" s="478">
        <f t="shared" ca="1" si="6"/>
        <v>288.03859599353837</v>
      </c>
      <c r="G22" s="478">
        <f t="shared" si="7"/>
        <v>0</v>
      </c>
      <c r="H22" s="478">
        <f t="shared" si="8"/>
        <v>0</v>
      </c>
      <c r="I22" s="478">
        <f t="shared" si="9"/>
        <v>0</v>
      </c>
      <c r="J22" s="478">
        <f t="shared" si="10"/>
        <v>3.8479613052386525E-3</v>
      </c>
      <c r="K22" s="478">
        <f t="shared" si="11"/>
        <v>0</v>
      </c>
      <c r="L22" s="478">
        <f t="shared" ca="1" si="12"/>
        <v>0</v>
      </c>
      <c r="M22" s="478">
        <f t="shared" si="13"/>
        <v>0</v>
      </c>
      <c r="N22" s="478">
        <f t="shared" ca="1" si="14"/>
        <v>0</v>
      </c>
      <c r="O22" s="478">
        <f t="shared" si="15"/>
        <v>0</v>
      </c>
      <c r="P22" s="479">
        <f t="shared" si="16"/>
        <v>0</v>
      </c>
      <c r="Q22" s="477">
        <f t="shared" ref="Q22:Q30" ca="1" si="17">SUM(B22:P22)</f>
        <v>1899.1734891121555</v>
      </c>
    </row>
    <row r="23" spans="1:17">
      <c r="A23" s="477" t="s">
        <v>194</v>
      </c>
      <c r="B23" s="478">
        <f t="shared" ca="1" si="2"/>
        <v>113.10201249908648</v>
      </c>
      <c r="C23" s="478"/>
      <c r="D23" s="478"/>
      <c r="E23" s="478"/>
      <c r="F23" s="478"/>
      <c r="G23" s="478"/>
      <c r="H23" s="478"/>
      <c r="I23" s="478"/>
      <c r="J23" s="478"/>
      <c r="K23" s="478"/>
      <c r="L23" s="478"/>
      <c r="M23" s="478"/>
      <c r="N23" s="478"/>
      <c r="O23" s="478"/>
      <c r="P23" s="479"/>
      <c r="Q23" s="477">
        <f t="shared" ca="1" si="17"/>
        <v>113.10201249908648</v>
      </c>
    </row>
    <row r="24" spans="1:17">
      <c r="A24" s="477" t="s">
        <v>112</v>
      </c>
      <c r="B24" s="478">
        <f t="shared" ca="1" si="2"/>
        <v>283.43370903715913</v>
      </c>
      <c r="C24" s="478">
        <f t="shared" ca="1" si="3"/>
        <v>0</v>
      </c>
      <c r="D24" s="478">
        <f t="shared" si="4"/>
        <v>47.191029288967925</v>
      </c>
      <c r="E24" s="478">
        <f t="shared" si="5"/>
        <v>9.8918207313734658</v>
      </c>
      <c r="F24" s="478">
        <f t="shared" si="6"/>
        <v>1649.0375911776378</v>
      </c>
      <c r="G24" s="478">
        <f t="shared" si="7"/>
        <v>0</v>
      </c>
      <c r="H24" s="478">
        <f t="shared" si="8"/>
        <v>0</v>
      </c>
      <c r="I24" s="478">
        <f t="shared" si="9"/>
        <v>0</v>
      </c>
      <c r="J24" s="478">
        <f t="shared" si="10"/>
        <v>76.034893021403988</v>
      </c>
      <c r="K24" s="478">
        <f t="shared" si="11"/>
        <v>0</v>
      </c>
      <c r="L24" s="478">
        <f t="shared" si="12"/>
        <v>0</v>
      </c>
      <c r="M24" s="478">
        <f t="shared" si="13"/>
        <v>0</v>
      </c>
      <c r="N24" s="478">
        <f t="shared" si="14"/>
        <v>0</v>
      </c>
      <c r="O24" s="478">
        <f t="shared" si="15"/>
        <v>0</v>
      </c>
      <c r="P24" s="479">
        <f t="shared" si="16"/>
        <v>0</v>
      </c>
      <c r="Q24" s="477">
        <f t="shared" ca="1" si="17"/>
        <v>2065.589043256542</v>
      </c>
    </row>
    <row r="25" spans="1:17">
      <c r="A25" s="477" t="s">
        <v>635</v>
      </c>
      <c r="B25" s="478">
        <f t="shared" ca="1" si="2"/>
        <v>780.62476420828659</v>
      </c>
      <c r="C25" s="478">
        <f t="shared" ca="1" si="3"/>
        <v>0</v>
      </c>
      <c r="D25" s="478">
        <f t="shared" si="4"/>
        <v>104.83983020229084</v>
      </c>
      <c r="E25" s="478">
        <f t="shared" si="5"/>
        <v>156.53508932872438</v>
      </c>
      <c r="F25" s="478">
        <f t="shared" si="6"/>
        <v>532.40318673610875</v>
      </c>
      <c r="G25" s="478">
        <f t="shared" si="7"/>
        <v>0</v>
      </c>
      <c r="H25" s="478">
        <f t="shared" si="8"/>
        <v>0</v>
      </c>
      <c r="I25" s="478">
        <f t="shared" si="9"/>
        <v>0</v>
      </c>
      <c r="J25" s="478">
        <f t="shared" si="10"/>
        <v>2.6938986488172709</v>
      </c>
      <c r="K25" s="478">
        <f t="shared" si="11"/>
        <v>0</v>
      </c>
      <c r="L25" s="478">
        <f t="shared" si="12"/>
        <v>0</v>
      </c>
      <c r="M25" s="478">
        <f t="shared" si="13"/>
        <v>0</v>
      </c>
      <c r="N25" s="478">
        <f t="shared" si="14"/>
        <v>0</v>
      </c>
      <c r="O25" s="478">
        <f t="shared" si="15"/>
        <v>0</v>
      </c>
      <c r="P25" s="479">
        <f t="shared" si="16"/>
        <v>0</v>
      </c>
      <c r="Q25" s="477">
        <f t="shared" ca="1" si="17"/>
        <v>1577.0967691242279</v>
      </c>
    </row>
    <row r="26" spans="1:17" s="483" customFormat="1">
      <c r="A26" s="481" t="s">
        <v>561</v>
      </c>
      <c r="B26" s="835">
        <f t="shared" ca="1" si="2"/>
        <v>2.9154837240772351</v>
      </c>
      <c r="C26" s="482"/>
      <c r="D26" s="482">
        <f t="shared" si="4"/>
        <v>13.516943970168752</v>
      </c>
      <c r="E26" s="482">
        <f t="shared" si="5"/>
        <v>19.642685630059063</v>
      </c>
      <c r="F26" s="482"/>
      <c r="G26" s="482">
        <f t="shared" si="7"/>
        <v>7081.7981940307354</v>
      </c>
      <c r="H26" s="482">
        <f t="shared" si="8"/>
        <v>1856.4941197479322</v>
      </c>
      <c r="I26" s="482"/>
      <c r="J26" s="482"/>
      <c r="K26" s="482"/>
      <c r="L26" s="482"/>
      <c r="M26" s="482">
        <f t="shared" si="13"/>
        <v>0</v>
      </c>
      <c r="N26" s="482"/>
      <c r="O26" s="482"/>
      <c r="P26" s="493"/>
      <c r="Q26" s="481">
        <f t="shared" ca="1" si="17"/>
        <v>8974.3674271029722</v>
      </c>
    </row>
    <row r="27" spans="1:17">
      <c r="A27" s="477" t="s">
        <v>551</v>
      </c>
      <c r="B27" s="478">
        <f t="shared" ca="1" si="2"/>
        <v>0</v>
      </c>
      <c r="C27" s="478"/>
      <c r="D27" s="482">
        <f t="shared" si="4"/>
        <v>0</v>
      </c>
      <c r="E27" s="478"/>
      <c r="F27" s="478"/>
      <c r="G27" s="478">
        <f t="shared" si="7"/>
        <v>133.28004683676207</v>
      </c>
      <c r="H27" s="478"/>
      <c r="I27" s="478"/>
      <c r="J27" s="478"/>
      <c r="K27" s="478"/>
      <c r="L27" s="478"/>
      <c r="M27" s="478">
        <f t="shared" si="13"/>
        <v>0</v>
      </c>
      <c r="N27" s="478"/>
      <c r="O27" s="478"/>
      <c r="P27" s="479"/>
      <c r="Q27" s="477">
        <f t="shared" ca="1" si="17"/>
        <v>133.28004683676207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4693.648083082322</v>
      </c>
      <c r="C31" s="488">
        <f t="shared" ca="1" si="18"/>
        <v>0</v>
      </c>
      <c r="D31" s="488">
        <f t="shared" ca="1" si="18"/>
        <v>2693.2515911139299</v>
      </c>
      <c r="E31" s="488">
        <f t="shared" si="18"/>
        <v>923.57809485709595</v>
      </c>
      <c r="F31" s="488">
        <f t="shared" ca="1" si="18"/>
        <v>9021.5277182022874</v>
      </c>
      <c r="G31" s="488">
        <f t="shared" si="18"/>
        <v>7215.0782408674977</v>
      </c>
      <c r="H31" s="488">
        <f t="shared" si="18"/>
        <v>1856.4941197479322</v>
      </c>
      <c r="I31" s="488">
        <f t="shared" si="18"/>
        <v>0</v>
      </c>
      <c r="J31" s="488">
        <f t="shared" si="18"/>
        <v>1078.5533149269766</v>
      </c>
      <c r="K31" s="488">
        <f t="shared" si="18"/>
        <v>0</v>
      </c>
      <c r="L31" s="488">
        <f t="shared" ca="1" si="18"/>
        <v>0</v>
      </c>
      <c r="M31" s="488">
        <f t="shared" si="18"/>
        <v>0</v>
      </c>
      <c r="N31" s="488">
        <f t="shared" ca="1" si="18"/>
        <v>0</v>
      </c>
      <c r="O31" s="488">
        <f t="shared" si="18"/>
        <v>0</v>
      </c>
      <c r="P31" s="489">
        <f t="shared" si="18"/>
        <v>0</v>
      </c>
      <c r="Q31" s="489">
        <f t="shared" ca="1" si="18"/>
        <v>27482.131162798043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0.19118148817871428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0.19118148817871428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0.19118148817871428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2513</v>
      </c>
      <c r="C9" s="342">
        <v>2605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2888.37</v>
      </c>
    </row>
    <row r="15" spans="1:6">
      <c r="A15" s="348" t="s">
        <v>184</v>
      </c>
      <c r="B15" s="334">
        <v>32</v>
      </c>
    </row>
    <row r="16" spans="1:6">
      <c r="A16" s="348" t="s">
        <v>6</v>
      </c>
      <c r="B16" s="334">
        <v>920</v>
      </c>
    </row>
    <row r="17" spans="1:6">
      <c r="A17" s="348" t="s">
        <v>7</v>
      </c>
      <c r="B17" s="334">
        <v>970</v>
      </c>
    </row>
    <row r="18" spans="1:6">
      <c r="A18" s="348" t="s">
        <v>8</v>
      </c>
      <c r="B18" s="334">
        <v>1229</v>
      </c>
    </row>
    <row r="19" spans="1:6">
      <c r="A19" s="348" t="s">
        <v>9</v>
      </c>
      <c r="B19" s="334">
        <v>1066</v>
      </c>
    </row>
    <row r="20" spans="1:6">
      <c r="A20" s="348" t="s">
        <v>10</v>
      </c>
      <c r="B20" s="334">
        <v>660</v>
      </c>
    </row>
    <row r="21" spans="1:6">
      <c r="A21" s="348" t="s">
        <v>11</v>
      </c>
      <c r="B21" s="334">
        <v>4370</v>
      </c>
    </row>
    <row r="22" spans="1:6">
      <c r="A22" s="348" t="s">
        <v>12</v>
      </c>
      <c r="B22" s="334">
        <v>14569</v>
      </c>
    </row>
    <row r="23" spans="1:6">
      <c r="A23" s="348" t="s">
        <v>13</v>
      </c>
      <c r="B23" s="334">
        <v>105</v>
      </c>
    </row>
    <row r="24" spans="1:6">
      <c r="A24" s="348" t="s">
        <v>14</v>
      </c>
      <c r="B24" s="334">
        <v>7</v>
      </c>
    </row>
    <row r="25" spans="1:6">
      <c r="A25" s="348" t="s">
        <v>15</v>
      </c>
      <c r="B25" s="334">
        <v>1085</v>
      </c>
    </row>
    <row r="26" spans="1:6">
      <c r="A26" s="348" t="s">
        <v>16</v>
      </c>
      <c r="B26" s="334">
        <v>172</v>
      </c>
    </row>
    <row r="27" spans="1:6">
      <c r="A27" s="348" t="s">
        <v>17</v>
      </c>
      <c r="B27" s="334">
        <v>0</v>
      </c>
    </row>
    <row r="28" spans="1:6" s="356" customFormat="1">
      <c r="A28" s="355" t="s">
        <v>18</v>
      </c>
      <c r="B28" s="355">
        <v>17856</v>
      </c>
    </row>
    <row r="29" spans="1:6">
      <c r="A29" s="355" t="s">
        <v>744</v>
      </c>
      <c r="B29" s="355">
        <v>67</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746</v>
      </c>
      <c r="D39" s="334">
        <v>11814990.0029267</v>
      </c>
      <c r="E39" s="334">
        <v>2248</v>
      </c>
      <c r="F39" s="334">
        <v>10685538.3855085</v>
      </c>
    </row>
    <row r="40" spans="1:6">
      <c r="A40" s="348" t="s">
        <v>30</v>
      </c>
      <c r="B40" s="348" t="s">
        <v>29</v>
      </c>
      <c r="C40" s="334">
        <v>0</v>
      </c>
      <c r="D40" s="334">
        <v>0</v>
      </c>
      <c r="E40" s="334">
        <v>1</v>
      </c>
      <c r="F40" s="334">
        <v>27498.502117469401</v>
      </c>
    </row>
    <row r="41" spans="1:6">
      <c r="A41" s="348" t="s">
        <v>32</v>
      </c>
      <c r="B41" s="348" t="s">
        <v>33</v>
      </c>
      <c r="C41" s="334">
        <v>10</v>
      </c>
      <c r="D41" s="334">
        <v>226413.82837005</v>
      </c>
      <c r="E41" s="334">
        <v>84</v>
      </c>
      <c r="F41" s="334">
        <v>1957483.8453517701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348984.24303502799</v>
      </c>
      <c r="E48" s="334">
        <v>32</v>
      </c>
      <c r="F48" s="334">
        <v>2125676.9859865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5</v>
      </c>
      <c r="D51" s="334">
        <v>70171.415835313295</v>
      </c>
      <c r="E51" s="334">
        <v>102</v>
      </c>
      <c r="F51" s="334">
        <v>1452347.7719158099</v>
      </c>
    </row>
    <row r="52" spans="1:6">
      <c r="A52" s="348" t="s">
        <v>42</v>
      </c>
      <c r="B52" s="348" t="s">
        <v>29</v>
      </c>
      <c r="C52" s="334">
        <v>2</v>
      </c>
      <c r="D52" s="334">
        <v>27761.277868205601</v>
      </c>
      <c r="E52" s="334">
        <v>5</v>
      </c>
      <c r="F52" s="334">
        <v>30189.641812283498</v>
      </c>
    </row>
    <row r="53" spans="1:6">
      <c r="A53" s="348" t="s">
        <v>44</v>
      </c>
      <c r="B53" s="348" t="s">
        <v>45</v>
      </c>
      <c r="C53" s="334">
        <v>13</v>
      </c>
      <c r="D53" s="334">
        <v>161068.367134706</v>
      </c>
      <c r="E53" s="334">
        <v>102</v>
      </c>
      <c r="F53" s="334">
        <v>388057.139522766</v>
      </c>
    </row>
    <row r="54" spans="1:6">
      <c r="A54" s="348" t="s">
        <v>46</v>
      </c>
      <c r="B54" s="348" t="s">
        <v>47</v>
      </c>
      <c r="C54" s="334">
        <v>0</v>
      </c>
      <c r="D54" s="334">
        <v>0</v>
      </c>
      <c r="E54" s="334">
        <v>1</v>
      </c>
      <c r="F54" s="334">
        <v>591595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18</v>
      </c>
      <c r="F57" s="334">
        <v>203257.61718304901</v>
      </c>
    </row>
    <row r="58" spans="1:6">
      <c r="A58" s="348" t="s">
        <v>49</v>
      </c>
      <c r="B58" s="348" t="s">
        <v>51</v>
      </c>
      <c r="C58" s="334">
        <v>5</v>
      </c>
      <c r="D58" s="334">
        <v>143175.12278783901</v>
      </c>
      <c r="E58" s="334">
        <v>12</v>
      </c>
      <c r="F58" s="334">
        <v>157310.013468096</v>
      </c>
    </row>
    <row r="59" spans="1:6">
      <c r="A59" s="348" t="s">
        <v>49</v>
      </c>
      <c r="B59" s="348" t="s">
        <v>52</v>
      </c>
      <c r="C59" s="334">
        <v>0</v>
      </c>
      <c r="D59" s="334">
        <v>0</v>
      </c>
      <c r="E59" s="334">
        <v>58</v>
      </c>
      <c r="F59" s="334">
        <v>1209794.7714768001</v>
      </c>
    </row>
    <row r="60" spans="1:6">
      <c r="A60" s="348" t="s">
        <v>49</v>
      </c>
      <c r="B60" s="348" t="s">
        <v>53</v>
      </c>
      <c r="C60" s="334">
        <v>0</v>
      </c>
      <c r="D60" s="334">
        <v>0</v>
      </c>
      <c r="E60" s="334">
        <v>21</v>
      </c>
      <c r="F60" s="334">
        <v>498854.83076134598</v>
      </c>
    </row>
    <row r="61" spans="1:6">
      <c r="A61" s="348" t="s">
        <v>49</v>
      </c>
      <c r="B61" s="348" t="s">
        <v>54</v>
      </c>
      <c r="C61" s="334">
        <v>17</v>
      </c>
      <c r="D61" s="334">
        <v>828605.28140525299</v>
      </c>
      <c r="E61" s="334">
        <v>122</v>
      </c>
      <c r="F61" s="334">
        <v>1629571.7508761501</v>
      </c>
    </row>
    <row r="62" spans="1:6">
      <c r="A62" s="348" t="s">
        <v>49</v>
      </c>
      <c r="B62" s="348" t="s">
        <v>55</v>
      </c>
      <c r="C62" s="334">
        <v>0</v>
      </c>
      <c r="D62" s="334">
        <v>0</v>
      </c>
      <c r="E62" s="334">
        <v>0</v>
      </c>
      <c r="F62" s="334">
        <v>0</v>
      </c>
    </row>
    <row r="63" spans="1:6">
      <c r="A63" s="348" t="s">
        <v>49</v>
      </c>
      <c r="B63" s="348" t="s">
        <v>29</v>
      </c>
      <c r="C63" s="334">
        <v>40</v>
      </c>
      <c r="D63" s="334">
        <v>1086162.06226893</v>
      </c>
      <c r="E63" s="334">
        <v>82</v>
      </c>
      <c r="F63" s="334">
        <v>2666922.8845374999</v>
      </c>
    </row>
    <row r="64" spans="1:6">
      <c r="A64" s="348" t="s">
        <v>56</v>
      </c>
      <c r="B64" s="348" t="s">
        <v>57</v>
      </c>
      <c r="C64" s="334">
        <v>0</v>
      </c>
      <c r="D64" s="334">
        <v>0</v>
      </c>
      <c r="E64" s="334">
        <v>0</v>
      </c>
      <c r="F64" s="334">
        <v>0</v>
      </c>
    </row>
    <row r="65" spans="1:6">
      <c r="A65" s="348" t="s">
        <v>56</v>
      </c>
      <c r="B65" s="348" t="s">
        <v>29</v>
      </c>
      <c r="C65" s="334">
        <v>1</v>
      </c>
      <c r="D65" s="334">
        <v>24857.375975076899</v>
      </c>
      <c r="E65" s="334">
        <v>1</v>
      </c>
      <c r="F65" s="334">
        <v>2786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227058.35639385699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15698580</v>
      </c>
      <c r="E73" s="476">
        <v>14790371.934057921</v>
      </c>
    </row>
    <row r="74" spans="1:6">
      <c r="A74" s="348" t="s">
        <v>64</v>
      </c>
      <c r="B74" s="348" t="s">
        <v>657</v>
      </c>
      <c r="C74" s="1272" t="s">
        <v>659</v>
      </c>
      <c r="D74" s="476">
        <v>969656.90208083566</v>
      </c>
      <c r="E74" s="476">
        <v>878208.81251850282</v>
      </c>
    </row>
    <row r="75" spans="1:6">
      <c r="A75" s="348" t="s">
        <v>65</v>
      </c>
      <c r="B75" s="348" t="s">
        <v>656</v>
      </c>
      <c r="C75" s="1272" t="s">
        <v>660</v>
      </c>
      <c r="D75" s="476">
        <v>23065258</v>
      </c>
      <c r="E75" s="476">
        <v>20771036.641086049</v>
      </c>
    </row>
    <row r="76" spans="1:6">
      <c r="A76" s="348" t="s">
        <v>65</v>
      </c>
      <c r="B76" s="348" t="s">
        <v>657</v>
      </c>
      <c r="C76" s="1272" t="s">
        <v>661</v>
      </c>
      <c r="D76" s="476">
        <v>808101.90208083566</v>
      </c>
      <c r="E76" s="476">
        <v>739454.91344595037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143074.19583832863</v>
      </c>
      <c r="C83" s="476">
        <v>142524.82466622951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1299.453794358094</v>
      </c>
    </row>
    <row r="92" spans="1:6">
      <c r="A92" s="341" t="s">
        <v>69</v>
      </c>
      <c r="B92" s="342">
        <v>1969.4152030253238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24550.745617665412</v>
      </c>
      <c r="C3" s="43" t="s">
        <v>170</v>
      </c>
      <c r="D3" s="43"/>
      <c r="E3" s="154"/>
      <c r="F3" s="43"/>
      <c r="G3" s="43"/>
      <c r="H3" s="43"/>
      <c r="I3" s="43"/>
      <c r="J3" s="43"/>
      <c r="K3" s="96"/>
    </row>
    <row r="4" spans="1:11">
      <c r="A4" s="383" t="s">
        <v>171</v>
      </c>
      <c r="B4" s="49">
        <f>IF(ISERROR('SEAP template'!B69),0,'SEAP template'!B69)</f>
        <v>3312.5189973834181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0.19118148817871428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0.19118148817871428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113.10201249908648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B46*B57</f>
        <v>3164.5333544842888</v>
      </c>
      <c r="F5" s="17">
        <f>B51*B62</f>
        <v>24539.506907471918</v>
      </c>
      <c r="G5" s="18"/>
      <c r="H5" s="17"/>
      <c r="I5" s="17"/>
      <c r="J5" s="17">
        <f>B50*B61+C50*C61</f>
        <v>2824.3521901001413</v>
      </c>
      <c r="K5" s="17"/>
      <c r="L5" s="17"/>
      <c r="M5" s="17"/>
      <c r="N5" s="17">
        <f>B48*B59+C48*C59</f>
        <v>8088.4184102019826</v>
      </c>
      <c r="O5" s="17">
        <f>B69*B70*B71</f>
        <v>223.55666666666667</v>
      </c>
      <c r="P5" s="17">
        <f>B77*B78*B79/1000-B77*B78*B79/1000/B80</f>
        <v>514.79999999999995</v>
      </c>
    </row>
    <row r="6" spans="1:16">
      <c r="A6" s="16" t="s">
        <v>621</v>
      </c>
      <c r="B6" s="843">
        <f>kWh_PV_kleiner_dan_10kW</f>
        <v>1299.453794358094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12012.490681984065</v>
      </c>
      <c r="C8" s="21">
        <f>C5</f>
        <v>0</v>
      </c>
      <c r="D8" s="21">
        <f>D5</f>
        <v>10657.120982639883</v>
      </c>
      <c r="E8" s="21">
        <f>E5</f>
        <v>3164.5333544842888</v>
      </c>
      <c r="F8" s="21">
        <f>F5</f>
        <v>24539.506907471918</v>
      </c>
      <c r="G8" s="21"/>
      <c r="H8" s="21"/>
      <c r="I8" s="21"/>
      <c r="J8" s="21">
        <f>J5</f>
        <v>2824.3521901001413</v>
      </c>
      <c r="K8" s="21"/>
      <c r="L8" s="21">
        <f>L5</f>
        <v>0</v>
      </c>
      <c r="M8" s="21">
        <f>M5</f>
        <v>0</v>
      </c>
      <c r="N8" s="21">
        <f>N5</f>
        <v>8088.4184102019826</v>
      </c>
      <c r="O8" s="21">
        <f>O5</f>
        <v>223.55666666666667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0.19118148817871428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2296.5658453146521</v>
      </c>
      <c r="C12" s="23">
        <f ca="1">C10*C8</f>
        <v>0</v>
      </c>
      <c r="D12" s="23">
        <f>D8*D10</f>
        <v>2152.7384384932566</v>
      </c>
      <c r="E12" s="23">
        <f>E10*E8</f>
        <v>718.34907146793353</v>
      </c>
      <c r="F12" s="23">
        <f>F10*F8</f>
        <v>6552.0483442950026</v>
      </c>
      <c r="G12" s="23"/>
      <c r="H12" s="23"/>
      <c r="I12" s="23"/>
      <c r="J12" s="23">
        <f>J10*J8</f>
        <v>999.82067529544997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2513</v>
      </c>
      <c r="C28" s="36"/>
      <c r="D28" s="228"/>
    </row>
    <row r="29" spans="1:7" s="15" customFormat="1">
      <c r="A29" s="230" t="s">
        <v>795</v>
      </c>
      <c r="B29" s="37">
        <f>SUM(HH_hh_gas_aantal,HH_rest_gas_aantal)</f>
        <v>746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746</v>
      </c>
      <c r="C32" s="167">
        <f>IF(ISERROR(B32/SUM($B$32,$B$34,$B$35,$B$36,$B$38,$B$39)*100),0,B32/SUM($B$32,$B$34,$B$35,$B$36,$B$38,$B$39)*100)</f>
        <v>30.008045052292843</v>
      </c>
      <c r="D32" s="233"/>
      <c r="G32" s="15"/>
    </row>
    <row r="33" spans="1:7">
      <c r="A33" s="171" t="s">
        <v>72</v>
      </c>
      <c r="B33" s="34" t="s">
        <v>111</v>
      </c>
      <c r="C33" s="167"/>
      <c r="D33" s="233"/>
      <c r="G33" s="15"/>
    </row>
    <row r="34" spans="1:7">
      <c r="A34" s="171" t="s">
        <v>73</v>
      </c>
      <c r="B34" s="33">
        <f>IF((($B$28-$B$32-$B$39-$B$77-$B$38)*C20/100)&lt;0,0,($B$28-$B$32-$B$39-$B$77-$B$38)*C20/100)</f>
        <v>149.45772594752188</v>
      </c>
      <c r="C34" s="167">
        <f>IF(ISERROR(B34/SUM($B$32,$B$34,$B$35,$B$36,$B$38,$B$39)*100),0,B34/SUM($B$32,$B$34,$B$35,$B$36,$B$38,$B$39)*100)</f>
        <v>6.0119761040837441</v>
      </c>
      <c r="D34" s="233"/>
      <c r="G34" s="15"/>
    </row>
    <row r="35" spans="1:7">
      <c r="A35" s="171" t="s">
        <v>74</v>
      </c>
      <c r="B35" s="33">
        <f>IF((($B$28-$B$32-$B$39-$B$77-$B$38)*C21/100)&lt;0,0,($B$28-$B$32-$B$39-$B$77-$B$38)*C21/100)</f>
        <v>450.44897959183675</v>
      </c>
      <c r="C35" s="167">
        <f>IF(ISERROR(B35/SUM($B$32,$B$34,$B$35,$B$36,$B$38,$B$39)*100),0,B35/SUM($B$32,$B$34,$B$35,$B$36,$B$38,$B$39)*100)</f>
        <v>18.119427980363508</v>
      </c>
      <c r="D35" s="233"/>
      <c r="G35" s="15"/>
    </row>
    <row r="36" spans="1:7">
      <c r="A36" s="171" t="s">
        <v>75</v>
      </c>
      <c r="B36" s="33">
        <f>IF((($B$28-$B$32-$B$39-$B$77-$B$38)*C22/100)&lt;0,0,($B$28-$B$32-$B$39-$B$77-$B$38)*C22/100)</f>
        <v>112.0932944606414</v>
      </c>
      <c r="C36" s="167">
        <f>IF(ISERROR(B36/SUM($B$32,$B$34,$B$35,$B$36,$B$38,$B$39)*100),0,B36/SUM($B$32,$B$34,$B$35,$B$36,$B$38,$B$39)*100)</f>
        <v>4.5089820780628083</v>
      </c>
      <c r="D36" s="233"/>
      <c r="G36" s="15"/>
    </row>
    <row r="37" spans="1:7">
      <c r="A37" s="171" t="s">
        <v>76</v>
      </c>
      <c r="B37" s="34" t="s">
        <v>111</v>
      </c>
      <c r="C37" s="167"/>
      <c r="D37" s="173"/>
      <c r="G37" s="15"/>
    </row>
    <row r="38" spans="1:7">
      <c r="A38" s="171" t="s">
        <v>77</v>
      </c>
      <c r="B38" s="33">
        <f>IF((B24-(B29-B18)*0.1)&lt;0,0,B24-(B29-B18)*0.1)</f>
        <v>80.099999999999994</v>
      </c>
      <c r="C38" s="167">
        <f>IF(ISERROR(B38/SUM($B$32,$B$34,$B$35,$B$36,$B$38,$B$39)*100),0,B38/SUM($B$32,$B$34,$B$35,$B$36,$B$38,$B$39)*100)</f>
        <v>3.2220434432823812</v>
      </c>
      <c r="D38" s="234"/>
      <c r="G38" s="15"/>
    </row>
    <row r="39" spans="1:7">
      <c r="A39" s="171" t="s">
        <v>78</v>
      </c>
      <c r="B39" s="33">
        <f>IF((B25-(B29-B18))&lt;0,0,B25-(B29-B18)*0.9)</f>
        <v>947.9</v>
      </c>
      <c r="C39" s="167">
        <f>IF(ISERROR(B39/SUM($B$32,$B$34,$B$35,$B$36,$B$38,$B$39)*100),0,B39/SUM($B$32,$B$34,$B$35,$B$36,$B$38,$B$39)*100)</f>
        <v>38.129525341914722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746</v>
      </c>
      <c r="C44" s="34" t="s">
        <v>111</v>
      </c>
      <c r="D44" s="174"/>
    </row>
    <row r="45" spans="1:7">
      <c r="A45" s="171" t="s">
        <v>72</v>
      </c>
      <c r="B45" s="33" t="str">
        <f t="shared" si="0"/>
        <v>-</v>
      </c>
      <c r="C45" s="34" t="s">
        <v>111</v>
      </c>
      <c r="D45" s="174"/>
    </row>
    <row r="46" spans="1:7">
      <c r="A46" s="171" t="s">
        <v>73</v>
      </c>
      <c r="B46" s="33">
        <f t="shared" si="0"/>
        <v>149.45772594752188</v>
      </c>
      <c r="C46" s="34" t="s">
        <v>111</v>
      </c>
      <c r="D46" s="174"/>
    </row>
    <row r="47" spans="1:7">
      <c r="A47" s="171" t="s">
        <v>74</v>
      </c>
      <c r="B47" s="33">
        <f t="shared" si="0"/>
        <v>450.44897959183675</v>
      </c>
      <c r="C47" s="34" t="s">
        <v>111</v>
      </c>
      <c r="D47" s="174"/>
    </row>
    <row r="48" spans="1:7">
      <c r="A48" s="171" t="s">
        <v>75</v>
      </c>
      <c r="B48" s="33">
        <f t="shared" si="0"/>
        <v>112.0932944606414</v>
      </c>
      <c r="C48" s="33">
        <f>B48*10</f>
        <v>1120.9329446064139</v>
      </c>
      <c r="D48" s="234"/>
    </row>
    <row r="49" spans="1:6">
      <c r="A49" s="171" t="s">
        <v>76</v>
      </c>
      <c r="B49" s="33" t="str">
        <f t="shared" si="0"/>
        <v>-</v>
      </c>
      <c r="C49" s="34" t="s">
        <v>111</v>
      </c>
      <c r="D49" s="234"/>
    </row>
    <row r="50" spans="1:6">
      <c r="A50" s="171" t="s">
        <v>77</v>
      </c>
      <c r="B50" s="33">
        <f t="shared" si="0"/>
        <v>80.099999999999994</v>
      </c>
      <c r="C50" s="33">
        <f>B50*2</f>
        <v>160.19999999999999</v>
      </c>
      <c r="D50" s="234"/>
    </row>
    <row r="51" spans="1:6">
      <c r="A51" s="171" t="s">
        <v>78</v>
      </c>
      <c r="B51" s="33">
        <f t="shared" si="0"/>
        <v>947.9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54</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53</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52</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51</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50</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0.19118148817871428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1217.0062682990601</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1629.5717508761502</v>
      </c>
      <c r="C26" s="39">
        <f>IF(ISERROR(B26*3.6/1000000/'E Balans VL '!Z12*100),0,B26*3.6/1000000/'E Balans VL '!Z12*100)</f>
        <v>3.4446565363351611E-2</v>
      </c>
      <c r="D26" s="237" t="s">
        <v>754</v>
      </c>
      <c r="F26" s="6"/>
    </row>
    <row r="27" spans="1:18">
      <c r="A27" s="231" t="s">
        <v>53</v>
      </c>
      <c r="B27" s="33">
        <f>IF(ISERROR(TER_horeca_ele_kWh/1000),0,TER_horeca_ele_kWh/1000)</f>
        <v>498.85483076134597</v>
      </c>
      <c r="C27" s="39">
        <f>IF(ISERROR(B27*3.6/1000000/'E Balans VL '!Z9*100),0,B27*3.6/1000000/'E Balans VL '!Z9*100)</f>
        <v>3.9324540376229275E-2</v>
      </c>
      <c r="D27" s="237" t="s">
        <v>754</v>
      </c>
      <c r="F27" s="6"/>
    </row>
    <row r="28" spans="1:18">
      <c r="A28" s="171" t="s">
        <v>52</v>
      </c>
      <c r="B28" s="33">
        <f>IF(ISERROR(TER_handel_ele_kWh/1000),0,TER_handel_ele_kWh/1000)</f>
        <v>1209.7947714768002</v>
      </c>
      <c r="C28" s="39">
        <f>IF(ISERROR(B28*3.6/1000000/'E Balans VL '!Z13*100),0,B28*3.6/1000000/'E Balans VL '!Z13*100)</f>
        <v>3.5113132386877043E-2</v>
      </c>
      <c r="D28" s="237" t="s">
        <v>754</v>
      </c>
      <c r="F28" s="6"/>
    </row>
    <row r="29" spans="1:18">
      <c r="A29" s="231" t="s">
        <v>51</v>
      </c>
      <c r="B29" s="33">
        <f>IF(ISERROR(TER_gezond_ele_kWh/1000),0,TER_gezond_ele_kWh/1000)</f>
        <v>157.310013468096</v>
      </c>
      <c r="C29" s="39">
        <f>IF(ISERROR(B29*3.6/1000000/'E Balans VL '!Z10*100),0,B29*3.6/1000000/'E Balans VL '!Z10*100)</f>
        <v>1.6567327516795474E-2</v>
      </c>
      <c r="D29" s="237" t="s">
        <v>754</v>
      </c>
      <c r="F29" s="6"/>
    </row>
    <row r="30" spans="1:18">
      <c r="A30" s="231" t="s">
        <v>50</v>
      </c>
      <c r="B30" s="33">
        <f>IF(ISERROR(TER_ander_ele_kWh/1000),0,TER_ander_ele_kWh/1000)</f>
        <v>203.25761718304901</v>
      </c>
      <c r="C30" s="39">
        <f>IF(ISERROR(B30*3.6/1000000/'E Balans VL '!Z14*100),0,B30*3.6/1000000/'E Balans VL '!Z14*100)</f>
        <v>1.499232599075654E-2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2666.9228845375001</v>
      </c>
      <c r="C32" s="39">
        <f>IF(ISERROR(B32*3.6/1000000/'E Balans VL '!Z8*100),0,B32*3.6/1000000/'E Balans VL '!Z8*100)</f>
        <v>2.1945235359462741E-2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1123.6057347691226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646.78302092625233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476.82271384287026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1123.6057347691226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0.19118148817871428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780.62476420828659</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1957.48384535177</v>
      </c>
      <c r="C31" s="39">
        <f>IF(ISERROR(B31*3.6/1000000/'E Balans VL '!Z19*100),0,B31*3.6/1000000/'E Balans VL '!Z19*100)</f>
        <v>8.8783316404286786E-2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2125.6769859864999</v>
      </c>
      <c r="C37" s="39">
        <f>IF(ISERROR(B37*3.6/1000000/'E Balans VL '!Z15*100),0,B37*3.6/1000000/'E Balans VL '!Z15*100)</f>
        <v>1.6848600693560489E-2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1482.5374137280935</v>
      </c>
      <c r="C5" s="17">
        <f>'Eigen informatie GS &amp; warmtenet'!B60</f>
        <v>0</v>
      </c>
      <c r="D5" s="30">
        <f>IF(ISERROR(SUM(LB_lb_gas_kWh,LB_rest_gas_kWh,onbekend_gas_kWh)/1000),0,SUM(LB_lb_gas_kWh,LB_rest_gas_kWh,onbekend_gas_kWh)/1000)*0.902</f>
        <v>233.61895687607884</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1482.5374137280935</v>
      </c>
      <c r="C8" s="21">
        <f>C5+C6</f>
        <v>62.357142857142847</v>
      </c>
      <c r="D8" s="21">
        <f>MAX((D5+D6),0)</f>
        <v>233.61895687607884</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0.19118148817871428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283.43370903715913</v>
      </c>
      <c r="C12" s="23">
        <f ca="1">C8*C10</f>
        <v>0</v>
      </c>
      <c r="D12" s="23">
        <f>D8*D10</f>
        <v>47.191029288967925</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0.21037671032730129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383.31878256799536</v>
      </c>
      <c r="C26" s="247">
        <f>B26*'GWP N2O_CH4'!B5</f>
        <v>8049.6944339279025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138.13438887168638</v>
      </c>
      <c r="C27" s="247">
        <f>B27*'GWP N2O_CH4'!B5</f>
        <v>2900.8221663054142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7">
        <f>B28*'GWP N2O_CH4'!B4</f>
        <v>1551.0837234054948</v>
      </c>
      <c r="D28" s="50"/>
    </row>
    <row r="29" spans="1:4">
      <c r="A29" s="41" t="s">
        <v>277</v>
      </c>
      <c r="B29" s="247">
        <f>B34*'ha_N2O bodem landbouw'!B4</f>
        <v>18.792429540878054</v>
      </c>
      <c r="C29" s="247">
        <f>B29*'GWP N2O_CH4'!B4</f>
        <v>5825.6531576721964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4.2883676596351195E-3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5.489936032335279E-5</v>
      </c>
      <c r="C5" s="463" t="s">
        <v>211</v>
      </c>
      <c r="D5" s="448">
        <f>SUM(D6:D11)</f>
        <v>2.408960311515223E-4</v>
      </c>
      <c r="E5" s="448">
        <f>SUM(E6:E11)</f>
        <v>3.1151395712868997E-4</v>
      </c>
      <c r="F5" s="461" t="s">
        <v>211</v>
      </c>
      <c r="G5" s="448">
        <f>SUM(G6:G11)</f>
        <v>9.5484919470077326E-2</v>
      </c>
      <c r="H5" s="448">
        <f>SUM(H6:H11)</f>
        <v>2.6840878839729142E-2</v>
      </c>
      <c r="I5" s="463" t="s">
        <v>211</v>
      </c>
      <c r="J5" s="463" t="s">
        <v>211</v>
      </c>
      <c r="K5" s="463" t="s">
        <v>211</v>
      </c>
      <c r="L5" s="463" t="s">
        <v>211</v>
      </c>
      <c r="M5" s="448">
        <f>SUM(M6:M11)</f>
        <v>6.3753324326330475E-3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2.2233144199626973E-5</v>
      </c>
      <c r="C6" s="449"/>
      <c r="D6" s="962">
        <f>vkm_2011_GW_PW*SUMIFS(TableVerdeelsleutelVkm[CNG],TableVerdeelsleutelVkm[Voertuigtype],"Lichte voertuigen")*SUMIFS(TableECFTransport[EnergieConsumptieFactor (PJ per km)],TableECFTransport[Index],CONCATENATE($A6,"_CNG_CNG"))</f>
        <v>6.6686671934832934E-5</v>
      </c>
      <c r="E6" s="962">
        <f>vkm_2011_GW_PW*SUMIFS(TableVerdeelsleutelVkm[LPG],TableVerdeelsleutelVkm[Voertuigtype],"Lichte voertuigen")*SUMIFS(TableECFTransport[EnergieConsumptieFactor (PJ per km)],TableECFTransport[Index],CONCATENATE($A6,"_LPG_LPG"))</f>
        <v>9.1103572931327121E-5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2.3555207707347842E-2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7.5835149633588072E-3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1.6012795199946128E-3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9.0993079672417442E-3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2.7727991046394621E-6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5.3173334334796502E-4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3.2666216123725817E-5</v>
      </c>
      <c r="C8" s="449"/>
      <c r="D8" s="451">
        <f>vkm_2011_NGW_PW*SUMIFS(TableVerdeelsleutelVkm[CNG],TableVerdeelsleutelVkm[Voertuigtype],"Lichte voertuigen")*SUMIFS(TableECFTransport[EnergieConsumptieFactor (PJ per km)],TableECFTransport[Index],CONCATENATE($A8,"_CNG_CNG"))</f>
        <v>1.7420935921668937E-4</v>
      </c>
      <c r="E8" s="451">
        <f>vkm_2011_NGW_PW*SUMIFS(TableVerdeelsleutelVkm[LPG],TableVerdeelsleutelVkm[Voertuigtype],"Lichte voertuigen")*SUMIFS(TableECFTransport[EnergieConsumptieFactor (PJ per km)],TableECFTransport[Index],CONCATENATE($A8,"_LPG_LPG"))</f>
        <v>2.2041038419736285E-4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5.3106806293529901E-2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1.9251801634426829E-2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3.674109969047875E-3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9.7235975019578421E-3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2.7894428388653671E-6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5.6820960024259442E-4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15.249822312042442</v>
      </c>
      <c r="C14" s="21"/>
      <c r="D14" s="21">
        <f t="shared" ref="D14:M14" si="0">((D5)*10^9/3600)+D12</f>
        <v>66.915564208756194</v>
      </c>
      <c r="E14" s="21">
        <f t="shared" si="0"/>
        <v>86.531654757969434</v>
      </c>
      <c r="F14" s="21"/>
      <c r="G14" s="21">
        <f t="shared" si="0"/>
        <v>26523.588741688145</v>
      </c>
      <c r="H14" s="21">
        <f t="shared" si="0"/>
        <v>7455.7996777025392</v>
      </c>
      <c r="I14" s="21"/>
      <c r="J14" s="21"/>
      <c r="K14" s="21"/>
      <c r="L14" s="21"/>
      <c r="M14" s="21">
        <f t="shared" si="0"/>
        <v>1770.9256757314022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0.19118148817871428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2.9154837240772351</v>
      </c>
      <c r="C18" s="23"/>
      <c r="D18" s="23">
        <f t="shared" ref="D18:M18" si="1">D14*D16</f>
        <v>13.516943970168752</v>
      </c>
      <c r="E18" s="23">
        <f t="shared" si="1"/>
        <v>19.642685630059063</v>
      </c>
      <c r="F18" s="23"/>
      <c r="G18" s="23">
        <f t="shared" si="1"/>
        <v>7081.7981940307354</v>
      </c>
      <c r="H18" s="23">
        <f t="shared" si="1"/>
        <v>1856.4941197479322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1.7970343393720726E-3</v>
      </c>
      <c r="H50" s="321">
        <f t="shared" si="2"/>
        <v>0</v>
      </c>
      <c r="I50" s="321">
        <f t="shared" si="2"/>
        <v>0</v>
      </c>
      <c r="J50" s="321">
        <f t="shared" si="2"/>
        <v>0</v>
      </c>
      <c r="K50" s="321">
        <f t="shared" si="2"/>
        <v>0</v>
      </c>
      <c r="L50" s="321">
        <f t="shared" si="2"/>
        <v>0</v>
      </c>
      <c r="M50" s="321">
        <f t="shared" si="2"/>
        <v>1.0206361733097687E-4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1.7970343393720726E-3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1.0206361733097687E-4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499.1762053811313</v>
      </c>
      <c r="H54" s="21">
        <f t="shared" si="3"/>
        <v>0</v>
      </c>
      <c r="I54" s="21">
        <f t="shared" si="3"/>
        <v>0</v>
      </c>
      <c r="J54" s="21">
        <f t="shared" si="3"/>
        <v>0</v>
      </c>
      <c r="K54" s="21">
        <f t="shared" si="3"/>
        <v>0</v>
      </c>
      <c r="L54" s="21">
        <f t="shared" si="3"/>
        <v>0</v>
      </c>
      <c r="M54" s="21">
        <f t="shared" si="3"/>
        <v>28.351004814160241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0.19118148817871428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133.28004683676207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3268.868997383418</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3312.5189973834181</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45061</v>
      </c>
      <c r="C27" s="851">
        <v>9790</v>
      </c>
      <c r="D27" s="672" t="s">
        <v>844</v>
      </c>
      <c r="E27" s="671" t="s">
        <v>845</v>
      </c>
      <c r="F27" s="671" t="s">
        <v>846</v>
      </c>
      <c r="G27" s="671" t="s">
        <v>847</v>
      </c>
      <c r="H27" s="671" t="s">
        <v>848</v>
      </c>
      <c r="I27" s="671" t="s">
        <v>845</v>
      </c>
      <c r="J27" s="850">
        <v>41117</v>
      </c>
      <c r="K27" s="850">
        <v>41244</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2019-01-01T21:21:09Z</dcterms:modified>
</cp:coreProperties>
</file>