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R59"/>
  <c r="Q59"/>
  <c r="P59"/>
  <c r="O59"/>
  <c r="N59"/>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8" i="14"/>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13" i="15" l="1"/>
  <c r="F6" i="17"/>
  <c r="D16" i="16"/>
  <c r="C13" i="15"/>
  <c r="C16" s="1"/>
  <c r="D10" i="14" s="1"/>
  <c r="L6" i="17"/>
  <c r="L5" s="1"/>
  <c r="O4" i="48"/>
  <c r="E16"/>
  <c r="I16"/>
  <c r="F16"/>
  <c r="J16"/>
  <c r="K16"/>
  <c r="D16"/>
  <c r="D27" s="1"/>
  <c r="H16"/>
  <c r="H21" s="1"/>
  <c r="L16" i="16"/>
  <c r="L18" s="1"/>
  <c r="L22" s="1"/>
  <c r="M39" i="14" s="1"/>
  <c r="I14" i="15"/>
  <c r="I16" s="1"/>
  <c r="J10" i="14" s="1"/>
  <c r="B13" i="16"/>
  <c r="C35"/>
  <c r="D8" i="17"/>
  <c r="E9" i="14"/>
  <c r="D14" i="15"/>
  <c r="P18" i="16"/>
  <c r="N6" i="17"/>
  <c r="N5" s="1"/>
  <c r="J8"/>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1" i="20"/>
  <c r="E43" i="14" s="1"/>
  <c r="E18"/>
  <c r="O80"/>
  <c r="L4" i="48"/>
  <c r="G19" i="18"/>
  <c r="K19"/>
  <c r="G9" i="14"/>
  <c r="M4" i="48"/>
  <c r="F11"/>
  <c r="K19" i="19"/>
  <c r="L35" i="14" s="1"/>
  <c r="I19" i="19"/>
  <c r="J35" i="14" s="1"/>
  <c r="E31" i="20"/>
  <c r="F43" i="14" s="1"/>
  <c r="B6" i="48"/>
  <c r="Q6" s="1"/>
  <c r="L12" i="13"/>
  <c r="M37" i="14" s="1"/>
  <c r="E8" i="16"/>
  <c r="B16" i="18"/>
  <c r="B78" i="14" s="1"/>
  <c r="F17"/>
  <c r="E13" i="48"/>
  <c r="K20" i="15"/>
  <c r="L36" i="14" s="1"/>
  <c r="L9"/>
  <c r="C64"/>
  <c r="K11" i="48"/>
  <c r="K28" s="1"/>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I21" i="48"/>
  <c r="O21"/>
  <c r="L16"/>
  <c r="K24"/>
  <c r="K25"/>
  <c r="Q11" i="14"/>
  <c r="P12" i="13"/>
  <c r="Q37" i="14" s="1"/>
  <c r="P4" i="48"/>
  <c r="P21" s="1"/>
  <c r="D12" i="13"/>
  <c r="E37" i="14" s="1"/>
  <c r="D4" i="48"/>
  <c r="E11" i="14"/>
  <c r="H28" i="48"/>
  <c r="G25"/>
  <c r="C22" i="13"/>
  <c r="C21"/>
  <c r="C20"/>
  <c r="O24" i="48"/>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28" i="48" l="1"/>
  <c r="D30"/>
  <c r="E28"/>
  <c r="H25"/>
  <c r="H24"/>
  <c r="D21"/>
  <c r="F28"/>
  <c r="G22" i="14"/>
  <c r="P22" i="16"/>
  <c r="Q39" i="14" s="1"/>
  <c r="G11"/>
  <c r="J12" i="17"/>
  <c r="K48" i="14" s="1"/>
  <c r="Q13"/>
  <c r="B35" i="13"/>
  <c r="B47" s="1"/>
  <c r="J15" i="14"/>
  <c r="J23" s="1"/>
  <c r="P8" i="48"/>
  <c r="P25" s="1"/>
  <c r="D18" i="16"/>
  <c r="G31" i="20"/>
  <c r="H43" i="14" s="1"/>
  <c r="G12" i="22"/>
  <c r="D16" i="15"/>
  <c r="K22" i="14"/>
  <c r="E8" i="17"/>
  <c r="E12" s="1"/>
  <c r="F48" i="14" s="1"/>
  <c r="O18" i="16"/>
  <c r="P13" i="14" s="1"/>
  <c r="B36" i="13"/>
  <c r="B48" s="1"/>
  <c r="C48" s="1"/>
  <c r="N5" s="1"/>
  <c r="N8" s="1"/>
  <c r="H13" i="48"/>
  <c r="H30" s="1"/>
  <c r="H12" i="22"/>
  <c r="B34" i="13"/>
  <c r="B46" s="1"/>
  <c r="E5" s="1"/>
  <c r="E8" s="1"/>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J5" i="15"/>
  <c r="F4" i="48"/>
  <c r="F21" s="1"/>
  <c r="B69" i="14"/>
  <c r="B4" i="6" s="1"/>
  <c r="L53" i="14"/>
  <c r="F5" i="15"/>
  <c r="F16" s="1"/>
  <c r="B5"/>
  <c r="B16" s="1"/>
  <c r="E13" i="14"/>
  <c r="B5" i="16"/>
  <c r="B18" s="1"/>
  <c r="N5" i="15"/>
  <c r="N16" s="1"/>
  <c r="F12" i="13"/>
  <c r="G37" i="14" s="1"/>
  <c r="P5" i="48"/>
  <c r="P22" s="1"/>
  <c r="F13" i="16"/>
  <c r="E13"/>
  <c r="N13"/>
  <c r="J13"/>
  <c r="N12"/>
  <c r="J12"/>
  <c r="F12"/>
  <c r="E12"/>
  <c r="Q11" i="48"/>
  <c r="O5"/>
  <c r="R9" i="14"/>
  <c r="O28" i="48"/>
  <c r="H22"/>
  <c r="K31"/>
  <c r="M25"/>
  <c r="M24"/>
  <c r="I31"/>
  <c r="C50" i="13"/>
  <c r="J5" s="1"/>
  <c r="J8" s="1"/>
  <c r="C5" i="48"/>
  <c r="Q15" i="14" l="1"/>
  <c r="Q23" s="1"/>
  <c r="Q55" s="1"/>
  <c r="H14" i="22"/>
  <c r="H18" i="14"/>
  <c r="O22" i="16"/>
  <c r="P39" i="14" s="1"/>
  <c r="M10" i="48"/>
  <c r="M27" s="1"/>
  <c r="F22" i="14"/>
  <c r="C13"/>
  <c r="E12" i="13"/>
  <c r="F37" i="14" s="1"/>
  <c r="D22" i="16"/>
  <c r="E39" i="14" s="1"/>
  <c r="N4" i="48"/>
  <c r="N21" s="1"/>
  <c r="D20" i="15"/>
  <c r="E36" i="14" s="1"/>
  <c r="G14" i="22"/>
  <c r="G9" i="48" s="1"/>
  <c r="O8"/>
  <c r="O25" s="1"/>
  <c r="E7"/>
  <c r="E24" s="1"/>
  <c r="P31"/>
  <c r="N7"/>
  <c r="N24" s="1"/>
  <c r="J16" i="15"/>
  <c r="J20" s="1"/>
  <c r="K36" i="14" s="1"/>
  <c r="E16" i="15"/>
  <c r="D8" i="48"/>
  <c r="D25" s="1"/>
  <c r="P41" i="14"/>
  <c r="P53" s="1"/>
  <c r="O22"/>
  <c r="L7" i="48"/>
  <c r="L24" s="1"/>
  <c r="M22" i="14"/>
  <c r="P15"/>
  <c r="P23"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J5" i="48" l="1"/>
  <c r="J22" s="1"/>
  <c r="O14"/>
  <c r="E41" i="14"/>
  <c r="B22" i="6"/>
  <c r="C29" i="20" s="1"/>
  <c r="P55" i="14"/>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3"/>
  <c r="Q4" i="48"/>
  <c r="N22"/>
  <c r="R11" i="14"/>
  <c r="J21" i="48"/>
  <c r="C18" i="15" l="1"/>
  <c r="C20" s="1"/>
  <c r="D36" i="14" s="1"/>
  <c r="C17" i="49"/>
  <c r="C56" i="22"/>
  <c r="C58" s="1"/>
  <c r="D44" i="14" s="1"/>
  <c r="D46" s="1"/>
  <c r="C10" i="17"/>
  <c r="C12" s="1"/>
  <c r="D48" i="14" s="1"/>
  <c r="Q5" i="48"/>
  <c r="C16" i="22"/>
  <c r="C20" i="16"/>
  <c r="C22" s="1"/>
  <c r="D39" i="14" s="1"/>
  <c r="C17" i="19"/>
  <c r="C19" s="1"/>
  <c r="D35" i="14" s="1"/>
  <c r="C16" i="48"/>
  <c r="E22" i="16"/>
  <c r="F39" i="14" s="1"/>
  <c r="K13"/>
  <c r="K15" s="1"/>
  <c r="K23" s="1"/>
  <c r="G13"/>
  <c r="G15" s="1"/>
  <c r="G23" s="1"/>
  <c r="N8" i="48"/>
  <c r="N25" s="1"/>
  <c r="N31" s="1"/>
  <c r="F8"/>
  <c r="F22" i="16"/>
  <c r="G39" i="14" s="1"/>
  <c r="G41" s="1"/>
  <c r="G53" s="1"/>
  <c r="O13"/>
  <c r="O15" s="1"/>
  <c r="F41"/>
  <c r="F53" s="1"/>
  <c r="N22" i="16"/>
  <c r="O39" i="14" s="1"/>
  <c r="O41" s="1"/>
  <c r="O53" s="1"/>
  <c r="E8" i="48"/>
  <c r="E25" s="1"/>
  <c r="E31" s="1"/>
  <c r="F13" i="14"/>
  <c r="F15" s="1"/>
  <c r="F23" s="1"/>
  <c r="J22" i="16"/>
  <c r="K39" i="14" s="1"/>
  <c r="K41" s="1"/>
  <c r="K53" s="1"/>
  <c r="K55" s="1"/>
  <c r="J8" i="48"/>
  <c r="J25" s="1"/>
  <c r="J31" s="1"/>
  <c r="E14"/>
  <c r="N55" i="14"/>
  <c r="H55"/>
  <c r="E55"/>
  <c r="C78"/>
  <c r="C81" s="1"/>
  <c r="J14" i="48"/>
  <c r="R19" i="14"/>
  <c r="R20" s="1"/>
  <c r="H14" i="48"/>
  <c r="G31"/>
  <c r="H26"/>
  <c r="H31" s="1"/>
  <c r="M53" i="14"/>
  <c r="M55" s="1"/>
  <c r="C12" i="13"/>
  <c r="D37" i="14" s="1"/>
  <c r="D41" s="1"/>
  <c r="F25" i="48"/>
  <c r="F31" s="1"/>
  <c r="F14"/>
  <c r="N14" l="1"/>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<sst xmlns="http://schemas.openxmlformats.org/spreadsheetml/2006/main" count="2125" uniqueCount="861">
  <si>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</si>
  <si>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</si>
  <si>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</si>
  <si>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</si>
  <si>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</si>
  <si>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</si>
  <si>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</si>
  <si>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</si>
  <si>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</si>
  <si>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</si>
  <si>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</si>
  <si>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</si>
  <si>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</si>
  <si>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</si>
  <si>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</si>
  <si>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</si>
  <si>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</si>
  <si>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</si>
  <si>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</si>
  <si>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</si>
  <si>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</si>
  <si>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</si>
  <si>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</si>
  <si>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</si>
  <si>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</si>
  <si>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</si>
  <si>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</si>
  <si>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</si>
  <si>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</si>
  <si>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</si>
  <si>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</si>
  <si>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</si>
  <si>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</si>
  <si>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</si>
  <si>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</si>
  <si>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</si>
  <si>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</si>
  <si>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</si>
  <si>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</si>
  <si>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</si>
  <si>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</si>
  <si>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</si>
  <si>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</si>
  <si>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</si>
  <si>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</si>
  <si>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</si>
  <si>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</si>
  <si>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</si>
  <si>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</si>
  <si>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</si>
  <si>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</si>
  <si>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</si>
  <si>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</si>
  <si>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</si>
  <si>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</si>
  <si>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</si>
  <si>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</si>
  <si>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</si>
  <si>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</si>
  <si>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</si>
  <si>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</si>
  <si>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</si>
  <si>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</si>
  <si>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</si>
  <si>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</si>
  <si>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</si>
  <si>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</si>
  <si>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</si>
  <si>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</si>
  <si>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</si>
  <si>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</si>
  <si>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</si>
  <si>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</si>
  <si>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</si>
  <si>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</si>
  <si>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</si>
  <si>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</si>
  <si>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</si>
  <si>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</si>
  <si>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</si>
  <si>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</si>
  <si>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</si>
  <si>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</si>
  <si>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</si>
  <si>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</si>
  <si>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</si>
  <si>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</si>
  <si>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</si>
  <si>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</si>
  <si>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</si>
  <si>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</si>
  <si>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</si>
  <si>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</si>
  <si>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</si>
  <si>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</si>
  <si>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</si>
  <si>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</si>
  <si>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</si>
  <si>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</si>
  <si>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</si>
  <si>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</si>
  <si>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</si>
  <si>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</si>
  <si>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</si>
  <si>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</si>
  <si>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</si>
  <si>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</si>
  <si>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</si>
  <si>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</si>
  <si>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</si>
  <si>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</si>
  <si>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</si>
  <si>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</si>
  <si>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</si>
  <si>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</si>
  <si>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</si>
  <si>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</si>
  <si>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</si>
  <si>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</si>
  <si>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</si>
  <si>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</si>
  <si>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</si>
  <si>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</si>
  <si>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</si>
  <si>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</si>
  <si>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</si>
  <si>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</si>
  <si>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</si>
  <si>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</si>
  <si>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</si>
  <si>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</si>
  <si>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</si>
  <si>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</si>
  <si>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</si>
  <si>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</si>
  <si>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</si>
  <si>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</si>
  <si>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</si>
  <si>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</si>
  <si>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</si>
  <si>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</si>
  <si>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</si>
  <si>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</si>
  <si>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</si>
  <si>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</si>
  <si>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</si>
  <si>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</si>
  <si>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</si>
  <si>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</si>
  <si>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</si>
  <si>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</si>
  <si>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</si>
  <si>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</si>
  <si>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</si>
  <si>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</si>
  <si>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</si>
  <si>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</si>
  <si>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</si>
  <si>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</si>
  <si>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</si>
  <si>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</si>
  <si>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</si>
  <si>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</si>
  <si>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</si>
  <si>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</si>
  <si>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</si>
  <si>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</si>
  <si>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</si>
  <si>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</si>
  <si>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</si>
  <si>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</si>
  <si>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</si>
  <si>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</si>
  <si>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</si>
  <si>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</si>
  <si>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</si>
  <si>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</si>
  <si>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</si>
  <si>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</si>
  <si>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</si>
  <si>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</si>
  <si>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</si>
  <si>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</si>
  <si>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</si>
  <si>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</si>
  <si>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</si>
  <si>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</si>
  <si>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</si>
  <si>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</si>
  <si>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</si>
  <si>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</si>
  <si>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</si>
  <si>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</si>
  <si>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</si>
  <si>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</si>
  <si>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</si>
  <si>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</si>
  <si>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</si>
  <si>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</si>
  <si>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</si>
  <si>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</si>
  <si>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</si>
  <si>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</si>
  <si>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</si>
  <si>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</si>
  <si>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</si>
  <si>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</si>
  <si>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</si>
  <si>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</si>
  <si>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</si>
  <si>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</si>
  <si>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</si>
  <si>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</si>
  <si>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</si>
  <si>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</si>
  <si>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</si>
  <si>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</si>
  <si>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</si>
  <si>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</si>
  <si>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</si>
  <si>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</si>
  <si>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</si>
  <si>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</si>
  <si>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</si>
  <si>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</si>
  <si>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</si>
  <si>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</si>
  <si>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</si>
  <si>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</si>
  <si>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</si>
  <si>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</si>
  <si>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</si>
  <si>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</si>
  <si>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</si>
  <si>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</si>
  <si>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</si>
  <si>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</si>
  <si>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</si>
  <si>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</si>
  <si>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</si>
  <si>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</si>
  <si>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</si>
  <si>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</si>
  <si>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</si>
  <si>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</si>
  <si>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</si>
  <si>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</si>
  <si>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</si>
  <si>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</si>
  <si>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</si>
  <si>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</si>
  <si>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</si>
  <si>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</si>
  <si>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</si>
  <si>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</si>
  <si>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</si>
  <si>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</si>
  <si>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</si>
  <si>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</si>
  <si>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</si>
  <si>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</si>
  <si>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</si>
  <si>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</si>
  <si>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</si>
  <si>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</si>
  <si>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</si>
  <si>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</si>
  <si>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</si>
  <si>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</si>
  <si>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</si>
  <si>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</si>
  <si>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</si>
  <si>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</si>
  <si>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</si>
  <si>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</si>
  <si>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</si>
  <si>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</si>
  <si>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</si>
  <si>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</si>
  <si>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</si>
  <si>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</si>
  <si>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</si>
  <si>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</si>
  <si>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</si>
  <si>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</si>
  <si>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</si>
  <si>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</si>
  <si>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</si>
  <si>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</si>
  <si>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</si>
  <si>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</si>
  <si>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</si>
  <si>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</si>
  <si>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</si>
  <si>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</si>
  <si>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</si>
  <si>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</si>
  <si>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</si>
  <si>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</si>
  <si>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</si>
  <si>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</si>
  <si>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</si>
  <si>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</si>
  <si>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</si>
  <si>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</si>
  <si>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</si>
  <si>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</si>
  <si>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</si>
  <si>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</si>
  <si>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</si>
  <si>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</si>
  <si>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</si>
  <si>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</si>
  <si>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</si>
  <si>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</si>
  <si>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</si>
  <si>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</si>
  <si>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</si>
  <si>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</si>
  <si>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</si>
  <si>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</si>
  <si>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</si>
  <si>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</si>
  <si>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</si>
  <si>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</si>
  <si>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</si>
  <si>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</si>
  <si>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</si>
  <si>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</si>
  <si>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</si>
  <si>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</si>
  <si>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</si>
  <si>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</si>
  <si>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</si>
  <si>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</si>
  <si>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</si>
  <si>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</si>
  <si>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</si>
  <si>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</si>
  <si>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</si>
  <si>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</si>
  <si>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</si>
  <si>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</si>
  <si>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</si>
  <si>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</si>
  <si>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</si>
  <si>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</si>
  <si>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</si>
  <si>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</si>
  <si>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</si>
  <si>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</si>
  <si>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</si>
  <si>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</si>
  <si>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</si>
  <si>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</si>
  <si>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</si>
  <si>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</si>
  <si>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</si>
  <si>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</si>
  <si>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</si>
  <si>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</si>
  <si>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</si>
  <si>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</si>
  <si>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</si>
  <si>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</si>
  <si>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</si>
  <si>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</si>
  <si>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</si>
  <si>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</si>
  <si>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</si>
  <si>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</si>
  <si>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</si>
  <si>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</si>
  <si>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</si>
  <si>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</si>
  <si>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</si>
  <si>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</si>
  <si>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</si>
  <si>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</si>
  <si>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</si>
  <si>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</si>
  <si>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</si>
  <si>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</si>
  <si>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</si>
  <si>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</si>
  <si>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</si>
  <si>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</si>
  <si>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</si>
  <si>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</si>
  <si>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</si>
  <si>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</si>
  <si>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</si>
  <si>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</si>
  <si>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</si>
  <si>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</si>
  <si>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</si>
  <si>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</si>
  <si>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</si>
  <si>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</si>
  <si>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</si>
  <si>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</si>
  <si>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</si>
  <si>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</si>
  <si>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</si>
  <si>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</si>
  <si>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</si>
  <si>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</si>
  <si>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</si>
  <si>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</si>
  <si>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</si>
  <si>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</si>
  <si>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</si>
  <si>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</si>
  <si>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</si>
  <si>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</si>
  <si>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</si>
  <si>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</si>
  <si>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</si>
  <si>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</si>
  <si>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</si>
  <si>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</si>
  <si>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</si>
  <si>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</si>
  <si>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</si>
  <si>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</si>
  <si>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</si>
  <si>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</si>
  <si>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</si>
  <si>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</si>
  <si>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</si>
  <si>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</si>
  <si>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</si>
  <si>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</si>
  <si>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</si>
  <si>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</si>
  <si>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</si>
  <si>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</si>
  <si>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</si>
  <si>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</si>
  <si>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</si>
  <si>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</si>
  <si>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</si>
  <si>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</si>
  <si>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</si>
  <si>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</si>
  <si>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</si>
  <si>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</si>
  <si>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</si>
  <si>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</si>
  <si>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</si>
  <si>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</si>
  <si>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</si>
  <si>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</si>
  <si>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</si>
  <si>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</si>
  <si>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</si>
  <si>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</si>
  <si>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</si>
  <si>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</si>
  <si>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</si>
  <si>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</si>
  <si>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</si>
  <si>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</si>
  <si>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</si>
  <si>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</si>
  <si>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</si>
  <si>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</si>
  <si>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</si>
  <si>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</si>
  <si>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</si>
  <si>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</si>
  <si>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</si>
  <si>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</si>
  <si>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</si>
  <si>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</si>
  <si>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</si>
  <si>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</si>
  <si>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</si>
  <si>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</si>
  <si>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</si>
  <si>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</si>
  <si>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</si>
  <si>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</si>
  <si>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</si>
  <si>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</si>
  <si>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</si>
  <si>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</si>
  <si>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</si>
  <si>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</si>
  <si>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</si>
  <si>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</si>
  <si>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</si>
  <si>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</si>
  <si>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</si>
  <si>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</si>
  <si>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</si>
  <si>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</si>
  <si>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</si>
  <si>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</si>
  <si>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</si>
  <si>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</si>
  <si>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</si>
  <si>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</si>
  <si>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</si>
  <si>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</si>
  <si>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</si>
  <si>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</si>
  <si>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</si>
  <si>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</si>
  <si>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</si>
  <si>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</si>
  <si>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</si>
  <si>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</si>
  <si>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</si>
  <si>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</si>
  <si>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</si>
  <si>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</si>
  <si>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</si>
  <si>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</si>
  <si>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</si>
  <si>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</si>
  <si>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</si>
  <si>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</si>
  <si>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</si>
  <si>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</si>
  <si>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</si>
  <si>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</si>
  <si>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</si>
  <si>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</si>
  <si>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</si>
  <si>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</si>
  <si>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</si>
  <si>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</si>
  <si>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</si>
  <si>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</si>
  <si>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</si>
  <si>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</si>
  <si>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</si>
  <si>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</si>
  <si>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</si>
  <si>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</si>
  <si>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</si>
  <si>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</si>
  <si>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</si>
  <si>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</si>
  <si>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</si>
  <si>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</si>
  <si>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</si>
  <si>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</si>
  <si>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</si>
  <si>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</si>
  <si>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</si>
  <si>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</si>
  <si>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</si>
  <si>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</si>
  <si>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</si>
  <si>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</si>
  <si>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</si>
  <si>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</si>
  <si>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</si>
  <si>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</si>
  <si>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</si>
  <si>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</si>
  <si>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</si>
  <si>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</si>
  <si>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</si>
  <si>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</si>
  <si>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</si>
  <si>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</si>
  <si>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</si>
  <si>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</si>
  <si>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</si>
  <si>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</si>
  <si>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</si>
  <si>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</si>
  <si>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</si>
  <si>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</si>
  <si>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</si>
  <si>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</si>
  <si>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</si>
  <si>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</si>
  <si>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</si>
  <si>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</si>
  <si>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</si>
  <si>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</si>
  <si>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</si>
  <si>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</si>
  <si>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</si>
  <si>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</si>
  <si>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</si>
  <si>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</si>
  <si>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</si>
  <si>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</si>
  <si>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</si>
  <si>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</si>
  <si>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</si>
  <si>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</si>
  <si>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</si>
  <si>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</si>
  <si>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</si>
  <si>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</si>
  <si>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</si>
  <si>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</si>
  <si>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</si>
  <si>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</si>
  <si>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</si>
  <si>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</si>
  <si>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</si>
  <si>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</si>
  <si>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</si>
  <si>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</si>
  <si>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</si>
  <si>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</si>
  <si>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</si>
  <si>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</si>
  <si>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</si>
  <si>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</si>
  <si>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</si>
  <si>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</si>
  <si>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</si>
  <si>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</si>
  <si>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</si>
  <si>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</si>
  <si>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</si>
  <si>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</si>
  <si>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</si>
  <si>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</si>
  <si>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</si>
  <si>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</si>
  <si>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</si>
  <si>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</si>
  <si>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</si>
  <si>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</si>
  <si>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</si>
  <si>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</si>
  <si>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</si>
  <si>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</si>
  <si>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</si>
  <si>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</si>
  <si>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</si>
  <si>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</si>
  <si>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</si>
  <si>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</si>
  <si>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</si>
  <si>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</si>
  <si>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</si>
  <si>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</si>
  <si>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</si>
  <si>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</si>
  <si>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</si>
  <si>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</si>
  <si>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</si>
  <si>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</si>
  <si>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</si>
  <si>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</si>
  <si>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</si>
  <si>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</si>
  <si>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</si>
  <si>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</si>
  <si>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</si>
  <si>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</si>
  <si>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</si>
  <si>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</si>
  <si>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</si>
  <si>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</si>
  <si>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</si>
  <si>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</si>
  <si>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</si>
  <si>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</si>
  <si>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</si>
  <si>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</si>
  <si>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</si>
  <si>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</si>
  <si>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</si>
  <si>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</si>
  <si>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</si>
  <si>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</si>
  <si>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</si>
  <si>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</si>
  <si>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</si>
  <si>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</si>
  <si>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</si>
  <si>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</si>
  <si>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</si>
  <si>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</si>
  <si>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</si>
  <si>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</si>
  <si>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</si>
  <si>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</si>
  <si>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</si>
  <si>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</si>
  <si>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</si>
  <si>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</si>
  <si>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</si>
  <si>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</si>
  <si>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</si>
  <si>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</si>
  <si>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</si>
  <si>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</si>
  <si>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</si>
  <si>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</si>
  <si>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</si>
  <si>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</si>
  <si>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</si>
  <si>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</si>
  <si>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</si>
  <si>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</si>
  <si>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</si>
  <si>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</si>
  <si>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</si>
  <si>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</si>
  <si>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</si>
  <si>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</si>
  <si>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</si>
  <si>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</si>
  <si>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</si>
  <si>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</si>
  <si>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</si>
  <si>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</si>
  <si>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</si>
  <si>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</si>
  <si>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</si>
  <si>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</si>
  <si>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</si>
  <si>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</si>
  <si>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</si>
  <si>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</si>
  <si>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</si>
  <si>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</si>
  <si>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</si>
  <si>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</si>
  <si>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</si>
  <si>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</si>
  <si>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</si>
  <si>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</si>
  <si>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</si>
  <si>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</si>
  <si>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</si>
  <si>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</si>
  <si>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</si>
  <si>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</si>
  <si>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</si>
  <si>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</si>
  <si>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</si>
  <si>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</si>
  <si>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</si>
  <si>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</si>
  <si>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</si>
  <si>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</si>
  <si>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</si>
  <si>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</si>
  <si>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</si>
  <si>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</si>
  <si>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</si>
  <si>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</si>
  <si>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</si>
  <si>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</si>
  <si>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</si>
  <si>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</si>
  <si>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</si>
  <si>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</si>
  <si>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</si>
  <si>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</si>
  <si>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</si>
  <si>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</si>
  <si>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</si>
  <si>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</si>
  <si>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</si>
  <si>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</si>
  <si>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</si>
  <si>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</si>
  <si>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</si>
  <si>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</si>
  <si>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</si>
  <si>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</si>
  <si>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</si>
  <si>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</si>
  <si>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</si>
  <si>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</si>
  <si>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</si>
  <si>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</si>
  <si>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</si>
  <si>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</si>
  <si>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</si>
  <si>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</si>
  <si>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</si>
  <si>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</si>
  <si>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</si>
  <si>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</si>
  <si>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</si>
  <si>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</si>
  <si>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</si>
  <si>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</si>
  <si>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</si>
  <si>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</si>
  <si>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</si>
  <si>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</si>
  <si>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</si>
  <si>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</si>
  <si>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</si>
  <si>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</si>
  <si>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</si>
  <si>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</si>
  <si>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</si>
  <si>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</si>
  <si>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</si>
  <si>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</si>
  <si>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</si>
  <si>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</si>
  <si>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</si>
  <si>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</si>
  <si>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</si>
  <si>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</si>
  <si>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</si>
  <si>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</si>
  <si>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</si>
  <si>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</si>
  <si>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</si>
  <si>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</si>
  <si>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</si>
  <si>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</si>
  <si>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</si>
  <si>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</si>
  <si>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</si>
  <si>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</si>
  <si>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</si>
  <si>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</si>
  <si>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</si>
  <si>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</si>
  <si>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</si>
  <si>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</si>
  <si>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</si>
  <si>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</si>
  <si>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</si>
  <si>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</si>
  <si>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</si>
  <si>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45041</t>
  </si>
  <si>
    <t>RONSE</t>
  </si>
  <si>
    <t>Eandis (januari 2018); Infrax (juni 2018)</t>
  </si>
  <si>
    <t>MOW (september 2017)</t>
  </si>
  <si>
    <t>referentietaak LNE (2017); Jaarverslag De Lijn (2016)</t>
  </si>
  <si>
    <t>VEA (april 2018)</t>
  </si>
  <si>
    <t>VEA (januari 2017)</t>
  </si>
  <si>
    <t>VEA (juni 2018)</t>
  </si>
  <si>
    <t>Unizo dienstencentrum VZW</t>
  </si>
  <si>
    <t>Einestraat 26 , 9700 Oudenaarde</t>
  </si>
  <si>
    <t>WKK-0425 Unizo dienstencentrum</t>
  </si>
  <si>
    <t>stirlingmotor</t>
  </si>
  <si>
    <t>Zonnestraat 46 , 9600 Ronse/Renaix</t>
  </si>
  <si>
    <t>GASELWEST</t>
  </si>
  <si>
    <t>Autonoom Gemeentebedrijf Stadsontwikkelingsbedrijf Ronse</t>
  </si>
  <si>
    <t>Grote Markt 12 , 9600 Ronse/Renaix</t>
  </si>
  <si>
    <t>WKK-0584 Ziekenhuis Campus Delghust</t>
  </si>
  <si>
    <t>interne verbrandingsmotor</t>
  </si>
  <si>
    <t>WKK interne verbrandinsgmotor (gas)</t>
  </si>
  <si>
    <t>Oscar Delghuststraat 60 , 9600 Ronse/Renaix</t>
  </si>
  <si>
    <t>Cartridge Power</t>
  </si>
  <si>
    <t>WKK-0783</t>
  </si>
  <si>
    <t>Interne verbrandingsmotor</t>
  </si>
  <si>
    <t>Klein Frankrijkstraat 11, 9600 Ronse, BE</t>
  </si>
  <si>
    <t>GASELWEST (via EANDIS)</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</si>
</sst>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191236.56380544128</c:v>
                </c:pt>
                <c:pt idx="1">
                  <c:v>89303.130720288464</c:v>
                </c:pt>
                <c:pt idx="2">
                  <c:v>1813.922</c:v>
                </c:pt>
                <c:pt idx="3">
                  <c:v>8541.6934014311628</c:v>
                </c:pt>
                <c:pt idx="4">
                  <c:v>171636.64712836416</c:v>
                </c:pt>
                <c:pt idx="5">
                  <c:v>105317.80701887692</c:v>
                </c:pt>
                <c:pt idx="6">
                  <c:v>775.25149104578736</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410048"/>
        <c:axId val="183436416"/>
      </c:barChart>
      <c:catAx>
        <c:axId val="183410048"/>
        <c:scaling>
          <c:orientation val="minMax"/>
        </c:scaling>
        <c:axPos val="b"/>
        <c:numFmt formatCode="General" sourceLinked="0"/>
        <c:tickLblPos val="nextTo"/>
        <c:crossAx val="183436416"/>
        <c:crosses val="autoZero"/>
        <c:auto val="1"/>
        <c:lblAlgn val="ctr"/>
        <c:lblOffset val="100"/>
      </c:catAx>
      <c:valAx>
        <c:axId val="183436416"/>
        <c:scaling>
          <c:orientation val="minMax"/>
        </c:scaling>
        <c:axPos val="l"/>
        <c:majorGridlines>
          <c:spPr>
            <a:ln>
              <a:noFill/>
            </a:ln>
          </c:spPr>
        </c:majorGridlines>
        <c:numFmt formatCode="#,##0" sourceLinked="1"/>
        <c:tickLblPos val="nextTo"/>
        <c:crossAx val="18341004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191236.56380544128</c:v>
                </c:pt>
                <c:pt idx="1">
                  <c:v>89303.130720288464</c:v>
                </c:pt>
                <c:pt idx="2">
                  <c:v>1813.922</c:v>
                </c:pt>
                <c:pt idx="3">
                  <c:v>8541.6934014311628</c:v>
                </c:pt>
                <c:pt idx="4">
                  <c:v>171636.64712836416</c:v>
                </c:pt>
                <c:pt idx="5">
                  <c:v>105317.80701887692</c:v>
                </c:pt>
                <c:pt idx="6">
                  <c:v>775.25149104578736</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34994.45667049988</c:v>
                </c:pt>
                <c:pt idx="1">
                  <c:v>18166.50964056699</c:v>
                </c:pt>
                <c:pt idx="2">
                  <c:v>380.10935988358733</c:v>
                </c:pt>
                <c:pt idx="3">
                  <c:v>1832.6476536746584</c:v>
                </c:pt>
                <c:pt idx="4">
                  <c:v>34248.512534306879</c:v>
                </c:pt>
                <c:pt idx="5">
                  <c:v>26433.881468210693</c:v>
                </c:pt>
                <c:pt idx="6">
                  <c:v>195.86772594839394</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977856"/>
        <c:axId val="183979392"/>
      </c:barChart>
      <c:catAx>
        <c:axId val="183977856"/>
        <c:scaling>
          <c:orientation val="minMax"/>
        </c:scaling>
        <c:axPos val="b"/>
        <c:numFmt formatCode="General" sourceLinked="0"/>
        <c:tickLblPos val="nextTo"/>
        <c:crossAx val="183979392"/>
        <c:crosses val="autoZero"/>
        <c:auto val="1"/>
        <c:lblAlgn val="ctr"/>
        <c:lblOffset val="100"/>
      </c:catAx>
      <c:valAx>
        <c:axId val="183979392"/>
        <c:scaling>
          <c:orientation val="minMax"/>
        </c:scaling>
        <c:axPos val="l"/>
        <c:majorGridlines>
          <c:spPr>
            <a:ln>
              <a:noFill/>
            </a:ln>
          </c:spPr>
        </c:majorGridlines>
        <c:numFmt formatCode="#,##0" sourceLinked="1"/>
        <c:tickLblPos val="nextTo"/>
        <c:crossAx val="183977856"/>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34994.45667049988</c:v>
                </c:pt>
                <c:pt idx="1">
                  <c:v>18166.50964056699</c:v>
                </c:pt>
                <c:pt idx="2">
                  <c:v>380.10935988358733</c:v>
                </c:pt>
                <c:pt idx="3">
                  <c:v>1832.6476536746584</c:v>
                </c:pt>
                <c:pt idx="4">
                  <c:v>34248.512534306879</c:v>
                </c:pt>
                <c:pt idx="5">
                  <c:v>26433.881468210693</c:v>
                </c:pt>
                <c:pt idx="6">
                  <c:v>195.86772594839394</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45041</v>
      </c>
      <c r="B6" s="415"/>
      <c r="C6" s="416"/>
    </row>
    <row r="7" spans="1:7" s="413" customFormat="1" ht="15.75" customHeight="1">
      <c r="A7" s="417" t="str">
        <f>txtMunicipality</f>
        <v>RONSE</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35449.28150416672</v>
      </c>
      <c r="D10" s="718">
        <f ca="1">tertiair!C16</f>
        <v>940.71428571428555</v>
      </c>
      <c r="E10" s="718">
        <f ca="1">tertiair!D16</f>
        <v>45863.543682566698</v>
      </c>
      <c r="F10" s="718">
        <f>tertiair!E16</f>
        <v>463.47344453801304</v>
      </c>
      <c r="G10" s="718">
        <f ca="1">tertiair!F16</f>
        <v>5712.2419721304841</v>
      </c>
      <c r="H10" s="718">
        <f>tertiair!G16</f>
        <v>0</v>
      </c>
      <c r="I10" s="718">
        <f>tertiair!H16</f>
        <v>0</v>
      </c>
      <c r="J10" s="718">
        <f>tertiair!I16</f>
        <v>0</v>
      </c>
      <c r="K10" s="718">
        <f>tertiair!J16</f>
        <v>6.5453592581202369E-2</v>
      </c>
      <c r="L10" s="718">
        <f>tertiair!K16</f>
        <v>0</v>
      </c>
      <c r="M10" s="718">
        <f ca="1">tertiair!L16</f>
        <v>0</v>
      </c>
      <c r="N10" s="718">
        <f>tertiair!M16</f>
        <v>0</v>
      </c>
      <c r="O10" s="718">
        <f ca="1">tertiair!N16</f>
        <v>2687.7323775796704</v>
      </c>
      <c r="P10" s="718">
        <f>tertiair!O16</f>
        <v>0</v>
      </c>
      <c r="Q10" s="719">
        <f>tertiair!P16</f>
        <v>0</v>
      </c>
      <c r="R10" s="721">
        <f ca="1">SUM(C10:Q10)</f>
        <v>91117.05272028847</v>
      </c>
      <c r="S10" s="67"/>
    </row>
    <row r="11" spans="1:19" s="474" customFormat="1">
      <c r="A11" s="870" t="s">
        <v>225</v>
      </c>
      <c r="B11" s="875"/>
      <c r="C11" s="718">
        <f>huishoudens!B8</f>
        <v>36320.665970492897</v>
      </c>
      <c r="D11" s="718">
        <f>huishoudens!C8</f>
        <v>0</v>
      </c>
      <c r="E11" s="718">
        <f>huishoudens!D8</f>
        <v>104739.62415725311</v>
      </c>
      <c r="F11" s="718">
        <f>huishoudens!E8</f>
        <v>6255.2374741846525</v>
      </c>
      <c r="G11" s="718">
        <f>huishoudens!F8</f>
        <v>12006.987344324791</v>
      </c>
      <c r="H11" s="718">
        <f>huishoudens!G8</f>
        <v>0</v>
      </c>
      <c r="I11" s="718">
        <f>huishoudens!H8</f>
        <v>0</v>
      </c>
      <c r="J11" s="718">
        <f>huishoudens!I8</f>
        <v>0</v>
      </c>
      <c r="K11" s="718">
        <f>huishoudens!J8</f>
        <v>4520.3739172389278</v>
      </c>
      <c r="L11" s="718">
        <f>huishoudens!K8</f>
        <v>0</v>
      </c>
      <c r="M11" s="718">
        <f>huishoudens!L8</f>
        <v>0</v>
      </c>
      <c r="N11" s="718">
        <f>huishoudens!M8</f>
        <v>0</v>
      </c>
      <c r="O11" s="718">
        <f>huishoudens!N8</f>
        <v>26743.78494194688</v>
      </c>
      <c r="P11" s="718">
        <f>huishoudens!O8</f>
        <v>192.29000000000002</v>
      </c>
      <c r="Q11" s="719">
        <f>huishoudens!P8</f>
        <v>457.6</v>
      </c>
      <c r="R11" s="721">
        <f>SUM(C11:Q11)</f>
        <v>191236.56380544128</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58820.895933693333</v>
      </c>
      <c r="D13" s="718">
        <f>industrie!C18</f>
        <v>0</v>
      </c>
      <c r="E13" s="718">
        <f>industrie!D18</f>
        <v>92374.75593297687</v>
      </c>
      <c r="F13" s="718">
        <f>industrie!E18</f>
        <v>2208.4906812164199</v>
      </c>
      <c r="G13" s="718">
        <f>industrie!F18</f>
        <v>10245.60779150758</v>
      </c>
      <c r="H13" s="718">
        <f>industrie!G18</f>
        <v>0</v>
      </c>
      <c r="I13" s="718">
        <f>industrie!H18</f>
        <v>0</v>
      </c>
      <c r="J13" s="718">
        <f>industrie!I18</f>
        <v>0</v>
      </c>
      <c r="K13" s="718">
        <f>industrie!J18</f>
        <v>73.229994117773032</v>
      </c>
      <c r="L13" s="718">
        <f>industrie!K18</f>
        <v>0</v>
      </c>
      <c r="M13" s="718">
        <f>industrie!L18</f>
        <v>0</v>
      </c>
      <c r="N13" s="718">
        <f>industrie!M18</f>
        <v>0</v>
      </c>
      <c r="O13" s="718">
        <f>industrie!N18</f>
        <v>7913.6667948521845</v>
      </c>
      <c r="P13" s="718">
        <f>industrie!O18</f>
        <v>0</v>
      </c>
      <c r="Q13" s="719">
        <f>industrie!P18</f>
        <v>0</v>
      </c>
      <c r="R13" s="721">
        <f>SUM(C13:Q13)</f>
        <v>171636.64712836416</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130590.84340835296</v>
      </c>
      <c r="D15" s="723">
        <f t="shared" ref="D15:Q15" ca="1" si="0">SUM(D9:D14)</f>
        <v>940.71428571428555</v>
      </c>
      <c r="E15" s="723">
        <f t="shared" ca="1" si="0"/>
        <v>242977.92377279667</v>
      </c>
      <c r="F15" s="723">
        <f t="shared" si="0"/>
        <v>8927.201599939086</v>
      </c>
      <c r="G15" s="723">
        <f t="shared" ca="1" si="0"/>
        <v>27964.837107962856</v>
      </c>
      <c r="H15" s="723">
        <f t="shared" si="0"/>
        <v>0</v>
      </c>
      <c r="I15" s="723">
        <f t="shared" si="0"/>
        <v>0</v>
      </c>
      <c r="J15" s="723">
        <f t="shared" si="0"/>
        <v>0</v>
      </c>
      <c r="K15" s="723">
        <f t="shared" si="0"/>
        <v>4593.6693649492827</v>
      </c>
      <c r="L15" s="723">
        <f t="shared" si="0"/>
        <v>0</v>
      </c>
      <c r="M15" s="723">
        <f t="shared" ca="1" si="0"/>
        <v>0</v>
      </c>
      <c r="N15" s="723">
        <f t="shared" si="0"/>
        <v>0</v>
      </c>
      <c r="O15" s="723">
        <f t="shared" ca="1" si="0"/>
        <v>37345.184114378739</v>
      </c>
      <c r="P15" s="723">
        <f t="shared" si="0"/>
        <v>192.29000000000002</v>
      </c>
      <c r="Q15" s="724">
        <f t="shared" si="0"/>
        <v>457.6</v>
      </c>
      <c r="R15" s="725">
        <f ca="1">SUM(R9:R14)</f>
        <v>453990.26365409396</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733.58698857076376</v>
      </c>
      <c r="I18" s="718">
        <f>transport!H54</f>
        <v>0</v>
      </c>
      <c r="J18" s="718">
        <f>transport!I54</f>
        <v>0</v>
      </c>
      <c r="K18" s="718">
        <f>transport!J54</f>
        <v>0</v>
      </c>
      <c r="L18" s="718">
        <f>transport!K54</f>
        <v>0</v>
      </c>
      <c r="M18" s="718">
        <f>transport!L54</f>
        <v>0</v>
      </c>
      <c r="N18" s="718">
        <f>transport!M54</f>
        <v>41.664502475023603</v>
      </c>
      <c r="O18" s="718">
        <f>transport!N54</f>
        <v>0</v>
      </c>
      <c r="P18" s="718">
        <f>transport!O54</f>
        <v>0</v>
      </c>
      <c r="Q18" s="719">
        <f>transport!P54</f>
        <v>0</v>
      </c>
      <c r="R18" s="721">
        <f>SUM(C18:Q18)</f>
        <v>775.25149104578736</v>
      </c>
      <c r="S18" s="67"/>
    </row>
    <row r="19" spans="1:19" s="474" customFormat="1" ht="15" thickBot="1">
      <c r="A19" s="870" t="s">
        <v>307</v>
      </c>
      <c r="B19" s="875"/>
      <c r="C19" s="727">
        <f>transport!B14</f>
        <v>28.818250271007091</v>
      </c>
      <c r="D19" s="727">
        <f>transport!C14</f>
        <v>0</v>
      </c>
      <c r="E19" s="727">
        <f>transport!D14</f>
        <v>102.25845485484108</v>
      </c>
      <c r="F19" s="727">
        <f>transport!E14</f>
        <v>136.05032146302963</v>
      </c>
      <c r="G19" s="727">
        <f>transport!F14</f>
        <v>0</v>
      </c>
      <c r="H19" s="727">
        <f>transport!G14</f>
        <v>88035.976810886117</v>
      </c>
      <c r="I19" s="727">
        <f>transport!H14</f>
        <v>11528.904147214873</v>
      </c>
      <c r="J19" s="727">
        <f>transport!I14</f>
        <v>0</v>
      </c>
      <c r="K19" s="727">
        <f>transport!J14</f>
        <v>0</v>
      </c>
      <c r="L19" s="727">
        <f>transport!K14</f>
        <v>0</v>
      </c>
      <c r="M19" s="727">
        <f>transport!L14</f>
        <v>0</v>
      </c>
      <c r="N19" s="727">
        <f>transport!M14</f>
        <v>5485.7990341870545</v>
      </c>
      <c r="O19" s="727">
        <f>transport!N14</f>
        <v>0</v>
      </c>
      <c r="P19" s="727">
        <f>transport!O14</f>
        <v>0</v>
      </c>
      <c r="Q19" s="728">
        <f>transport!P14</f>
        <v>0</v>
      </c>
      <c r="R19" s="729">
        <f>SUM(C19:Q19)</f>
        <v>105317.80701887692</v>
      </c>
      <c r="S19" s="67"/>
    </row>
    <row r="20" spans="1:19" s="474" customFormat="1" ht="15.75" thickBot="1">
      <c r="A20" s="730" t="s">
        <v>230</v>
      </c>
      <c r="B20" s="878"/>
      <c r="C20" s="873">
        <f>SUM(C17:C19)</f>
        <v>28.818250271007091</v>
      </c>
      <c r="D20" s="731">
        <f t="shared" ref="D20:R20" si="1">SUM(D17:D19)</f>
        <v>0</v>
      </c>
      <c r="E20" s="731">
        <f t="shared" si="1"/>
        <v>102.25845485484108</v>
      </c>
      <c r="F20" s="731">
        <f t="shared" si="1"/>
        <v>136.05032146302963</v>
      </c>
      <c r="G20" s="731">
        <f t="shared" si="1"/>
        <v>0</v>
      </c>
      <c r="H20" s="731">
        <f t="shared" si="1"/>
        <v>88769.563799456882</v>
      </c>
      <c r="I20" s="731">
        <f t="shared" si="1"/>
        <v>11528.904147214873</v>
      </c>
      <c r="J20" s="731">
        <f t="shared" si="1"/>
        <v>0</v>
      </c>
      <c r="K20" s="731">
        <f t="shared" si="1"/>
        <v>0</v>
      </c>
      <c r="L20" s="731">
        <f t="shared" si="1"/>
        <v>0</v>
      </c>
      <c r="M20" s="731">
        <f t="shared" si="1"/>
        <v>0</v>
      </c>
      <c r="N20" s="731">
        <f t="shared" si="1"/>
        <v>5527.4635366620778</v>
      </c>
      <c r="O20" s="731">
        <f t="shared" si="1"/>
        <v>0</v>
      </c>
      <c r="P20" s="731">
        <f t="shared" si="1"/>
        <v>0</v>
      </c>
      <c r="Q20" s="732">
        <f t="shared" si="1"/>
        <v>0</v>
      </c>
      <c r="R20" s="733">
        <f t="shared" si="1"/>
        <v>106093.0585099227</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356.12002443504724</v>
      </c>
      <c r="D22" s="727">
        <f>+landbouw!C8</f>
        <v>0</v>
      </c>
      <c r="E22" s="727">
        <f>+landbouw!D8</f>
        <v>6639.9349999059541</v>
      </c>
      <c r="F22" s="727">
        <f>+landbouw!E8</f>
        <v>10.467455234246486</v>
      </c>
      <c r="G22" s="727">
        <f>+landbouw!F8</f>
        <v>1483.5767780803444</v>
      </c>
      <c r="H22" s="727">
        <f>+landbouw!G8</f>
        <v>0</v>
      </c>
      <c r="I22" s="727">
        <f>+landbouw!H8</f>
        <v>0</v>
      </c>
      <c r="J22" s="727">
        <f>+landbouw!I8</f>
        <v>0</v>
      </c>
      <c r="K22" s="727">
        <f>+landbouw!J8</f>
        <v>51.594143775570508</v>
      </c>
      <c r="L22" s="727">
        <f>+landbouw!K8</f>
        <v>0</v>
      </c>
      <c r="M22" s="727">
        <f>+landbouw!L8</f>
        <v>0</v>
      </c>
      <c r="N22" s="727">
        <f>+landbouw!M8</f>
        <v>0</v>
      </c>
      <c r="O22" s="727">
        <f>+landbouw!N8</f>
        <v>0</v>
      </c>
      <c r="P22" s="727">
        <f>+landbouw!O8</f>
        <v>0</v>
      </c>
      <c r="Q22" s="728">
        <f>+landbouw!P8</f>
        <v>0</v>
      </c>
      <c r="R22" s="729">
        <f>SUM(C22:Q22)</f>
        <v>8541.6934014311628</v>
      </c>
      <c r="S22" s="67"/>
    </row>
    <row r="23" spans="1:19" s="474" customFormat="1" ht="17.25" thickTop="1" thickBot="1">
      <c r="A23" s="734" t="s">
        <v>116</v>
      </c>
      <c r="B23" s="864"/>
      <c r="C23" s="735">
        <f ca="1">C20+C15+C22</f>
        <v>130975.78168305902</v>
      </c>
      <c r="D23" s="735">
        <f t="shared" ref="D23:Q23" ca="1" si="2">D20+D15+D22</f>
        <v>940.71428571428555</v>
      </c>
      <c r="E23" s="735">
        <f t="shared" ca="1" si="2"/>
        <v>249720.11722755746</v>
      </c>
      <c r="F23" s="735">
        <f t="shared" si="2"/>
        <v>9073.7193766363616</v>
      </c>
      <c r="G23" s="735">
        <f t="shared" ca="1" si="2"/>
        <v>29448.413886043199</v>
      </c>
      <c r="H23" s="735">
        <f t="shared" si="2"/>
        <v>88769.563799456882</v>
      </c>
      <c r="I23" s="735">
        <f t="shared" si="2"/>
        <v>11528.904147214873</v>
      </c>
      <c r="J23" s="735">
        <f t="shared" si="2"/>
        <v>0</v>
      </c>
      <c r="K23" s="735">
        <f t="shared" si="2"/>
        <v>4645.2635087248536</v>
      </c>
      <c r="L23" s="735">
        <f t="shared" si="2"/>
        <v>0</v>
      </c>
      <c r="M23" s="735">
        <f t="shared" ca="1" si="2"/>
        <v>0</v>
      </c>
      <c r="N23" s="735">
        <f t="shared" si="2"/>
        <v>5527.4635366620778</v>
      </c>
      <c r="O23" s="735">
        <f t="shared" ca="1" si="2"/>
        <v>37345.184114378739</v>
      </c>
      <c r="P23" s="735">
        <f t="shared" si="2"/>
        <v>192.29000000000002</v>
      </c>
      <c r="Q23" s="736">
        <f t="shared" si="2"/>
        <v>457.6</v>
      </c>
      <c r="R23" s="737">
        <f ca="1">R20+R15+R22</f>
        <v>568625.01556544786</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7428.4361184670033</v>
      </c>
      <c r="D36" s="718">
        <f ca="1">tertiair!C20</f>
        <v>223.34680906435847</v>
      </c>
      <c r="E36" s="718">
        <f ca="1">tertiair!D20</f>
        <v>9264.4358238784735</v>
      </c>
      <c r="F36" s="718">
        <f>tertiair!E20</f>
        <v>105.20847191012896</v>
      </c>
      <c r="G36" s="718">
        <f ca="1">tertiair!F20</f>
        <v>1525.1686065588394</v>
      </c>
      <c r="H36" s="718">
        <f>tertiair!G20</f>
        <v>0</v>
      </c>
      <c r="I36" s="718">
        <f>tertiair!H20</f>
        <v>0</v>
      </c>
      <c r="J36" s="718">
        <f>tertiair!I20</f>
        <v>0</v>
      </c>
      <c r="K36" s="718">
        <f>tertiair!J20</f>
        <v>2.3170571773745638E-2</v>
      </c>
      <c r="L36" s="718">
        <f>tertiair!K20</f>
        <v>0</v>
      </c>
      <c r="M36" s="718">
        <f ca="1">tertiair!L20</f>
        <v>0</v>
      </c>
      <c r="N36" s="718">
        <f>tertiair!M20</f>
        <v>0</v>
      </c>
      <c r="O36" s="718">
        <f ca="1">tertiair!N20</f>
        <v>0</v>
      </c>
      <c r="P36" s="718">
        <f>tertiair!O20</f>
        <v>0</v>
      </c>
      <c r="Q36" s="828">
        <f>tertiair!P20</f>
        <v>0</v>
      </c>
      <c r="R36" s="917">
        <f ca="1">SUM(C36:Q36)</f>
        <v>18546.619000450577</v>
      </c>
    </row>
    <row r="37" spans="1:18">
      <c r="A37" s="885" t="s">
        <v>225</v>
      </c>
      <c r="B37" s="892"/>
      <c r="C37" s="718">
        <f ca="1">huishoudens!B12</f>
        <v>7611.0356964575367</v>
      </c>
      <c r="D37" s="718">
        <f ca="1">huishoudens!C12</f>
        <v>0</v>
      </c>
      <c r="E37" s="718">
        <f>huishoudens!D12</f>
        <v>21157.404079765129</v>
      </c>
      <c r="F37" s="718">
        <f>huishoudens!E12</f>
        <v>1419.9389066399162</v>
      </c>
      <c r="G37" s="718">
        <f>huishoudens!F12</f>
        <v>3205.8656209347191</v>
      </c>
      <c r="H37" s="718">
        <f>huishoudens!G12</f>
        <v>0</v>
      </c>
      <c r="I37" s="718">
        <f>huishoudens!H12</f>
        <v>0</v>
      </c>
      <c r="J37" s="718">
        <f>huishoudens!I12</f>
        <v>0</v>
      </c>
      <c r="K37" s="718">
        <f>huishoudens!J12</f>
        <v>1600.2123667025803</v>
      </c>
      <c r="L37" s="718">
        <f>huishoudens!K12</f>
        <v>0</v>
      </c>
      <c r="M37" s="718">
        <f>huishoudens!L12</f>
        <v>0</v>
      </c>
      <c r="N37" s="718">
        <f>huishoudens!M12</f>
        <v>0</v>
      </c>
      <c r="O37" s="718">
        <f>huishoudens!N12</f>
        <v>0</v>
      </c>
      <c r="P37" s="718">
        <f>huishoudens!O12</f>
        <v>0</v>
      </c>
      <c r="Q37" s="828">
        <f>huishoudens!P12</f>
        <v>0</v>
      </c>
      <c r="R37" s="917">
        <f ca="1">SUM(C37:Q37)</f>
        <v>34994.45667049988</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12325.98375295921</v>
      </c>
      <c r="D39" s="718">
        <f ca="1">industrie!C22</f>
        <v>0</v>
      </c>
      <c r="E39" s="718">
        <f>industrie!D22</f>
        <v>18659.700698461329</v>
      </c>
      <c r="F39" s="718">
        <f>industrie!E22</f>
        <v>501.32738463612736</v>
      </c>
      <c r="G39" s="718">
        <f>industrie!F22</f>
        <v>2735.577280332524</v>
      </c>
      <c r="H39" s="718">
        <f>industrie!G22</f>
        <v>0</v>
      </c>
      <c r="I39" s="718">
        <f>industrie!H22</f>
        <v>0</v>
      </c>
      <c r="J39" s="718">
        <f>industrie!I22</f>
        <v>0</v>
      </c>
      <c r="K39" s="718">
        <f>industrie!J22</f>
        <v>25.923417917691651</v>
      </c>
      <c r="L39" s="718">
        <f>industrie!K22</f>
        <v>0</v>
      </c>
      <c r="M39" s="718">
        <f>industrie!L22</f>
        <v>0</v>
      </c>
      <c r="N39" s="718">
        <f>industrie!M22</f>
        <v>0</v>
      </c>
      <c r="O39" s="718">
        <f>industrie!N22</f>
        <v>0</v>
      </c>
      <c r="P39" s="718">
        <f>industrie!O22</f>
        <v>0</v>
      </c>
      <c r="Q39" s="828">
        <f>industrie!P22</f>
        <v>0</v>
      </c>
      <c r="R39" s="918">
        <f ca="1">SUM(C39:Q39)</f>
        <v>34248.512534306879</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27365.45556788375</v>
      </c>
      <c r="D41" s="763">
        <f t="shared" ref="D41:R41" ca="1" si="4">SUM(D35:D40)</f>
        <v>223.34680906435847</v>
      </c>
      <c r="E41" s="763">
        <f t="shared" ca="1" si="4"/>
        <v>49081.540602104928</v>
      </c>
      <c r="F41" s="763">
        <f t="shared" si="4"/>
        <v>2026.4747631861726</v>
      </c>
      <c r="G41" s="763">
        <f t="shared" ca="1" si="4"/>
        <v>7466.6115078260827</v>
      </c>
      <c r="H41" s="763">
        <f t="shared" si="4"/>
        <v>0</v>
      </c>
      <c r="I41" s="763">
        <f t="shared" si="4"/>
        <v>0</v>
      </c>
      <c r="J41" s="763">
        <f t="shared" si="4"/>
        <v>0</v>
      </c>
      <c r="K41" s="763">
        <f t="shared" si="4"/>
        <v>1626.1589551920458</v>
      </c>
      <c r="L41" s="763">
        <f t="shared" si="4"/>
        <v>0</v>
      </c>
      <c r="M41" s="763">
        <f t="shared" ca="1" si="4"/>
        <v>0</v>
      </c>
      <c r="N41" s="763">
        <f t="shared" si="4"/>
        <v>0</v>
      </c>
      <c r="O41" s="763">
        <f t="shared" ca="1" si="4"/>
        <v>0</v>
      </c>
      <c r="P41" s="763">
        <f t="shared" si="4"/>
        <v>0</v>
      </c>
      <c r="Q41" s="764">
        <f t="shared" si="4"/>
        <v>0</v>
      </c>
      <c r="R41" s="765">
        <f t="shared" ca="1" si="4"/>
        <v>87789.588205257343</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195.86772594839394</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195.86772594839394</v>
      </c>
    </row>
    <row r="45" spans="1:18" ht="15" thickBot="1">
      <c r="A45" s="888" t="s">
        <v>307</v>
      </c>
      <c r="B45" s="898"/>
      <c r="C45" s="727">
        <f ca="1">transport!B18</f>
        <v>6.0388961948074513</v>
      </c>
      <c r="D45" s="727">
        <f>transport!C18</f>
        <v>0</v>
      </c>
      <c r="E45" s="727">
        <f>transport!D18</f>
        <v>20.656207880677897</v>
      </c>
      <c r="F45" s="727">
        <f>transport!E18</f>
        <v>30.883422972107727</v>
      </c>
      <c r="G45" s="727">
        <f>transport!F18</f>
        <v>0</v>
      </c>
      <c r="H45" s="727">
        <f>transport!G18</f>
        <v>23505.605808506596</v>
      </c>
      <c r="I45" s="727">
        <f>transport!H18</f>
        <v>2870.6971326565035</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26433.881468210693</v>
      </c>
    </row>
    <row r="46" spans="1:18" ht="15.75" thickBot="1">
      <c r="A46" s="886" t="s">
        <v>230</v>
      </c>
      <c r="B46" s="899"/>
      <c r="C46" s="763">
        <f t="shared" ref="C46:R46" ca="1" si="5">SUM(C43:C45)</f>
        <v>6.0388961948074513</v>
      </c>
      <c r="D46" s="763">
        <f t="shared" ca="1" si="5"/>
        <v>0</v>
      </c>
      <c r="E46" s="763">
        <f t="shared" si="5"/>
        <v>20.656207880677897</v>
      </c>
      <c r="F46" s="763">
        <f t="shared" si="5"/>
        <v>30.883422972107727</v>
      </c>
      <c r="G46" s="763">
        <f t="shared" si="5"/>
        <v>0</v>
      </c>
      <c r="H46" s="763">
        <f t="shared" si="5"/>
        <v>23701.473534454992</v>
      </c>
      <c r="I46" s="763">
        <f t="shared" si="5"/>
        <v>2870.6971326565035</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26629.749194159089</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74.625344711477823</v>
      </c>
      <c r="D48" s="718">
        <f ca="1">+landbouw!C12</f>
        <v>0</v>
      </c>
      <c r="E48" s="718">
        <f>+landbouw!D12</f>
        <v>1341.2668699810029</v>
      </c>
      <c r="F48" s="718">
        <f>+landbouw!E12</f>
        <v>2.3761123381739524</v>
      </c>
      <c r="G48" s="718">
        <f>+landbouw!F12</f>
        <v>396.11499974745198</v>
      </c>
      <c r="H48" s="718">
        <f>+landbouw!G12</f>
        <v>0</v>
      </c>
      <c r="I48" s="718">
        <f>+landbouw!H12</f>
        <v>0</v>
      </c>
      <c r="J48" s="718">
        <f>+landbouw!I12</f>
        <v>0</v>
      </c>
      <c r="K48" s="718">
        <f>+landbouw!J12</f>
        <v>18.26432689655196</v>
      </c>
      <c r="L48" s="718">
        <f>+landbouw!K12</f>
        <v>0</v>
      </c>
      <c r="M48" s="718">
        <f>+landbouw!L12</f>
        <v>0</v>
      </c>
      <c r="N48" s="718">
        <f>+landbouw!M12</f>
        <v>0</v>
      </c>
      <c r="O48" s="718">
        <f>+landbouw!N12</f>
        <v>0</v>
      </c>
      <c r="P48" s="718">
        <f>+landbouw!O12</f>
        <v>0</v>
      </c>
      <c r="Q48" s="719">
        <f>+landbouw!P12</f>
        <v>0</v>
      </c>
      <c r="R48" s="761">
        <f ca="1">SUM(C48:Q48)</f>
        <v>1832.6476536746584</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27446.119808790037</v>
      </c>
      <c r="D53" s="773">
        <f t="shared" ref="D53:Q53" ca="1" si="6">D41+D46+D48</f>
        <v>223.34680906435847</v>
      </c>
      <c r="E53" s="773">
        <f t="shared" ca="1" si="6"/>
        <v>50443.463679966604</v>
      </c>
      <c r="F53" s="773">
        <f t="shared" si="6"/>
        <v>2059.7342984964544</v>
      </c>
      <c r="G53" s="773">
        <f t="shared" ca="1" si="6"/>
        <v>7862.7265075735349</v>
      </c>
      <c r="H53" s="773">
        <f t="shared" si="6"/>
        <v>23701.473534454992</v>
      </c>
      <c r="I53" s="773">
        <f t="shared" si="6"/>
        <v>2870.6971326565035</v>
      </c>
      <c r="J53" s="773">
        <f t="shared" si="6"/>
        <v>0</v>
      </c>
      <c r="K53" s="773">
        <f t="shared" si="6"/>
        <v>1644.4232820885977</v>
      </c>
      <c r="L53" s="773">
        <f t="shared" si="6"/>
        <v>0</v>
      </c>
      <c r="M53" s="773">
        <f t="shared" ca="1" si="6"/>
        <v>0</v>
      </c>
      <c r="N53" s="773">
        <f t="shared" si="6"/>
        <v>0</v>
      </c>
      <c r="O53" s="773">
        <f t="shared" ca="1" si="6"/>
        <v>0</v>
      </c>
      <c r="P53" s="773">
        <f>P41+P46+P48</f>
        <v>0</v>
      </c>
      <c r="Q53" s="774">
        <f t="shared" si="6"/>
        <v>0</v>
      </c>
      <c r="R53" s="775">
        <f ca="1">R41+R46+R48</f>
        <v>116251.98505309109</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0.20955110522039389</v>
      </c>
      <c r="D55" s="836">
        <f t="shared" ca="1" si="7"/>
        <v>0.23742257607448891</v>
      </c>
      <c r="E55" s="836">
        <f t="shared" ca="1" si="7"/>
        <v>0.20199999999999999</v>
      </c>
      <c r="F55" s="836">
        <f t="shared" si="7"/>
        <v>0.22700000000000004</v>
      </c>
      <c r="G55" s="836">
        <f t="shared" ca="1" si="7"/>
        <v>0.26700000000000002</v>
      </c>
      <c r="H55" s="836">
        <f t="shared" si="7"/>
        <v>0.26700000000000007</v>
      </c>
      <c r="I55" s="836">
        <f t="shared" si="7"/>
        <v>0.24900000000000003</v>
      </c>
      <c r="J55" s="836">
        <f t="shared" si="7"/>
        <v>0</v>
      </c>
      <c r="K55" s="836">
        <f t="shared" si="7"/>
        <v>0.35399999999999993</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6833.2916539828866</v>
      </c>
      <c r="C66" s="795">
        <f>'lokale energieproductie'!B6</f>
        <v>6833.2916539828866</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647.24999999999989</v>
      </c>
      <c r="C67" s="794">
        <f>B67*IFERROR(SUM(J67:L67)/SUM(D67:M67),0)</f>
        <v>0</v>
      </c>
      <c r="D67" s="826">
        <f>'lokale energieproductie'!C7</f>
        <v>760.75129883273735</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153.67176236421295</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7480.5416539828866</v>
      </c>
      <c r="C69" s="803">
        <f>SUM(C64:C68)</f>
        <v>6833.2916539828866</v>
      </c>
      <c r="D69" s="804">
        <f t="shared" ref="D69:M69" si="8">SUM(D67:D68)</f>
        <v>760.75129883273735</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153.67176236421295</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940.71428571428555</v>
      </c>
      <c r="C78" s="817">
        <f>B78*IFERROR(SUM(I78:L78)/SUM(D78:M78),0)</f>
        <v>0</v>
      </c>
      <c r="D78" s="832">
        <f>'lokale energieproductie'!C16</f>
        <v>1105.677272595834</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223.34680906435847</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940.71428571428555</v>
      </c>
      <c r="C81" s="803">
        <f>SUM(C78:C80)</f>
        <v>0</v>
      </c>
      <c r="D81" s="803">
        <f t="shared" ref="D81:P81" si="9">SUM(D78:D80)</f>
        <v>1105.677272595834</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223.34680906435847</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36320.665970492897</v>
      </c>
      <c r="C4" s="478">
        <f>huishoudens!C8</f>
        <v>0</v>
      </c>
      <c r="D4" s="478">
        <f>huishoudens!D8</f>
        <v>104739.62415725311</v>
      </c>
      <c r="E4" s="478">
        <f>huishoudens!E8</f>
        <v>6255.2374741846525</v>
      </c>
      <c r="F4" s="478">
        <f>huishoudens!F8</f>
        <v>12006.987344324791</v>
      </c>
      <c r="G4" s="478">
        <f>huishoudens!G8</f>
        <v>0</v>
      </c>
      <c r="H4" s="478">
        <f>huishoudens!H8</f>
        <v>0</v>
      </c>
      <c r="I4" s="478">
        <f>huishoudens!I8</f>
        <v>0</v>
      </c>
      <c r="J4" s="478">
        <f>huishoudens!J8</f>
        <v>4520.3739172389278</v>
      </c>
      <c r="K4" s="478">
        <f>huishoudens!K8</f>
        <v>0</v>
      </c>
      <c r="L4" s="478">
        <f>huishoudens!L8</f>
        <v>0</v>
      </c>
      <c r="M4" s="478">
        <f>huishoudens!M8</f>
        <v>0</v>
      </c>
      <c r="N4" s="478">
        <f>huishoudens!N8</f>
        <v>26743.78494194688</v>
      </c>
      <c r="O4" s="478">
        <f>huishoudens!O8</f>
        <v>192.29000000000002</v>
      </c>
      <c r="P4" s="479">
        <f>huishoudens!P8</f>
        <v>457.6</v>
      </c>
      <c r="Q4" s="480">
        <f>SUM(B4:P4)</f>
        <v>191236.56380544128</v>
      </c>
    </row>
    <row r="5" spans="1:17">
      <c r="A5" s="477" t="s">
        <v>156</v>
      </c>
      <c r="B5" s="478">
        <f ca="1">tertiair!B16</f>
        <v>33635.359504166721</v>
      </c>
      <c r="C5" s="478">
        <f ca="1">tertiair!C16</f>
        <v>940.71428571428555</v>
      </c>
      <c r="D5" s="478">
        <f ca="1">tertiair!D16</f>
        <v>45863.543682566698</v>
      </c>
      <c r="E5" s="478">
        <f>tertiair!E16</f>
        <v>463.47344453801304</v>
      </c>
      <c r="F5" s="478">
        <f ca="1">tertiair!F16</f>
        <v>5712.2419721304841</v>
      </c>
      <c r="G5" s="478">
        <f>tertiair!G16</f>
        <v>0</v>
      </c>
      <c r="H5" s="478">
        <f>tertiair!H16</f>
        <v>0</v>
      </c>
      <c r="I5" s="478">
        <f>tertiair!I16</f>
        <v>0</v>
      </c>
      <c r="J5" s="478">
        <f>tertiair!J16</f>
        <v>6.5453592581202369E-2</v>
      </c>
      <c r="K5" s="478">
        <f>tertiair!K16</f>
        <v>0</v>
      </c>
      <c r="L5" s="478">
        <f ca="1">tertiair!L16</f>
        <v>0</v>
      </c>
      <c r="M5" s="478">
        <f>tertiair!M16</f>
        <v>0</v>
      </c>
      <c r="N5" s="478">
        <f ca="1">tertiair!N16</f>
        <v>2687.7323775796704</v>
      </c>
      <c r="O5" s="478">
        <f>tertiair!O16</f>
        <v>0</v>
      </c>
      <c r="P5" s="479">
        <f>tertiair!P16</f>
        <v>0</v>
      </c>
      <c r="Q5" s="477">
        <f t="shared" ref="Q5:Q13" ca="1" si="0">SUM(B5:P5)</f>
        <v>89303.130720288464</v>
      </c>
    </row>
    <row r="6" spans="1:17">
      <c r="A6" s="477" t="s">
        <v>194</v>
      </c>
      <c r="B6" s="478">
        <f>'openbare verlichting'!B8</f>
        <v>1813.922</v>
      </c>
      <c r="C6" s="478"/>
      <c r="D6" s="478"/>
      <c r="E6" s="478"/>
      <c r="F6" s="478"/>
      <c r="G6" s="478"/>
      <c r="H6" s="478"/>
      <c r="I6" s="478"/>
      <c r="J6" s="478"/>
      <c r="K6" s="478"/>
      <c r="L6" s="478"/>
      <c r="M6" s="478"/>
      <c r="N6" s="478"/>
      <c r="O6" s="478"/>
      <c r="P6" s="479"/>
      <c r="Q6" s="477">
        <f t="shared" si="0"/>
        <v>1813.922</v>
      </c>
    </row>
    <row r="7" spans="1:17">
      <c r="A7" s="477" t="s">
        <v>112</v>
      </c>
      <c r="B7" s="478">
        <f>landbouw!B8</f>
        <v>356.12002443504724</v>
      </c>
      <c r="C7" s="478">
        <f>landbouw!C8</f>
        <v>0</v>
      </c>
      <c r="D7" s="478">
        <f>landbouw!D8</f>
        <v>6639.9349999059541</v>
      </c>
      <c r="E7" s="478">
        <f>landbouw!E8</f>
        <v>10.467455234246486</v>
      </c>
      <c r="F7" s="478">
        <f>landbouw!F8</f>
        <v>1483.5767780803444</v>
      </c>
      <c r="G7" s="478">
        <f>landbouw!G8</f>
        <v>0</v>
      </c>
      <c r="H7" s="478">
        <f>landbouw!H8</f>
        <v>0</v>
      </c>
      <c r="I7" s="478">
        <f>landbouw!I8</f>
        <v>0</v>
      </c>
      <c r="J7" s="478">
        <f>landbouw!J8</f>
        <v>51.594143775570508</v>
      </c>
      <c r="K7" s="478">
        <f>landbouw!K8</f>
        <v>0</v>
      </c>
      <c r="L7" s="478">
        <f>landbouw!L8</f>
        <v>0</v>
      </c>
      <c r="M7" s="478">
        <f>landbouw!M8</f>
        <v>0</v>
      </c>
      <c r="N7" s="478">
        <f>landbouw!N8</f>
        <v>0</v>
      </c>
      <c r="O7" s="478">
        <f>landbouw!O8</f>
        <v>0</v>
      </c>
      <c r="P7" s="479">
        <f>landbouw!P8</f>
        <v>0</v>
      </c>
      <c r="Q7" s="477">
        <f t="shared" si="0"/>
        <v>8541.6934014311628</v>
      </c>
    </row>
    <row r="8" spans="1:17">
      <c r="A8" s="477" t="s">
        <v>635</v>
      </c>
      <c r="B8" s="478">
        <f>industrie!B18</f>
        <v>58820.895933693333</v>
      </c>
      <c r="C8" s="478">
        <f>industrie!C18</f>
        <v>0</v>
      </c>
      <c r="D8" s="478">
        <f>industrie!D18</f>
        <v>92374.75593297687</v>
      </c>
      <c r="E8" s="478">
        <f>industrie!E18</f>
        <v>2208.4906812164199</v>
      </c>
      <c r="F8" s="478">
        <f>industrie!F18</f>
        <v>10245.60779150758</v>
      </c>
      <c r="G8" s="478">
        <f>industrie!G18</f>
        <v>0</v>
      </c>
      <c r="H8" s="478">
        <f>industrie!H18</f>
        <v>0</v>
      </c>
      <c r="I8" s="478">
        <f>industrie!I18</f>
        <v>0</v>
      </c>
      <c r="J8" s="478">
        <f>industrie!J18</f>
        <v>73.229994117773032</v>
      </c>
      <c r="K8" s="478">
        <f>industrie!K18</f>
        <v>0</v>
      </c>
      <c r="L8" s="478">
        <f>industrie!L18</f>
        <v>0</v>
      </c>
      <c r="M8" s="478">
        <f>industrie!M18</f>
        <v>0</v>
      </c>
      <c r="N8" s="478">
        <f>industrie!N18</f>
        <v>7913.6667948521845</v>
      </c>
      <c r="O8" s="478">
        <f>industrie!O18</f>
        <v>0</v>
      </c>
      <c r="P8" s="479">
        <f>industrie!P18</f>
        <v>0</v>
      </c>
      <c r="Q8" s="477">
        <f t="shared" si="0"/>
        <v>171636.64712836416</v>
      </c>
    </row>
    <row r="9" spans="1:17" s="483" customFormat="1">
      <c r="A9" s="481" t="s">
        <v>561</v>
      </c>
      <c r="B9" s="482">
        <f>transport!B14</f>
        <v>28.818250271007091</v>
      </c>
      <c r="C9" s="482"/>
      <c r="D9" s="482">
        <f>transport!D14</f>
        <v>102.25845485484108</v>
      </c>
      <c r="E9" s="482">
        <f>transport!E14</f>
        <v>136.05032146302963</v>
      </c>
      <c r="F9" s="482"/>
      <c r="G9" s="482">
        <f>transport!G14</f>
        <v>88035.976810886117</v>
      </c>
      <c r="H9" s="482">
        <f>transport!H14</f>
        <v>11528.904147214873</v>
      </c>
      <c r="I9" s="482"/>
      <c r="J9" s="482"/>
      <c r="K9" s="482"/>
      <c r="L9" s="482"/>
      <c r="M9" s="482">
        <f>transport!M14</f>
        <v>5485.7990341870545</v>
      </c>
      <c r="N9" s="482"/>
      <c r="O9" s="482"/>
      <c r="P9" s="482"/>
      <c r="Q9" s="481">
        <f>SUM(B9:P9)</f>
        <v>105317.80701887692</v>
      </c>
    </row>
    <row r="10" spans="1:17">
      <c r="A10" s="477" t="s">
        <v>551</v>
      </c>
      <c r="B10" s="478">
        <f>transport!B54</f>
        <v>0</v>
      </c>
      <c r="C10" s="478"/>
      <c r="D10" s="478">
        <f>transport!D54</f>
        <v>0</v>
      </c>
      <c r="E10" s="478"/>
      <c r="F10" s="478"/>
      <c r="G10" s="478">
        <f>transport!G54</f>
        <v>733.58698857076376</v>
      </c>
      <c r="H10" s="478"/>
      <c r="I10" s="478"/>
      <c r="J10" s="478"/>
      <c r="K10" s="478"/>
      <c r="L10" s="478"/>
      <c r="M10" s="478">
        <f>transport!M54</f>
        <v>41.664502475023603</v>
      </c>
      <c r="N10" s="478"/>
      <c r="O10" s="478"/>
      <c r="P10" s="479"/>
      <c r="Q10" s="477">
        <f t="shared" si="0"/>
        <v>775.25149104578736</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130975.78168305902</v>
      </c>
      <c r="C14" s="488">
        <f t="shared" ref="C14:Q14" ca="1" si="1">SUM(C4:C13)</f>
        <v>940.71428571428555</v>
      </c>
      <c r="D14" s="488">
        <f t="shared" ca="1" si="1"/>
        <v>249720.11722755746</v>
      </c>
      <c r="E14" s="488">
        <f t="shared" si="1"/>
        <v>9073.7193766363616</v>
      </c>
      <c r="F14" s="488">
        <f t="shared" ca="1" si="1"/>
        <v>29448.413886043199</v>
      </c>
      <c r="G14" s="488">
        <f t="shared" si="1"/>
        <v>88769.563799456882</v>
      </c>
      <c r="H14" s="488">
        <f t="shared" si="1"/>
        <v>11528.904147214873</v>
      </c>
      <c r="I14" s="488">
        <f t="shared" si="1"/>
        <v>0</v>
      </c>
      <c r="J14" s="488">
        <f t="shared" si="1"/>
        <v>4645.2635087248536</v>
      </c>
      <c r="K14" s="488">
        <f t="shared" si="1"/>
        <v>0</v>
      </c>
      <c r="L14" s="488">
        <f t="shared" ca="1" si="1"/>
        <v>0</v>
      </c>
      <c r="M14" s="488">
        <f t="shared" si="1"/>
        <v>5527.4635366620778</v>
      </c>
      <c r="N14" s="488">
        <f t="shared" ca="1" si="1"/>
        <v>37345.184114378739</v>
      </c>
      <c r="O14" s="488">
        <f t="shared" si="1"/>
        <v>192.29000000000002</v>
      </c>
      <c r="P14" s="489">
        <f t="shared" si="1"/>
        <v>457.6</v>
      </c>
      <c r="Q14" s="489">
        <f t="shared" ca="1" si="1"/>
        <v>568625.01556544774</v>
      </c>
    </row>
    <row r="16" spans="1:17">
      <c r="A16" s="491" t="s">
        <v>556</v>
      </c>
      <c r="B16" s="841">
        <f ca="1">huishoudens!B10</f>
        <v>0.20955110522039389</v>
      </c>
      <c r="C16" s="841">
        <f ca="1">huishoudens!C10</f>
        <v>0.23742257607448891</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7611.0356964575367</v>
      </c>
      <c r="C21" s="478">
        <f t="shared" ref="C21:C28" ca="1" si="3">C4*$C$16</f>
        <v>0</v>
      </c>
      <c r="D21" s="478">
        <f t="shared" ref="D21:D30" si="4">D4*$D$16</f>
        <v>21157.404079765129</v>
      </c>
      <c r="E21" s="478">
        <f t="shared" ref="E21:E30" si="5">E4*$E$16</f>
        <v>1419.9389066399162</v>
      </c>
      <c r="F21" s="478">
        <f t="shared" ref="F21:F28" si="6">F4*$F$16</f>
        <v>3205.8656209347191</v>
      </c>
      <c r="G21" s="478">
        <f t="shared" ref="G21:G30" si="7">G4*$G$16</f>
        <v>0</v>
      </c>
      <c r="H21" s="478">
        <f t="shared" ref="H21:H30" si="8">H4*$H$16</f>
        <v>0</v>
      </c>
      <c r="I21" s="478">
        <f t="shared" ref="I21:I28" si="9">I4*$I$16</f>
        <v>0</v>
      </c>
      <c r="J21" s="478">
        <f t="shared" ref="J21:J28" si="10">J4*$J$16</f>
        <v>1600.2123667025803</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34994.45667049988</v>
      </c>
    </row>
    <row r="22" spans="1:17">
      <c r="A22" s="477" t="s">
        <v>156</v>
      </c>
      <c r="B22" s="478">
        <f t="shared" ca="1" si="2"/>
        <v>7048.3267585834164</v>
      </c>
      <c r="C22" s="478">
        <f t="shared" ca="1" si="3"/>
        <v>223.34680906435847</v>
      </c>
      <c r="D22" s="478">
        <f t="shared" ca="1" si="4"/>
        <v>9264.4358238784735</v>
      </c>
      <c r="E22" s="478">
        <f t="shared" si="5"/>
        <v>105.20847191012896</v>
      </c>
      <c r="F22" s="478">
        <f t="shared" ca="1" si="6"/>
        <v>1525.1686065588394</v>
      </c>
      <c r="G22" s="478">
        <f t="shared" si="7"/>
        <v>0</v>
      </c>
      <c r="H22" s="478">
        <f t="shared" si="8"/>
        <v>0</v>
      </c>
      <c r="I22" s="478">
        <f t="shared" si="9"/>
        <v>0</v>
      </c>
      <c r="J22" s="478">
        <f t="shared" si="10"/>
        <v>2.3170571773745638E-2</v>
      </c>
      <c r="K22" s="478">
        <f t="shared" si="11"/>
        <v>0</v>
      </c>
      <c r="L22" s="478">
        <f t="shared" ca="1" si="12"/>
        <v>0</v>
      </c>
      <c r="M22" s="478">
        <f t="shared" si="13"/>
        <v>0</v>
      </c>
      <c r="N22" s="478">
        <f t="shared" ca="1" si="14"/>
        <v>0</v>
      </c>
      <c r="O22" s="478">
        <f t="shared" si="15"/>
        <v>0</v>
      </c>
      <c r="P22" s="479">
        <f t="shared" si="16"/>
        <v>0</v>
      </c>
      <c r="Q22" s="477">
        <f t="shared" ref="Q22:Q30" ca="1" si="17">SUM(B22:P22)</f>
        <v>18166.50964056699</v>
      </c>
    </row>
    <row r="23" spans="1:17">
      <c r="A23" s="477" t="s">
        <v>194</v>
      </c>
      <c r="B23" s="478">
        <f t="shared" ca="1" si="2"/>
        <v>380.10935988358733</v>
      </c>
      <c r="C23" s="478"/>
      <c r="D23" s="478"/>
      <c r="E23" s="478"/>
      <c r="F23" s="478"/>
      <c r="G23" s="478"/>
      <c r="H23" s="478"/>
      <c r="I23" s="478"/>
      <c r="J23" s="478"/>
      <c r="K23" s="478"/>
      <c r="L23" s="478"/>
      <c r="M23" s="478"/>
      <c r="N23" s="478"/>
      <c r="O23" s="478"/>
      <c r="P23" s="479"/>
      <c r="Q23" s="477">
        <f t="shared" ca="1" si="17"/>
        <v>380.10935988358733</v>
      </c>
    </row>
    <row r="24" spans="1:17">
      <c r="A24" s="477" t="s">
        <v>112</v>
      </c>
      <c r="B24" s="478">
        <f t="shared" ca="1" si="2"/>
        <v>74.625344711477823</v>
      </c>
      <c r="C24" s="478">
        <f t="shared" ca="1" si="3"/>
        <v>0</v>
      </c>
      <c r="D24" s="478">
        <f t="shared" si="4"/>
        <v>1341.2668699810029</v>
      </c>
      <c r="E24" s="478">
        <f t="shared" si="5"/>
        <v>2.3761123381739524</v>
      </c>
      <c r="F24" s="478">
        <f t="shared" si="6"/>
        <v>396.11499974745198</v>
      </c>
      <c r="G24" s="478">
        <f t="shared" si="7"/>
        <v>0</v>
      </c>
      <c r="H24" s="478">
        <f t="shared" si="8"/>
        <v>0</v>
      </c>
      <c r="I24" s="478">
        <f t="shared" si="9"/>
        <v>0</v>
      </c>
      <c r="J24" s="478">
        <f t="shared" si="10"/>
        <v>18.26432689655196</v>
      </c>
      <c r="K24" s="478">
        <f t="shared" si="11"/>
        <v>0</v>
      </c>
      <c r="L24" s="478">
        <f t="shared" si="12"/>
        <v>0</v>
      </c>
      <c r="M24" s="478">
        <f t="shared" si="13"/>
        <v>0</v>
      </c>
      <c r="N24" s="478">
        <f t="shared" si="14"/>
        <v>0</v>
      </c>
      <c r="O24" s="478">
        <f t="shared" si="15"/>
        <v>0</v>
      </c>
      <c r="P24" s="479">
        <f t="shared" si="16"/>
        <v>0</v>
      </c>
      <c r="Q24" s="477">
        <f t="shared" ca="1" si="17"/>
        <v>1832.6476536746584</v>
      </c>
    </row>
    <row r="25" spans="1:17">
      <c r="A25" s="477" t="s">
        <v>635</v>
      </c>
      <c r="B25" s="478">
        <f t="shared" ca="1" si="2"/>
        <v>12325.98375295921</v>
      </c>
      <c r="C25" s="478">
        <f t="shared" ca="1" si="3"/>
        <v>0</v>
      </c>
      <c r="D25" s="478">
        <f t="shared" si="4"/>
        <v>18659.700698461329</v>
      </c>
      <c r="E25" s="478">
        <f t="shared" si="5"/>
        <v>501.32738463612736</v>
      </c>
      <c r="F25" s="478">
        <f t="shared" si="6"/>
        <v>2735.577280332524</v>
      </c>
      <c r="G25" s="478">
        <f t="shared" si="7"/>
        <v>0</v>
      </c>
      <c r="H25" s="478">
        <f t="shared" si="8"/>
        <v>0</v>
      </c>
      <c r="I25" s="478">
        <f t="shared" si="9"/>
        <v>0</v>
      </c>
      <c r="J25" s="478">
        <f t="shared" si="10"/>
        <v>25.923417917691651</v>
      </c>
      <c r="K25" s="478">
        <f t="shared" si="11"/>
        <v>0</v>
      </c>
      <c r="L25" s="478">
        <f t="shared" si="12"/>
        <v>0</v>
      </c>
      <c r="M25" s="478">
        <f t="shared" si="13"/>
        <v>0</v>
      </c>
      <c r="N25" s="478">
        <f t="shared" si="14"/>
        <v>0</v>
      </c>
      <c r="O25" s="478">
        <f t="shared" si="15"/>
        <v>0</v>
      </c>
      <c r="P25" s="479">
        <f t="shared" si="16"/>
        <v>0</v>
      </c>
      <c r="Q25" s="477">
        <f t="shared" ca="1" si="17"/>
        <v>34248.512534306879</v>
      </c>
    </row>
    <row r="26" spans="1:17" s="483" customFormat="1">
      <c r="A26" s="481" t="s">
        <v>561</v>
      </c>
      <c r="B26" s="835">
        <f t="shared" ca="1" si="2"/>
        <v>6.0388961948074513</v>
      </c>
      <c r="C26" s="482"/>
      <c r="D26" s="482">
        <f t="shared" si="4"/>
        <v>20.656207880677897</v>
      </c>
      <c r="E26" s="482">
        <f t="shared" si="5"/>
        <v>30.883422972107727</v>
      </c>
      <c r="F26" s="482"/>
      <c r="G26" s="482">
        <f t="shared" si="7"/>
        <v>23505.605808506596</v>
      </c>
      <c r="H26" s="482">
        <f t="shared" si="8"/>
        <v>2870.6971326565035</v>
      </c>
      <c r="I26" s="482"/>
      <c r="J26" s="482"/>
      <c r="K26" s="482"/>
      <c r="L26" s="482"/>
      <c r="M26" s="482">
        <f t="shared" si="13"/>
        <v>0</v>
      </c>
      <c r="N26" s="482"/>
      <c r="O26" s="482"/>
      <c r="P26" s="493"/>
      <c r="Q26" s="481">
        <f t="shared" ca="1" si="17"/>
        <v>26433.881468210693</v>
      </c>
    </row>
    <row r="27" spans="1:17">
      <c r="A27" s="477" t="s">
        <v>551</v>
      </c>
      <c r="B27" s="478">
        <f t="shared" ca="1" si="2"/>
        <v>0</v>
      </c>
      <c r="C27" s="478"/>
      <c r="D27" s="482">
        <f t="shared" si="4"/>
        <v>0</v>
      </c>
      <c r="E27" s="478"/>
      <c r="F27" s="478"/>
      <c r="G27" s="478">
        <f t="shared" si="7"/>
        <v>195.86772594839394</v>
      </c>
      <c r="H27" s="478"/>
      <c r="I27" s="478"/>
      <c r="J27" s="478"/>
      <c r="K27" s="478"/>
      <c r="L27" s="478"/>
      <c r="M27" s="478">
        <f t="shared" si="13"/>
        <v>0</v>
      </c>
      <c r="N27" s="478"/>
      <c r="O27" s="478"/>
      <c r="P27" s="479"/>
      <c r="Q27" s="477">
        <f t="shared" ca="1" si="17"/>
        <v>195.86772594839394</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27446.119808790037</v>
      </c>
      <c r="C31" s="488">
        <f t="shared" ca="1" si="18"/>
        <v>223.34680906435847</v>
      </c>
      <c r="D31" s="488">
        <f t="shared" ca="1" si="18"/>
        <v>50443.463679966604</v>
      </c>
      <c r="E31" s="488">
        <f t="shared" si="18"/>
        <v>2059.7342984964544</v>
      </c>
      <c r="F31" s="488">
        <f t="shared" ca="1" si="18"/>
        <v>7862.726507573534</v>
      </c>
      <c r="G31" s="488">
        <f t="shared" si="18"/>
        <v>23701.473534454992</v>
      </c>
      <c r="H31" s="488">
        <f t="shared" si="18"/>
        <v>2870.6971326565035</v>
      </c>
      <c r="I31" s="488">
        <f t="shared" si="18"/>
        <v>0</v>
      </c>
      <c r="J31" s="488">
        <f t="shared" si="18"/>
        <v>1644.4232820885977</v>
      </c>
      <c r="K31" s="488">
        <f t="shared" si="18"/>
        <v>0</v>
      </c>
      <c r="L31" s="488">
        <f t="shared" ca="1" si="18"/>
        <v>0</v>
      </c>
      <c r="M31" s="488">
        <f t="shared" si="18"/>
        <v>0</v>
      </c>
      <c r="N31" s="488">
        <f t="shared" ca="1" si="18"/>
        <v>0</v>
      </c>
      <c r="O31" s="488">
        <f t="shared" si="18"/>
        <v>0</v>
      </c>
      <c r="P31" s="489">
        <f t="shared" si="18"/>
        <v>0</v>
      </c>
      <c r="Q31" s="489">
        <f t="shared" ca="1" si="18"/>
        <v>116251.98505309108</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0.20955110522039389</v>
      </c>
      <c r="C17" s="528">
        <f ca="1">'EF ele_warmte'!B22</f>
        <v>0.23742257607448891</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3</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4.6900000000000004</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0.20955110522039389</v>
      </c>
      <c r="C17" s="528">
        <f ca="1">'EF ele_warmte'!B22</f>
        <v>0.23742257607448891</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0.20955110522039389</v>
      </c>
      <c r="C29" s="529">
        <f ca="1">'EF ele_warmte'!B22</f>
        <v>0.23742257607448891</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45041</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10627</v>
      </c>
      <c r="C9" s="342">
        <v>11364</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1468.2</v>
      </c>
    </row>
    <row r="15" spans="1:6">
      <c r="A15" s="348" t="s">
        <v>184</v>
      </c>
      <c r="B15" s="334">
        <v>11</v>
      </c>
    </row>
    <row r="16" spans="1:6">
      <c r="A16" s="348" t="s">
        <v>6</v>
      </c>
      <c r="B16" s="334">
        <v>323</v>
      </c>
    </row>
    <row r="17" spans="1:6">
      <c r="A17" s="348" t="s">
        <v>7</v>
      </c>
      <c r="B17" s="334">
        <v>406</v>
      </c>
    </row>
    <row r="18" spans="1:6">
      <c r="A18" s="348" t="s">
        <v>8</v>
      </c>
      <c r="B18" s="334">
        <v>576</v>
      </c>
    </row>
    <row r="19" spans="1:6">
      <c r="A19" s="348" t="s">
        <v>9</v>
      </c>
      <c r="B19" s="334">
        <v>474</v>
      </c>
    </row>
    <row r="20" spans="1:6">
      <c r="A20" s="348" t="s">
        <v>10</v>
      </c>
      <c r="B20" s="334">
        <v>343</v>
      </c>
    </row>
    <row r="21" spans="1:6">
      <c r="A21" s="348" t="s">
        <v>11</v>
      </c>
      <c r="B21" s="334">
        <v>290</v>
      </c>
    </row>
    <row r="22" spans="1:6">
      <c r="A22" s="348" t="s">
        <v>12</v>
      </c>
      <c r="B22" s="334">
        <v>870</v>
      </c>
    </row>
    <row r="23" spans="1:6">
      <c r="A23" s="348" t="s">
        <v>13</v>
      </c>
      <c r="B23" s="334">
        <v>10</v>
      </c>
    </row>
    <row r="24" spans="1:6">
      <c r="A24" s="348" t="s">
        <v>14</v>
      </c>
      <c r="B24" s="334">
        <v>1</v>
      </c>
    </row>
    <row r="25" spans="1:6">
      <c r="A25" s="348" t="s">
        <v>15</v>
      </c>
      <c r="B25" s="334">
        <v>92</v>
      </c>
    </row>
    <row r="26" spans="1:6">
      <c r="A26" s="348" t="s">
        <v>16</v>
      </c>
      <c r="B26" s="334">
        <v>172</v>
      </c>
    </row>
    <row r="27" spans="1:6">
      <c r="A27" s="348" t="s">
        <v>17</v>
      </c>
      <c r="B27" s="334">
        <v>60</v>
      </c>
    </row>
    <row r="28" spans="1:6" s="356" customFormat="1">
      <c r="A28" s="355" t="s">
        <v>18</v>
      </c>
      <c r="B28" s="355">
        <v>7</v>
      </c>
    </row>
    <row r="29" spans="1:6">
      <c r="A29" s="355" t="s">
        <v>744</v>
      </c>
      <c r="B29" s="355">
        <v>53</v>
      </c>
      <c r="C29" s="356"/>
      <c r="D29" s="356"/>
      <c r="E29" s="356"/>
      <c r="F29" s="356"/>
    </row>
    <row r="30" spans="1:6">
      <c r="A30" s="341" t="s">
        <v>745</v>
      </c>
      <c r="B30" s="341">
        <v>21</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3</v>
      </c>
      <c r="D36" s="334">
        <v>829160.37288849999</v>
      </c>
      <c r="E36" s="334">
        <v>4</v>
      </c>
      <c r="F36" s="334">
        <v>11924.422796463699</v>
      </c>
    </row>
    <row r="37" spans="1:6">
      <c r="A37" s="348" t="s">
        <v>25</v>
      </c>
      <c r="B37" s="348" t="s">
        <v>28</v>
      </c>
      <c r="C37" s="334">
        <v>0</v>
      </c>
      <c r="D37" s="334">
        <v>0</v>
      </c>
      <c r="E37" s="334">
        <v>0</v>
      </c>
      <c r="F37" s="334">
        <v>0</v>
      </c>
    </row>
    <row r="38" spans="1:6">
      <c r="A38" s="348" t="s">
        <v>25</v>
      </c>
      <c r="B38" s="348" t="s">
        <v>29</v>
      </c>
      <c r="C38" s="334">
        <v>0</v>
      </c>
      <c r="D38" s="334">
        <v>0</v>
      </c>
      <c r="E38" s="334">
        <v>1</v>
      </c>
      <c r="F38" s="334">
        <v>1965.60992007</v>
      </c>
    </row>
    <row r="39" spans="1:6">
      <c r="A39" s="348" t="s">
        <v>30</v>
      </c>
      <c r="B39" s="348" t="s">
        <v>31</v>
      </c>
      <c r="C39" s="334">
        <v>8037</v>
      </c>
      <c r="D39" s="334">
        <v>116119317.247509</v>
      </c>
      <c r="E39" s="334">
        <v>10718</v>
      </c>
      <c r="F39" s="334">
        <v>34516596.740970001</v>
      </c>
    </row>
    <row r="40" spans="1:6">
      <c r="A40" s="348" t="s">
        <v>30</v>
      </c>
      <c r="B40" s="348" t="s">
        <v>29</v>
      </c>
      <c r="C40" s="334">
        <v>0</v>
      </c>
      <c r="D40" s="334">
        <v>0</v>
      </c>
      <c r="E40" s="334">
        <v>0</v>
      </c>
      <c r="F40" s="334">
        <v>0</v>
      </c>
    </row>
    <row r="41" spans="1:6">
      <c r="A41" s="348" t="s">
        <v>32</v>
      </c>
      <c r="B41" s="348" t="s">
        <v>33</v>
      </c>
      <c r="C41" s="334">
        <v>85</v>
      </c>
      <c r="D41" s="334">
        <v>1634753.3025298701</v>
      </c>
      <c r="E41" s="334">
        <v>204</v>
      </c>
      <c r="F41" s="334">
        <v>3330239.0698517002</v>
      </c>
    </row>
    <row r="42" spans="1:6">
      <c r="A42" s="348" t="s">
        <v>32</v>
      </c>
      <c r="B42" s="348" t="s">
        <v>34</v>
      </c>
      <c r="C42" s="334">
        <v>3</v>
      </c>
      <c r="D42" s="334">
        <v>745296.37100458099</v>
      </c>
      <c r="E42" s="334">
        <v>0</v>
      </c>
      <c r="F42" s="334">
        <v>0</v>
      </c>
    </row>
    <row r="43" spans="1:6">
      <c r="A43" s="348" t="s">
        <v>32</v>
      </c>
      <c r="B43" s="348" t="s">
        <v>35</v>
      </c>
      <c r="C43" s="334">
        <v>0</v>
      </c>
      <c r="D43" s="334">
        <v>0</v>
      </c>
      <c r="E43" s="334">
        <v>0</v>
      </c>
      <c r="F43" s="334">
        <v>0</v>
      </c>
    </row>
    <row r="44" spans="1:6">
      <c r="A44" s="348" t="s">
        <v>32</v>
      </c>
      <c r="B44" s="348" t="s">
        <v>36</v>
      </c>
      <c r="C44" s="334">
        <v>3</v>
      </c>
      <c r="D44" s="334">
        <v>24990.562073333102</v>
      </c>
      <c r="E44" s="334">
        <v>18</v>
      </c>
      <c r="F44" s="334">
        <v>341578.38499128801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5</v>
      </c>
      <c r="D47" s="334">
        <v>139583.301404703</v>
      </c>
      <c r="E47" s="334">
        <v>12</v>
      </c>
      <c r="F47" s="334">
        <v>106385.838493449</v>
      </c>
    </row>
    <row r="48" spans="1:6">
      <c r="A48" s="348" t="s">
        <v>32</v>
      </c>
      <c r="B48" s="348" t="s">
        <v>29</v>
      </c>
      <c r="C48" s="334">
        <v>62</v>
      </c>
      <c r="D48" s="334">
        <v>99186209.705269098</v>
      </c>
      <c r="E48" s="334">
        <v>57</v>
      </c>
      <c r="F48" s="334">
        <v>20450818.2777058</v>
      </c>
    </row>
    <row r="49" spans="1:6">
      <c r="A49" s="348" t="s">
        <v>32</v>
      </c>
      <c r="B49" s="348" t="s">
        <v>40</v>
      </c>
      <c r="C49" s="334">
        <v>0</v>
      </c>
      <c r="D49" s="334">
        <v>0</v>
      </c>
      <c r="E49" s="334">
        <v>27</v>
      </c>
      <c r="F49" s="334">
        <v>34310370.031552099</v>
      </c>
    </row>
    <row r="50" spans="1:6">
      <c r="A50" s="348" t="s">
        <v>32</v>
      </c>
      <c r="B50" s="348" t="s">
        <v>41</v>
      </c>
      <c r="C50" s="334">
        <v>10</v>
      </c>
      <c r="D50" s="334">
        <v>680204.37742669799</v>
      </c>
      <c r="E50" s="334">
        <v>11</v>
      </c>
      <c r="F50" s="334">
        <v>281504.33109900297</v>
      </c>
    </row>
    <row r="51" spans="1:6">
      <c r="A51" s="348" t="s">
        <v>42</v>
      </c>
      <c r="B51" s="348" t="s">
        <v>43</v>
      </c>
      <c r="C51" s="334">
        <v>5</v>
      </c>
      <c r="D51" s="334">
        <v>73850.707503261699</v>
      </c>
      <c r="E51" s="334">
        <v>33</v>
      </c>
      <c r="F51" s="334">
        <v>326445.33428993903</v>
      </c>
    </row>
    <row r="52" spans="1:6">
      <c r="A52" s="348" t="s">
        <v>42</v>
      </c>
      <c r="B52" s="348" t="s">
        <v>29</v>
      </c>
      <c r="C52" s="334">
        <v>3</v>
      </c>
      <c r="D52" s="334">
        <v>59650.622994458201</v>
      </c>
      <c r="E52" s="334">
        <v>7</v>
      </c>
      <c r="F52" s="334">
        <v>29674.690145108201</v>
      </c>
    </row>
    <row r="53" spans="1:6">
      <c r="A53" s="348" t="s">
        <v>44</v>
      </c>
      <c r="B53" s="348" t="s">
        <v>45</v>
      </c>
      <c r="C53" s="334">
        <v>284</v>
      </c>
      <c r="D53" s="334">
        <v>7227845.6760499002</v>
      </c>
      <c r="E53" s="334">
        <v>477</v>
      </c>
      <c r="F53" s="334">
        <v>1755510.72610172</v>
      </c>
    </row>
    <row r="54" spans="1:6">
      <c r="A54" s="348" t="s">
        <v>46</v>
      </c>
      <c r="B54" s="348" t="s">
        <v>47</v>
      </c>
      <c r="C54" s="334">
        <v>0</v>
      </c>
      <c r="D54" s="334">
        <v>0</v>
      </c>
      <c r="E54" s="334">
        <v>1</v>
      </c>
      <c r="F54" s="334">
        <v>1813922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80</v>
      </c>
      <c r="D57" s="334">
        <v>4466386.5138664003</v>
      </c>
      <c r="E57" s="334">
        <v>119</v>
      </c>
      <c r="F57" s="334">
        <v>2526951.30589655</v>
      </c>
    </row>
    <row r="58" spans="1:6">
      <c r="A58" s="348" t="s">
        <v>49</v>
      </c>
      <c r="B58" s="348" t="s">
        <v>51</v>
      </c>
      <c r="C58" s="334">
        <v>56</v>
      </c>
      <c r="D58" s="334">
        <v>7195421.79786254</v>
      </c>
      <c r="E58" s="334">
        <v>84</v>
      </c>
      <c r="F58" s="334">
        <v>6111325.71142771</v>
      </c>
    </row>
    <row r="59" spans="1:6">
      <c r="A59" s="348" t="s">
        <v>49</v>
      </c>
      <c r="B59" s="348" t="s">
        <v>52</v>
      </c>
      <c r="C59" s="334">
        <v>194</v>
      </c>
      <c r="D59" s="334">
        <v>6359585.5525711197</v>
      </c>
      <c r="E59" s="334">
        <v>354</v>
      </c>
      <c r="F59" s="334">
        <v>9896651.0168820005</v>
      </c>
    </row>
    <row r="60" spans="1:6">
      <c r="A60" s="348" t="s">
        <v>49</v>
      </c>
      <c r="B60" s="348" t="s">
        <v>53</v>
      </c>
      <c r="C60" s="334">
        <v>91</v>
      </c>
      <c r="D60" s="334">
        <v>3777871.8571177102</v>
      </c>
      <c r="E60" s="334">
        <v>121</v>
      </c>
      <c r="F60" s="334">
        <v>2352288.24103346</v>
      </c>
    </row>
    <row r="61" spans="1:6">
      <c r="A61" s="348" t="s">
        <v>49</v>
      </c>
      <c r="B61" s="348" t="s">
        <v>54</v>
      </c>
      <c r="C61" s="334">
        <v>316</v>
      </c>
      <c r="D61" s="334">
        <v>21476439.609524101</v>
      </c>
      <c r="E61" s="334">
        <v>573</v>
      </c>
      <c r="F61" s="334">
        <v>6858829.9005992301</v>
      </c>
    </row>
    <row r="62" spans="1:6">
      <c r="A62" s="348" t="s">
        <v>49</v>
      </c>
      <c r="B62" s="348" t="s">
        <v>55</v>
      </c>
      <c r="C62" s="334">
        <v>17</v>
      </c>
      <c r="D62" s="334">
        <v>3747991.2957073799</v>
      </c>
      <c r="E62" s="334">
        <v>29</v>
      </c>
      <c r="F62" s="334">
        <v>863259.03345824196</v>
      </c>
    </row>
    <row r="63" spans="1:6">
      <c r="A63" s="348" t="s">
        <v>49</v>
      </c>
      <c r="B63" s="348" t="s">
        <v>29</v>
      </c>
      <c r="C63" s="334">
        <v>106</v>
      </c>
      <c r="D63" s="334">
        <v>5892015.4066049298</v>
      </c>
      <c r="E63" s="334">
        <v>85</v>
      </c>
      <c r="F63" s="334">
        <v>4378804.29486953</v>
      </c>
    </row>
    <row r="64" spans="1:6">
      <c r="A64" s="348" t="s">
        <v>56</v>
      </c>
      <c r="B64" s="348" t="s">
        <v>57</v>
      </c>
      <c r="C64" s="334">
        <v>0</v>
      </c>
      <c r="D64" s="334">
        <v>0</v>
      </c>
      <c r="E64" s="334">
        <v>0</v>
      </c>
      <c r="F64" s="334">
        <v>0</v>
      </c>
    </row>
    <row r="65" spans="1:6">
      <c r="A65" s="348" t="s">
        <v>56</v>
      </c>
      <c r="B65" s="348" t="s">
        <v>29</v>
      </c>
      <c r="C65" s="334">
        <v>5</v>
      </c>
      <c r="D65" s="334">
        <v>167902.34806432301</v>
      </c>
      <c r="E65" s="334">
        <v>4</v>
      </c>
      <c r="F65" s="334">
        <v>24864.693482008501</v>
      </c>
    </row>
    <row r="66" spans="1:6">
      <c r="A66" s="348" t="s">
        <v>56</v>
      </c>
      <c r="B66" s="348" t="s">
        <v>58</v>
      </c>
      <c r="C66" s="334">
        <v>0</v>
      </c>
      <c r="D66" s="334">
        <v>0</v>
      </c>
      <c r="E66" s="334">
        <v>8</v>
      </c>
      <c r="F66" s="334">
        <v>33525.018259611803</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56021091</v>
      </c>
      <c r="E73" s="476">
        <v>63561894.717664666</v>
      </c>
    </row>
    <row r="74" spans="1:6">
      <c r="A74" s="348" t="s">
        <v>64</v>
      </c>
      <c r="B74" s="348" t="s">
        <v>657</v>
      </c>
      <c r="C74" s="1272" t="s">
        <v>659</v>
      </c>
      <c r="D74" s="476">
        <v>18080734.419519819</v>
      </c>
      <c r="E74" s="476">
        <v>20629291.245825086</v>
      </c>
    </row>
    <row r="75" spans="1:6">
      <c r="A75" s="348" t="s">
        <v>65</v>
      </c>
      <c r="B75" s="348" t="s">
        <v>656</v>
      </c>
      <c r="C75" s="1272" t="s">
        <v>660</v>
      </c>
      <c r="D75" s="476">
        <v>17232614</v>
      </c>
      <c r="E75" s="476">
        <v>19662647.3508876</v>
      </c>
    </row>
    <row r="76" spans="1:6">
      <c r="A76" s="348" t="s">
        <v>65</v>
      </c>
      <c r="B76" s="348" t="s">
        <v>657</v>
      </c>
      <c r="C76" s="1272" t="s">
        <v>661</v>
      </c>
      <c r="D76" s="476">
        <v>1955000.4195198205</v>
      </c>
      <c r="E76" s="476">
        <v>2185807.6998851704</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210261.16096035886</v>
      </c>
      <c r="C83" s="476">
        <v>209453.80768629795</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1804.0692295228962</v>
      </c>
    </row>
    <row r="92" spans="1:6">
      <c r="A92" s="341" t="s">
        <v>69</v>
      </c>
      <c r="B92" s="342">
        <v>5029.2224244599902</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5479</v>
      </c>
    </row>
    <row r="98" spans="1:6">
      <c r="A98" s="348" t="s">
        <v>72</v>
      </c>
      <c r="B98" s="334">
        <v>0</v>
      </c>
    </row>
    <row r="99" spans="1:6">
      <c r="A99" s="348" t="s">
        <v>73</v>
      </c>
      <c r="B99" s="334">
        <v>110</v>
      </c>
    </row>
    <row r="100" spans="1:6">
      <c r="A100" s="348" t="s">
        <v>74</v>
      </c>
      <c r="B100" s="334">
        <v>487</v>
      </c>
    </row>
    <row r="101" spans="1:6">
      <c r="A101" s="348" t="s">
        <v>75</v>
      </c>
      <c r="B101" s="334">
        <v>138</v>
      </c>
    </row>
    <row r="102" spans="1:6">
      <c r="A102" s="348" t="s">
        <v>76</v>
      </c>
      <c r="B102" s="334">
        <v>237</v>
      </c>
    </row>
    <row r="103" spans="1:6">
      <c r="A103" s="348" t="s">
        <v>77</v>
      </c>
      <c r="B103" s="334">
        <v>384</v>
      </c>
    </row>
    <row r="104" spans="1:6">
      <c r="A104" s="348" t="s">
        <v>78</v>
      </c>
      <c r="B104" s="334">
        <v>2766</v>
      </c>
    </row>
    <row r="105" spans="1:6">
      <c r="A105" s="341" t="s">
        <v>79</v>
      </c>
      <c r="B105" s="341">
        <v>5</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3</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11</v>
      </c>
      <c r="C123" s="334">
        <v>23</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100</v>
      </c>
    </row>
    <row r="130" spans="1:6">
      <c r="A130" s="348" t="s">
        <v>295</v>
      </c>
      <c r="B130" s="334">
        <v>0</v>
      </c>
    </row>
    <row r="131" spans="1:6">
      <c r="A131" s="348" t="s">
        <v>296</v>
      </c>
      <c r="B131" s="334">
        <v>0</v>
      </c>
    </row>
    <row r="132" spans="1:6">
      <c r="A132" s="341" t="s">
        <v>297</v>
      </c>
      <c r="B132" s="342">
        <v>13</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130975.78168305902</v>
      </c>
      <c r="C3" s="43" t="s">
        <v>170</v>
      </c>
      <c r="D3" s="43"/>
      <c r="E3" s="154"/>
      <c r="F3" s="43"/>
      <c r="G3" s="43"/>
      <c r="H3" s="43"/>
      <c r="I3" s="43"/>
      <c r="J3" s="43"/>
      <c r="K3" s="96"/>
    </row>
    <row r="4" spans="1:11">
      <c r="A4" s="383" t="s">
        <v>171</v>
      </c>
      <c r="B4" s="49">
        <f>IF(ISERROR('SEAP template'!B69),0,'SEAP template'!B69)</f>
        <v>7480.5416539828866</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153.67176236421295</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0.20955110522039389</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223.34680906435847</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940.71428571428555</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0.23742257607448891</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1813.922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1813.922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0.20955110522039389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380.10935988358733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34516.596740970002</v>
      </c>
      <c r="C5" s="17">
        <f>IF(ISERROR('Eigen informatie GS &amp; warmtenet'!B57),0,'Eigen informatie GS &amp; warmtenet'!B57)</f>
        <v>0</v>
      </c>
      <c r="D5" s="30">
        <f>(SUM(HH_hh_gas_kWh,HH_rest_gas_kWh)/1000)*0.902</f>
        <v>104739.62415725311</v>
      </c>
      <c r="E5" s="17">
        <f>B46*B57</f>
        <v>6255.2374741846525</v>
      </c>
      <c r="F5" s="17">
        <f>B51*B62</f>
        <v>12006.987344324791</v>
      </c>
      <c r="G5" s="18"/>
      <c r="H5" s="17"/>
      <c r="I5" s="17"/>
      <c r="J5" s="17">
        <f>B50*B61+C50*C61</f>
        <v>4520.3739172389278</v>
      </c>
      <c r="K5" s="17"/>
      <c r="L5" s="17"/>
      <c r="M5" s="17"/>
      <c r="N5" s="17">
        <f>B48*B59+C48*C59</f>
        <v>26743.78494194688</v>
      </c>
      <c r="O5" s="17">
        <f>B69*B70*B71</f>
        <v>192.29000000000002</v>
      </c>
      <c r="P5" s="17">
        <f>B77*B78*B79/1000-B77*B78*B79/1000/B80</f>
        <v>457.6</v>
      </c>
    </row>
    <row r="6" spans="1:16">
      <c r="A6" s="16" t="s">
        <v>621</v>
      </c>
      <c r="B6" s="843">
        <f>kWh_PV_kleiner_dan_10kW</f>
        <v>1804.0692295228962</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36320.665970492897</v>
      </c>
      <c r="C8" s="21">
        <f>C5</f>
        <v>0</v>
      </c>
      <c r="D8" s="21">
        <f>D5</f>
        <v>104739.62415725311</v>
      </c>
      <c r="E8" s="21">
        <f>E5</f>
        <v>6255.2374741846525</v>
      </c>
      <c r="F8" s="21">
        <f>F5</f>
        <v>12006.987344324791</v>
      </c>
      <c r="G8" s="21"/>
      <c r="H8" s="21"/>
      <c r="I8" s="21"/>
      <c r="J8" s="21">
        <f>J5</f>
        <v>4520.3739172389278</v>
      </c>
      <c r="K8" s="21"/>
      <c r="L8" s="21">
        <f>L5</f>
        <v>0</v>
      </c>
      <c r="M8" s="21">
        <f>M5</f>
        <v>0</v>
      </c>
      <c r="N8" s="21">
        <f>N5</f>
        <v>26743.78494194688</v>
      </c>
      <c r="O8" s="21">
        <f>O5</f>
        <v>192.29000000000002</v>
      </c>
      <c r="P8" s="21">
        <f>P5</f>
        <v>457.6</v>
      </c>
    </row>
    <row r="9" spans="1:16">
      <c r="B9" s="19"/>
      <c r="C9" s="19"/>
      <c r="D9" s="258"/>
      <c r="E9" s="19"/>
      <c r="F9" s="19"/>
      <c r="G9" s="19"/>
      <c r="H9" s="19"/>
      <c r="I9" s="19"/>
      <c r="J9" s="19"/>
      <c r="K9" s="19"/>
      <c r="L9" s="19"/>
      <c r="M9" s="19"/>
      <c r="N9" s="19"/>
      <c r="O9" s="19"/>
      <c r="P9" s="19"/>
    </row>
    <row r="10" spans="1:16">
      <c r="A10" s="24" t="s">
        <v>214</v>
      </c>
      <c r="B10" s="25">
        <f ca="1">'EF ele_warmte'!B12</f>
        <v>0.20955110522039389</v>
      </c>
      <c r="C10" s="25">
        <f ca="1">'EF ele_warmte'!B22</f>
        <v>0.23742257607448891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7611.0356964575367</v>
      </c>
      <c r="C12" s="23">
        <f ca="1">C10*C8</f>
        <v>0</v>
      </c>
      <c r="D12" s="23">
        <f>D8*D10</f>
        <v>21157.404079765129</v>
      </c>
      <c r="E12" s="23">
        <f>E10*E8</f>
        <v>1419.9389066399162</v>
      </c>
      <c r="F12" s="23">
        <f>F10*F8</f>
        <v>3205.8656209347191</v>
      </c>
      <c r="G12" s="23"/>
      <c r="H12" s="23"/>
      <c r="I12" s="23"/>
      <c r="J12" s="23">
        <f>J10*J8</f>
        <v>1600.2123667025803</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5479</v>
      </c>
      <c r="C18" s="166" t="s">
        <v>111</v>
      </c>
      <c r="D18" s="228"/>
      <c r="E18" s="15"/>
    </row>
    <row r="19" spans="1:7">
      <c r="A19" s="171" t="s">
        <v>72</v>
      </c>
      <c r="B19" s="37">
        <f>aantalw2001_ander</f>
        <v>0</v>
      </c>
      <c r="C19" s="166" t="s">
        <v>111</v>
      </c>
      <c r="D19" s="229"/>
      <c r="E19" s="15"/>
    </row>
    <row r="20" spans="1:7">
      <c r="A20" s="171" t="s">
        <v>73</v>
      </c>
      <c r="B20" s="37">
        <f>aantalw2001_propaan</f>
        <v>110</v>
      </c>
      <c r="C20" s="167">
        <f>IF(ISERROR(B20/SUM($B$20,$B$21,$B$22)*100),0,B20/SUM($B$20,$B$21,$B$22)*100)</f>
        <v>14.965986394557824</v>
      </c>
      <c r="D20" s="229"/>
      <c r="E20" s="15"/>
    </row>
    <row r="21" spans="1:7">
      <c r="A21" s="171" t="s">
        <v>74</v>
      </c>
      <c r="B21" s="37">
        <f>aantalw2001_elektriciteit</f>
        <v>487</v>
      </c>
      <c r="C21" s="167">
        <f>IF(ISERROR(B21/SUM($B$20,$B$21,$B$22)*100),0,B21/SUM($B$20,$B$21,$B$22)*100)</f>
        <v>66.258503401360542</v>
      </c>
      <c r="D21" s="229"/>
      <c r="E21" s="15"/>
    </row>
    <row r="22" spans="1:7">
      <c r="A22" s="171" t="s">
        <v>75</v>
      </c>
      <c r="B22" s="37">
        <f>aantalw2001_hout</f>
        <v>138</v>
      </c>
      <c r="C22" s="167">
        <f>IF(ISERROR(B22/SUM($B$20,$B$21,$B$22)*100),0,B22/SUM($B$20,$B$21,$B$22)*100)</f>
        <v>18.775510204081634</v>
      </c>
      <c r="D22" s="229"/>
      <c r="E22" s="15"/>
    </row>
    <row r="23" spans="1:7">
      <c r="A23" s="171" t="s">
        <v>76</v>
      </c>
      <c r="B23" s="37">
        <f>aantalw2001_niet_gespec</f>
        <v>237</v>
      </c>
      <c r="C23" s="166" t="s">
        <v>111</v>
      </c>
      <c r="D23" s="228"/>
      <c r="E23" s="15"/>
    </row>
    <row r="24" spans="1:7">
      <c r="A24" s="171" t="s">
        <v>77</v>
      </c>
      <c r="B24" s="37">
        <f>aantalw2001_steenkool</f>
        <v>384</v>
      </c>
      <c r="C24" s="166" t="s">
        <v>111</v>
      </c>
      <c r="D24" s="229"/>
      <c r="E24" s="15"/>
    </row>
    <row r="25" spans="1:7">
      <c r="A25" s="171" t="s">
        <v>78</v>
      </c>
      <c r="B25" s="37">
        <f>aantalw2001_stookolie</f>
        <v>2766</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794</v>
      </c>
      <c r="B28" s="37">
        <f>aantalHuishoudens2011</f>
        <v>10627</v>
      </c>
      <c r="C28" s="36"/>
      <c r="D28" s="228"/>
    </row>
    <row r="29" spans="1:7" s="15" customFormat="1">
      <c r="A29" s="230" t="s">
        <v>795</v>
      </c>
      <c r="B29" s="37">
        <f>SUM(HH_hh_gas_aantal,HH_rest_gas_aantal)</f>
        <v>8037</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8037</v>
      </c>
      <c r="C32" s="167">
        <f>IF(ISERROR(B32/SUM($B$32,$B$34,$B$35,$B$36,$B$38,$B$39)*100),0,B32/SUM($B$32,$B$34,$B$35,$B$36,$B$38,$B$39)*100)</f>
        <v>75.799302084315755</v>
      </c>
      <c r="D32" s="233"/>
      <c r="G32" s="15"/>
    </row>
    <row r="33" spans="1:7">
      <c r="A33" s="171" t="s">
        <v>72</v>
      </c>
      <c r="B33" s="34" t="s">
        <v>111</v>
      </c>
      <c r="C33" s="167"/>
      <c r="D33" s="233"/>
      <c r="G33" s="15"/>
    </row>
    <row r="34" spans="1:7">
      <c r="A34" s="171" t="s">
        <v>73</v>
      </c>
      <c r="B34" s="33">
        <f>IF((($B$28-$B$32-$B$39-$B$77-$B$38)*C20/100)&lt;0,0,($B$28-$B$32-$B$39-$B$77-$B$38)*C20/100)</f>
        <v>295.4285714285715</v>
      </c>
      <c r="C34" s="167">
        <f>IF(ISERROR(B34/SUM($B$32,$B$34,$B$35,$B$36,$B$38,$B$39)*100),0,B34/SUM($B$32,$B$34,$B$35,$B$36,$B$38,$B$39)*100)</f>
        <v>2.7862734266582243</v>
      </c>
      <c r="D34" s="233"/>
      <c r="G34" s="15"/>
    </row>
    <row r="35" spans="1:7">
      <c r="A35" s="171" t="s">
        <v>74</v>
      </c>
      <c r="B35" s="33">
        <f>IF((($B$28-$B$32-$B$39-$B$77-$B$38)*C21/100)&lt;0,0,($B$28-$B$32-$B$39-$B$77-$B$38)*C21/100)</f>
        <v>1307.9428571428573</v>
      </c>
      <c r="C35" s="167">
        <f>IF(ISERROR(B35/SUM($B$32,$B$34,$B$35,$B$36,$B$38,$B$39)*100),0,B35/SUM($B$32,$B$34,$B$35,$B$36,$B$38,$B$39)*100)</f>
        <v>12.335592352568682</v>
      </c>
      <c r="D35" s="233"/>
      <c r="G35" s="15"/>
    </row>
    <row r="36" spans="1:7">
      <c r="A36" s="171" t="s">
        <v>75</v>
      </c>
      <c r="B36" s="33">
        <f>IF((($B$28-$B$32-$B$39-$B$77-$B$38)*C22/100)&lt;0,0,($B$28-$B$32-$B$39-$B$77-$B$38)*C22/100)</f>
        <v>370.62857142857155</v>
      </c>
      <c r="C36" s="167">
        <f>IF(ISERROR(B36/SUM($B$32,$B$34,$B$35,$B$36,$B$38,$B$39)*100),0,B36/SUM($B$32,$B$34,$B$35,$B$36,$B$38,$B$39)*100)</f>
        <v>3.4955066625348632</v>
      </c>
      <c r="D36" s="233"/>
      <c r="G36" s="15"/>
    </row>
    <row r="37" spans="1:7">
      <c r="A37" s="171" t="s">
        <v>76</v>
      </c>
      <c r="B37" s="34" t="s">
        <v>111</v>
      </c>
      <c r="C37" s="167"/>
      <c r="D37" s="173"/>
      <c r="G37" s="15"/>
    </row>
    <row r="38" spans="1:7">
      <c r="A38" s="171" t="s">
        <v>77</v>
      </c>
      <c r="B38" s="33">
        <f>IF((B24-(B29-B18)*0.1)&lt;0,0,B24-(B29-B18)*0.1)</f>
        <v>128.19999999999999</v>
      </c>
      <c r="C38" s="167">
        <f>IF(ISERROR(B38/SUM($B$32,$B$34,$B$35,$B$36,$B$38,$B$39)*100),0,B38/SUM($B$32,$B$34,$B$35,$B$36,$B$38,$B$39)*100)</f>
        <v>1.2090917664811844</v>
      </c>
      <c r="D38" s="234"/>
      <c r="G38" s="15"/>
    </row>
    <row r="39" spans="1:7">
      <c r="A39" s="171" t="s">
        <v>78</v>
      </c>
      <c r="B39" s="33">
        <f>IF((B25-(B29-B18))&lt;0,0,B25-(B29-B18)*0.9)</f>
        <v>463.79999999999973</v>
      </c>
      <c r="C39" s="167">
        <f>IF(ISERROR(B39/SUM($B$32,$B$34,$B$35,$B$36,$B$38,$B$39)*100),0,B39/SUM($B$32,$B$34,$B$35,$B$36,$B$38,$B$39)*100)</f>
        <v>4.374233707441288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8037</v>
      </c>
      <c r="C44" s="34" t="s">
        <v>111</v>
      </c>
      <c r="D44" s="174"/>
    </row>
    <row r="45" spans="1:7">
      <c r="A45" s="171" t="s">
        <v>72</v>
      </c>
      <c r="B45" s="33" t="str">
        <f t="shared" si="0"/>
        <v>-</v>
      </c>
      <c r="C45" s="34" t="s">
        <v>111</v>
      </c>
      <c r="D45" s="174"/>
    </row>
    <row r="46" spans="1:7">
      <c r="A46" s="171" t="s">
        <v>73</v>
      </c>
      <c r="B46" s="33">
        <f t="shared" si="0"/>
        <v>295.4285714285715</v>
      </c>
      <c r="C46" s="34" t="s">
        <v>111</v>
      </c>
      <c r="D46" s="174"/>
    </row>
    <row r="47" spans="1:7">
      <c r="A47" s="171" t="s">
        <v>74</v>
      </c>
      <c r="B47" s="33">
        <f t="shared" si="0"/>
        <v>1307.9428571428573</v>
      </c>
      <c r="C47" s="34" t="s">
        <v>111</v>
      </c>
      <c r="D47" s="174"/>
    </row>
    <row r="48" spans="1:7">
      <c r="A48" s="171" t="s">
        <v>75</v>
      </c>
      <c r="B48" s="33">
        <f t="shared" si="0"/>
        <v>370.62857142857155</v>
      </c>
      <c r="C48" s="33">
        <f>B48*10</f>
        <v>3706.2857142857156</v>
      </c>
      <c r="D48" s="234"/>
    </row>
    <row r="49" spans="1:6">
      <c r="A49" s="171" t="s">
        <v>76</v>
      </c>
      <c r="B49" s="33" t="str">
        <f t="shared" si="0"/>
        <v>-</v>
      </c>
      <c r="C49" s="34" t="s">
        <v>111</v>
      </c>
      <c r="D49" s="234"/>
    </row>
    <row r="50" spans="1:6">
      <c r="A50" s="171" t="s">
        <v>77</v>
      </c>
      <c r="B50" s="33">
        <f t="shared" si="0"/>
        <v>128.19999999999999</v>
      </c>
      <c r="C50" s="33">
        <f>B50*2</f>
        <v>256.39999999999998</v>
      </c>
      <c r="D50" s="234"/>
    </row>
    <row r="51" spans="1:6">
      <c r="A51" s="171" t="s">
        <v>78</v>
      </c>
      <c r="B51" s="33">
        <f t="shared" si="0"/>
        <v>463.79999999999973</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123</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24</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32988.109504166721</v>
      </c>
      <c r="C5" s="17">
        <f>IF(ISERROR('Eigen informatie GS &amp; warmtenet'!B58),0,'Eigen informatie GS &amp; warmtenet'!B58)</f>
        <v>0</v>
      </c>
      <c r="D5" s="30">
        <f>SUM(D6:D12)</f>
        <v>47729.972253995271</v>
      </c>
      <c r="E5" s="17">
        <f>SUM(E6:E12)</f>
        <v>463.47344453801304</v>
      </c>
      <c r="F5" s="17">
        <f>SUM(F6:F12)</f>
        <v>5712.2419721304841</v>
      </c>
      <c r="G5" s="18"/>
      <c r="H5" s="17"/>
      <c r="I5" s="17"/>
      <c r="J5" s="17">
        <f>SUM(J6:J12)</f>
        <v>6.5453592581202369E-2</v>
      </c>
      <c r="K5" s="17"/>
      <c r="L5" s="17"/>
      <c r="M5" s="17"/>
      <c r="N5" s="17">
        <f>SUM(N6:N12)</f>
        <v>2687.7323775796704</v>
      </c>
      <c r="O5" s="17">
        <f>B38*B39*B40</f>
        <v>0</v>
      </c>
      <c r="P5" s="17">
        <f>B46*B47*B48/1000-B46*B47*B48/1000/B49</f>
        <v>0</v>
      </c>
      <c r="R5" s="32"/>
    </row>
    <row r="6" spans="1:18">
      <c r="A6" s="32" t="s">
        <v>54</v>
      </c>
      <c r="B6" s="37">
        <f>B26</f>
        <v>6858.8299005992303</v>
      </c>
      <c r="C6" s="33"/>
      <c r="D6" s="37">
        <f>IF(ISERROR(TER_kantoor_gas_kWh/1000),0,TER_kantoor_gas_kWh/1000)*0.902</f>
        <v>19371.74852779074</v>
      </c>
      <c r="E6" s="33">
        <f>$C$26*'E Balans VL '!I12/100/3.6*1000000</f>
        <v>4.2988864605869433E-2</v>
      </c>
      <c r="F6" s="33">
        <f>$C$26*('E Balans VL '!L12+'E Balans VL '!N12)/100/3.6*1000000</f>
        <v>1030.6904800738796</v>
      </c>
      <c r="G6" s="34"/>
      <c r="H6" s="33"/>
      <c r="I6" s="33"/>
      <c r="J6" s="33">
        <f>$C$26*('E Balans VL '!D12+'E Balans VL '!E12)/100/3.6*1000000</f>
        <v>0</v>
      </c>
      <c r="K6" s="33"/>
      <c r="L6" s="33"/>
      <c r="M6" s="33"/>
      <c r="N6" s="33">
        <f>$C$26*'E Balans VL '!Y12/100/3.6*1000000</f>
        <v>6.559453866787921</v>
      </c>
      <c r="O6" s="33"/>
      <c r="P6" s="33"/>
      <c r="R6" s="32"/>
    </row>
    <row r="7" spans="1:18">
      <c r="A7" s="32" t="s">
        <v>53</v>
      </c>
      <c r="B7" s="37">
        <f t="shared" ref="B7:B12" si="0">B27</f>
        <v>2352.2882410334601</v>
      </c>
      <c r="C7" s="33"/>
      <c r="D7" s="37">
        <f>IF(ISERROR(TER_horeca_gas_kWh/1000),0,TER_horeca_gas_kWh/1000)*0.902</f>
        <v>3407.6404151201746</v>
      </c>
      <c r="E7" s="33">
        <f>$C$27*'E Balans VL '!I9/100/3.6*1000000</f>
        <v>33.6843757951752</v>
      </c>
      <c r="F7" s="33">
        <f>$C$27*('E Balans VL '!L9+'E Balans VL '!N9)/100/3.6*1000000</f>
        <v>297.87727276991791</v>
      </c>
      <c r="G7" s="34"/>
      <c r="H7" s="33"/>
      <c r="I7" s="33"/>
      <c r="J7" s="33">
        <f>$C$27*('E Balans VL '!D9+'E Balans VL '!E9)/100/3.6*1000000</f>
        <v>0</v>
      </c>
      <c r="K7" s="33"/>
      <c r="L7" s="33"/>
      <c r="M7" s="33"/>
      <c r="N7" s="33">
        <f>$C$27*'E Balans VL '!Y9/100/3.6*1000000</f>
        <v>0.67623100579335071</v>
      </c>
      <c r="O7" s="33"/>
      <c r="P7" s="33"/>
      <c r="R7" s="32"/>
    </row>
    <row r="8" spans="1:18">
      <c r="A8" s="6" t="s">
        <v>52</v>
      </c>
      <c r="B8" s="37">
        <f t="shared" si="0"/>
        <v>9896.6510168820005</v>
      </c>
      <c r="C8" s="33"/>
      <c r="D8" s="37">
        <f>IF(ISERROR(TER_handel_gas_kWh/1000),0,TER_handel_gas_kWh/1000)*0.902</f>
        <v>5736.3461684191498</v>
      </c>
      <c r="E8" s="33">
        <f>$C$28*'E Balans VL '!I13/100/3.6*1000000</f>
        <v>358.95031198198251</v>
      </c>
      <c r="F8" s="33">
        <f>$C$28*('E Balans VL '!L13+'E Balans VL '!N13)/100/3.6*1000000</f>
        <v>1906.1951958141694</v>
      </c>
      <c r="G8" s="34"/>
      <c r="H8" s="33"/>
      <c r="I8" s="33"/>
      <c r="J8" s="33">
        <f>$C$28*('E Balans VL '!D13+'E Balans VL '!E13)/100/3.6*1000000</f>
        <v>0</v>
      </c>
      <c r="K8" s="33"/>
      <c r="L8" s="33"/>
      <c r="M8" s="33"/>
      <c r="N8" s="33">
        <f>$C$28*'E Balans VL '!Y13/100/3.6*1000000</f>
        <v>13.70913877622414</v>
      </c>
      <c r="O8" s="33"/>
      <c r="P8" s="33"/>
      <c r="R8" s="32"/>
    </row>
    <row r="9" spans="1:18">
      <c r="A9" s="32" t="s">
        <v>51</v>
      </c>
      <c r="B9" s="37">
        <f t="shared" si="0"/>
        <v>6111.3257114277103</v>
      </c>
      <c r="C9" s="33"/>
      <c r="D9" s="37">
        <f>IF(ISERROR(TER_gezond_gas_kWh/1000),0,TER_gezond_gas_kWh/1000)*0.902</f>
        <v>6490.2704616720112</v>
      </c>
      <c r="E9" s="33">
        <f>$C$29*'E Balans VL '!I10/100/3.6*1000000</f>
        <v>0.38262932797600552</v>
      </c>
      <c r="F9" s="33">
        <f>$C$29*('E Balans VL '!L10+'E Balans VL '!N10)/100/3.6*1000000</f>
        <v>907.85604164732047</v>
      </c>
      <c r="G9" s="34"/>
      <c r="H9" s="33"/>
      <c r="I9" s="33"/>
      <c r="J9" s="33">
        <f>$C$29*('E Balans VL '!D10+'E Balans VL '!E10)/100/3.6*1000000</f>
        <v>0</v>
      </c>
      <c r="K9" s="33"/>
      <c r="L9" s="33"/>
      <c r="M9" s="33"/>
      <c r="N9" s="33">
        <f>$C$29*'E Balans VL '!Y10/100/3.6*1000000</f>
        <v>94.530575796887973</v>
      </c>
      <c r="O9" s="33"/>
      <c r="P9" s="33"/>
      <c r="R9" s="32"/>
    </row>
    <row r="10" spans="1:18">
      <c r="A10" s="32" t="s">
        <v>50</v>
      </c>
      <c r="B10" s="37">
        <f t="shared" si="0"/>
        <v>2526.9513058965499</v>
      </c>
      <c r="C10" s="33"/>
      <c r="D10" s="37">
        <f>IF(ISERROR(TER_ander_gas_kWh/1000),0,TER_ander_gas_kWh/1000)*0.902</f>
        <v>4028.6806355074932</v>
      </c>
      <c r="E10" s="33">
        <f>$C$30*'E Balans VL '!I14/100/3.6*1000000</f>
        <v>3.0120356586466928</v>
      </c>
      <c r="F10" s="33">
        <f>$C$30*('E Balans VL '!L14+'E Balans VL '!N14)/100/3.6*1000000</f>
        <v>661.16280105410556</v>
      </c>
      <c r="G10" s="34"/>
      <c r="H10" s="33"/>
      <c r="I10" s="33"/>
      <c r="J10" s="33">
        <f>$C$30*('E Balans VL '!D14+'E Balans VL '!E14)/100/3.6*1000000</f>
        <v>5.4850207475401813E-2</v>
      </c>
      <c r="K10" s="33"/>
      <c r="L10" s="33"/>
      <c r="M10" s="33"/>
      <c r="N10" s="33">
        <f>$C$30*'E Balans VL '!Y14/100/3.6*1000000</f>
        <v>2145.825215339265</v>
      </c>
      <c r="O10" s="33"/>
      <c r="P10" s="33"/>
      <c r="R10" s="32"/>
    </row>
    <row r="11" spans="1:18">
      <c r="A11" s="32" t="s">
        <v>55</v>
      </c>
      <c r="B11" s="37">
        <f t="shared" si="0"/>
        <v>863.25903345824202</v>
      </c>
      <c r="C11" s="33"/>
      <c r="D11" s="37">
        <f>IF(ISERROR(TER_onderwijs_gas_kWh/1000),0,TER_onderwijs_gas_kWh/1000)*0.902</f>
        <v>3380.6881487280566</v>
      </c>
      <c r="E11" s="33">
        <f>$C$31*'E Balans VL '!I11/100/3.6*1000000</f>
        <v>13.025188403997742</v>
      </c>
      <c r="F11" s="33">
        <f>$C$31*('E Balans VL '!L11+'E Balans VL '!N11)/100/3.6*1000000</f>
        <v>151.25677363522036</v>
      </c>
      <c r="G11" s="34"/>
      <c r="H11" s="33"/>
      <c r="I11" s="33"/>
      <c r="J11" s="33">
        <f>$C$31*('E Balans VL '!D11+'E Balans VL '!E11)/100/3.6*1000000</f>
        <v>0</v>
      </c>
      <c r="K11" s="33"/>
      <c r="L11" s="33"/>
      <c r="M11" s="33"/>
      <c r="N11" s="33">
        <f>$C$31*'E Balans VL '!Y11/100/3.6*1000000</f>
        <v>2.4292765476024329</v>
      </c>
      <c r="O11" s="33"/>
      <c r="P11" s="33"/>
      <c r="R11" s="32"/>
    </row>
    <row r="12" spans="1:18">
      <c r="A12" s="32" t="s">
        <v>260</v>
      </c>
      <c r="B12" s="37">
        <f t="shared" si="0"/>
        <v>4378.8042948695302</v>
      </c>
      <c r="C12" s="33"/>
      <c r="D12" s="37">
        <f>IF(ISERROR(TER_rest_gas_kWh/1000),0,TER_rest_gas_kWh/1000)*0.902</f>
        <v>5314.5978967576466</v>
      </c>
      <c r="E12" s="33">
        <f>$C$32*'E Balans VL '!I8/100/3.6*1000000</f>
        <v>54.375914505629012</v>
      </c>
      <c r="F12" s="33">
        <f>$C$32*('E Balans VL '!L8+'E Balans VL '!N8)/100/3.6*1000000</f>
        <v>757.20340713587154</v>
      </c>
      <c r="G12" s="34"/>
      <c r="H12" s="33"/>
      <c r="I12" s="33"/>
      <c r="J12" s="33">
        <f>$C$32*('E Balans VL '!D8+'E Balans VL '!E8)/100/3.6*1000000</f>
        <v>1.0603385105800556E-2</v>
      </c>
      <c r="K12" s="33"/>
      <c r="L12" s="33"/>
      <c r="M12" s="33"/>
      <c r="N12" s="33">
        <f>$C$32*'E Balans VL '!Y8/100/3.6*1000000</f>
        <v>424.00248624710935</v>
      </c>
      <c r="O12" s="33"/>
      <c r="P12" s="33"/>
      <c r="R12" s="32"/>
    </row>
    <row r="13" spans="1:18">
      <c r="A13" s="16" t="s">
        <v>488</v>
      </c>
      <c r="B13" s="247">
        <f ca="1">'lokale energieproductie'!N90+'lokale energieproductie'!N59</f>
        <v>647.24999999999989</v>
      </c>
      <c r="C13" s="247">
        <f ca="1">'lokale energieproductie'!O90+'lokale energieproductie'!O59</f>
        <v>940.71428571428555</v>
      </c>
      <c r="D13" s="310">
        <f ca="1">('lokale energieproductie'!P59+'lokale energieproductie'!P90)*(-1)</f>
        <v>-1866.4285714285713</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33635.359504166721</v>
      </c>
      <c r="C16" s="21">
        <f t="shared" ca="1" si="1"/>
        <v>940.71428571428555</v>
      </c>
      <c r="D16" s="21">
        <f t="shared" ca="1" si="1"/>
        <v>45863.543682566698</v>
      </c>
      <c r="E16" s="21">
        <f t="shared" si="1"/>
        <v>463.47344453801304</v>
      </c>
      <c r="F16" s="21">
        <f t="shared" ca="1" si="1"/>
        <v>5712.2419721304841</v>
      </c>
      <c r="G16" s="21">
        <f t="shared" si="1"/>
        <v>0</v>
      </c>
      <c r="H16" s="21">
        <f t="shared" si="1"/>
        <v>0</v>
      </c>
      <c r="I16" s="21">
        <f t="shared" si="1"/>
        <v>0</v>
      </c>
      <c r="J16" s="21">
        <f t="shared" si="1"/>
        <v>6.5453592581202369E-2</v>
      </c>
      <c r="K16" s="21">
        <f t="shared" si="1"/>
        <v>0</v>
      </c>
      <c r="L16" s="21">
        <f t="shared" ca="1" si="1"/>
        <v>0</v>
      </c>
      <c r="M16" s="21">
        <f t="shared" si="1"/>
        <v>0</v>
      </c>
      <c r="N16" s="21">
        <f t="shared" ca="1" si="1"/>
        <v>2687.7323775796704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0.20955110522039389</v>
      </c>
      <c r="C18" s="25">
        <f ca="1">'EF ele_warmte'!B22</f>
        <v>0.23742257607448891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7048.3267585834164</v>
      </c>
      <c r="C20" s="23">
        <f t="shared" ref="C20:P20" ca="1" si="2">C16*C18</f>
        <v>223.34680906435847</v>
      </c>
      <c r="D20" s="23">
        <f t="shared" ca="1" si="2"/>
        <v>9264.4358238784735</v>
      </c>
      <c r="E20" s="23">
        <f t="shared" si="2"/>
        <v>105.20847191012896</v>
      </c>
      <c r="F20" s="23">
        <f t="shared" ca="1" si="2"/>
        <v>1525.1686065588394</v>
      </c>
      <c r="G20" s="23">
        <f t="shared" si="2"/>
        <v>0</v>
      </c>
      <c r="H20" s="23">
        <f t="shared" si="2"/>
        <v>0</v>
      </c>
      <c r="I20" s="23">
        <f t="shared" si="2"/>
        <v>0</v>
      </c>
      <c r="J20" s="23">
        <f t="shared" si="2"/>
        <v>2.3170571773745638E-2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6858.8299005992303</v>
      </c>
      <c r="C26" s="39">
        <f>IF(ISERROR(B26*3.6/1000000/'E Balans VL '!Z12*100),0,B26*3.6/1000000/'E Balans VL '!Z12*100)</f>
        <v>0.14498479883446269</v>
      </c>
      <c r="D26" s="237" t="s">
        <v>754</v>
      </c>
      <c r="F26" s="6"/>
    </row>
    <row r="27" spans="1:18">
      <c r="A27" s="231" t="s">
        <v>53</v>
      </c>
      <c r="B27" s="33">
        <f>IF(ISERROR(TER_horeca_ele_kWh/1000),0,TER_horeca_ele_kWh/1000)</f>
        <v>2352.2882410334601</v>
      </c>
      <c r="C27" s="39">
        <f>IF(ISERROR(B27*3.6/1000000/'E Balans VL '!Z9*100),0,B27*3.6/1000000/'E Balans VL '!Z9*100)</f>
        <v>0.18543000529808087</v>
      </c>
      <c r="D27" s="237" t="s">
        <v>754</v>
      </c>
      <c r="F27" s="6"/>
    </row>
    <row r="28" spans="1:18">
      <c r="A28" s="171" t="s">
        <v>52</v>
      </c>
      <c r="B28" s="33">
        <f>IF(ISERROR(TER_handel_ele_kWh/1000),0,TER_handel_ele_kWh/1000)</f>
        <v>9896.6510168820005</v>
      </c>
      <c r="C28" s="39">
        <f>IF(ISERROR(B28*3.6/1000000/'E Balans VL '!Z13*100),0,B28*3.6/1000000/'E Balans VL '!Z13*100)</f>
        <v>0.28724079946080577</v>
      </c>
      <c r="D28" s="237" t="s">
        <v>754</v>
      </c>
      <c r="F28" s="6"/>
    </row>
    <row r="29" spans="1:18">
      <c r="A29" s="231" t="s">
        <v>51</v>
      </c>
      <c r="B29" s="33">
        <f>IF(ISERROR(TER_gezond_ele_kWh/1000),0,TER_gezond_ele_kWh/1000)</f>
        <v>6111.3257114277103</v>
      </c>
      <c r="C29" s="39">
        <f>IF(ISERROR(B29*3.6/1000000/'E Balans VL '!Z10*100),0,B29*3.6/1000000/'E Balans VL '!Z10*100)</f>
        <v>0.643622948030388</v>
      </c>
      <c r="D29" s="237" t="s">
        <v>754</v>
      </c>
      <c r="F29" s="6"/>
    </row>
    <row r="30" spans="1:18">
      <c r="A30" s="231" t="s">
        <v>50</v>
      </c>
      <c r="B30" s="33">
        <f>IF(ISERROR(TER_ander_ele_kWh/1000),0,TER_ander_ele_kWh/1000)</f>
        <v>2526.9513058965499</v>
      </c>
      <c r="C30" s="39">
        <f>IF(ISERROR(B30*3.6/1000000/'E Balans VL '!Z14*100),0,B30*3.6/1000000/'E Balans VL '!Z14*100)</f>
        <v>0.18638847717402299</v>
      </c>
      <c r="D30" s="237" t="s">
        <v>754</v>
      </c>
      <c r="F30" s="6"/>
    </row>
    <row r="31" spans="1:18">
      <c r="A31" s="231" t="s">
        <v>55</v>
      </c>
      <c r="B31" s="33">
        <f>IF(ISERROR(TER_onderwijs_ele_kWh/1000),0,TER_onderwijs_ele_kWh/1000)</f>
        <v>863.25903345824202</v>
      </c>
      <c r="C31" s="39">
        <f>IF(ISERROR(B31*3.6/1000000/'E Balans VL '!Z11*100),0,B31*3.6/1000000/'E Balans VL '!Z11*100)</f>
        <v>0.21438765544225252</v>
      </c>
      <c r="D31" s="237" t="s">
        <v>754</v>
      </c>
    </row>
    <row r="32" spans="1:18">
      <c r="A32" s="231" t="s">
        <v>260</v>
      </c>
      <c r="B32" s="33">
        <f>IF(ISERROR(TER_rest_ele_kWh/1000),0,TER_rest_ele_kWh/1000)</f>
        <v>4378.8042948695302</v>
      </c>
      <c r="C32" s="39">
        <f>IF(ISERROR(B32*3.6/1000000/'E Balans VL '!Z8*100),0,B32*3.6/1000000/'E Balans VL '!Z8*100)</f>
        <v>3.6031747074907562E-2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58820.895933693333</v>
      </c>
      <c r="C5" s="17">
        <f>IF(ISERROR('Eigen informatie GS &amp; warmtenet'!B59),0,'Eigen informatie GS &amp; warmtenet'!B59)</f>
        <v>0</v>
      </c>
      <c r="D5" s="30">
        <f>SUM(D6:D15)</f>
        <v>92374.75593297687</v>
      </c>
      <c r="E5" s="17">
        <f>SUM(E6:E15)</f>
        <v>2208.4906812164199</v>
      </c>
      <c r="F5" s="17">
        <f>SUM(F6:F15)</f>
        <v>10245.60779150758</v>
      </c>
      <c r="G5" s="18"/>
      <c r="H5" s="17"/>
      <c r="I5" s="17"/>
      <c r="J5" s="17">
        <f>SUM(J6:J15)</f>
        <v>73.229994117773032</v>
      </c>
      <c r="K5" s="17"/>
      <c r="L5" s="17"/>
      <c r="M5" s="17"/>
      <c r="N5" s="17">
        <f>SUM(N6:N15)</f>
        <v>7913.6667948521845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341.57838499128803</v>
      </c>
      <c r="C8" s="33"/>
      <c r="D8" s="37">
        <f>IF( ISERROR(IND_metaal_Gas_kWH/1000),0,IND_metaal_Gas_kWH/1000)*0.902</f>
        <v>22.54148699014646</v>
      </c>
      <c r="E8" s="33">
        <f>C30*'E Balans VL '!I18/100/3.6*1000000</f>
        <v>3.1404833504533149</v>
      </c>
      <c r="F8" s="33">
        <f>C30*'E Balans VL '!L18/100/3.6*1000000+C30*'E Balans VL '!N18/100/3.6*1000000</f>
        <v>32.028680216590558</v>
      </c>
      <c r="G8" s="34"/>
      <c r="H8" s="33"/>
      <c r="I8" s="33"/>
      <c r="J8" s="40">
        <f>C30*'E Balans VL '!D18/100/3.6*1000000+C30*'E Balans VL '!E18/100/3.6*1000000</f>
        <v>0</v>
      </c>
      <c r="K8" s="33"/>
      <c r="L8" s="33"/>
      <c r="M8" s="33"/>
      <c r="N8" s="33">
        <f>C30*'E Balans VL '!Y18/100/3.6*1000000</f>
        <v>4.8731801439528519</v>
      </c>
      <c r="O8" s="33"/>
      <c r="P8" s="33"/>
      <c r="R8" s="32"/>
    </row>
    <row r="9" spans="1:18">
      <c r="A9" s="6" t="s">
        <v>33</v>
      </c>
      <c r="B9" s="37">
        <f t="shared" si="0"/>
        <v>3330.2390698517002</v>
      </c>
      <c r="C9" s="33"/>
      <c r="D9" s="37">
        <f>IF( ISERROR(IND_andere_gas_kWh/1000),0,IND_andere_gas_kWh/1000)*0.902</f>
        <v>1474.5474788819429</v>
      </c>
      <c r="E9" s="33">
        <f>C31*'E Balans VL '!I19/100/3.6*1000000</f>
        <v>973.49371222543903</v>
      </c>
      <c r="F9" s="33">
        <f>C31*'E Balans VL '!L19/100/3.6*1000000+C31*'E Balans VL '!N19/100/3.6*1000000</f>
        <v>2676.0991685611989</v>
      </c>
      <c r="G9" s="34"/>
      <c r="H9" s="33"/>
      <c r="I9" s="33"/>
      <c r="J9" s="40">
        <f>C31*'E Balans VL '!D19/100/3.6*1000000+C31*'E Balans VL '!E19/100/3.6*1000000</f>
        <v>0</v>
      </c>
      <c r="K9" s="33"/>
      <c r="L9" s="33"/>
      <c r="M9" s="33"/>
      <c r="N9" s="33">
        <f>C31*'E Balans VL '!Y19/100/3.6*1000000</f>
        <v>1100.3626370251043</v>
      </c>
      <c r="O9" s="33"/>
      <c r="P9" s="33"/>
      <c r="R9" s="32"/>
    </row>
    <row r="10" spans="1:18">
      <c r="A10" s="6" t="s">
        <v>41</v>
      </c>
      <c r="B10" s="37">
        <f t="shared" si="0"/>
        <v>281.50433109900297</v>
      </c>
      <c r="C10" s="33"/>
      <c r="D10" s="37">
        <f>IF( ISERROR(IND_voed_gas_kWh/1000),0,IND_voed_gas_kWh/1000)*0.902</f>
        <v>613.54434843888157</v>
      </c>
      <c r="E10" s="33">
        <f>C32*'E Balans VL '!I20/100/3.6*1000000</f>
        <v>0.59552677721629033</v>
      </c>
      <c r="F10" s="33">
        <f>C32*'E Balans VL '!L20/100/3.6*1000000+C32*'E Balans VL '!N20/100/3.6*1000000</f>
        <v>17.898332919516601</v>
      </c>
      <c r="G10" s="34"/>
      <c r="H10" s="33"/>
      <c r="I10" s="33"/>
      <c r="J10" s="40">
        <f>C32*'E Balans VL '!D20/100/3.6*1000000+C32*'E Balans VL '!E20/100/3.6*1000000</f>
        <v>0</v>
      </c>
      <c r="K10" s="33"/>
      <c r="L10" s="33"/>
      <c r="M10" s="33"/>
      <c r="N10" s="33">
        <f>C32*'E Balans VL '!Y20/100/3.6*1000000</f>
        <v>19.4265767984486</v>
      </c>
      <c r="O10" s="33"/>
      <c r="P10" s="33"/>
      <c r="R10" s="32"/>
    </row>
    <row r="11" spans="1:18">
      <c r="A11" s="6" t="s">
        <v>40</v>
      </c>
      <c r="B11" s="37">
        <f t="shared" si="0"/>
        <v>34310.370031552098</v>
      </c>
      <c r="C11" s="33"/>
      <c r="D11" s="37">
        <f>IF( ISERROR(IND_textiel_gas_kWh/1000),0,IND_textiel_gas_kWh/1000)*0.902</f>
        <v>0</v>
      </c>
      <c r="E11" s="33">
        <f>C33*'E Balans VL '!I21/100/3.6*1000000</f>
        <v>101.89884087113593</v>
      </c>
      <c r="F11" s="33">
        <f>C33*'E Balans VL '!L21/100/3.6*1000000+C33*'E Balans VL '!N21/100/3.6*1000000</f>
        <v>3466.2893340866412</v>
      </c>
      <c r="G11" s="34"/>
      <c r="H11" s="33"/>
      <c r="I11" s="33"/>
      <c r="J11" s="40">
        <f>C33*'E Balans VL '!D21/100/3.6*1000000+C33*'E Balans VL '!E21/100/3.6*1000000</f>
        <v>0</v>
      </c>
      <c r="K11" s="33"/>
      <c r="L11" s="33"/>
      <c r="M11" s="33"/>
      <c r="N11" s="33">
        <f>C33*'E Balans VL '!Y21/100/3.6*1000000</f>
        <v>1892.3264037853617</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106.385838493449</v>
      </c>
      <c r="C13" s="33"/>
      <c r="D13" s="37">
        <f>IF( ISERROR(IND_papier_gas_kWh/1000),0,IND_papier_gas_kWh/1000)*0.902</f>
        <v>125.90413786704211</v>
      </c>
      <c r="E13" s="33">
        <f>C35*'E Balans VL '!I23/100/3.6*1000000</f>
        <v>0.15093717456981595</v>
      </c>
      <c r="F13" s="33">
        <f>C35*'E Balans VL '!L23/100/3.6*1000000+C35*'E Balans VL '!N23/100/3.6*1000000</f>
        <v>2.5972783541699456</v>
      </c>
      <c r="G13" s="34"/>
      <c r="H13" s="33"/>
      <c r="I13" s="33"/>
      <c r="J13" s="40">
        <f>C35*'E Balans VL '!D23/100/3.6*1000000+C35*'E Balans VL '!E23/100/3.6*1000000</f>
        <v>1.6453568734128669E-2</v>
      </c>
      <c r="K13" s="33"/>
      <c r="L13" s="33"/>
      <c r="M13" s="33"/>
      <c r="N13" s="33">
        <f>C35*'E Balans VL '!Y23/100/3.6*1000000</f>
        <v>309.23844924273357</v>
      </c>
      <c r="O13" s="33"/>
      <c r="P13" s="33"/>
      <c r="R13" s="32"/>
    </row>
    <row r="14" spans="1:18">
      <c r="A14" s="6" t="s">
        <v>34</v>
      </c>
      <c r="B14" s="37">
        <f t="shared" si="0"/>
        <v>0</v>
      </c>
      <c r="C14" s="33"/>
      <c r="D14" s="37">
        <f>IF( ISERROR(IND_chemie_gas_kWh/1000),0,IND_chemie_gas_kWh/1000)*0.902</f>
        <v>672.25732664613213</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20450.818277705799</v>
      </c>
      <c r="C15" s="33"/>
      <c r="D15" s="37">
        <f>IF( ISERROR(IND_rest_gas_kWh/1000),0,IND_rest_gas_kWh/1000)*0.902</f>
        <v>89465.961154152727</v>
      </c>
      <c r="E15" s="33">
        <f>C37*'E Balans VL '!I15/100/3.6*1000000</f>
        <v>1129.2111808176055</v>
      </c>
      <c r="F15" s="33">
        <f>C37*'E Balans VL '!L15/100/3.6*1000000+C37*'E Balans VL '!N15/100/3.6*1000000</f>
        <v>4050.6949973694636</v>
      </c>
      <c r="G15" s="34"/>
      <c r="H15" s="33"/>
      <c r="I15" s="33"/>
      <c r="J15" s="40">
        <f>C37*'E Balans VL '!D15/100/3.6*1000000+C37*'E Balans VL '!E15/100/3.6*1000000</f>
        <v>73.213540549038896</v>
      </c>
      <c r="K15" s="33"/>
      <c r="L15" s="33"/>
      <c r="M15" s="33"/>
      <c r="N15" s="33">
        <f>C37*'E Balans VL '!Y15/100/3.6*1000000</f>
        <v>4587.439547856583</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58820.895933693333</v>
      </c>
      <c r="C18" s="21">
        <f>C5+C16</f>
        <v>0</v>
      </c>
      <c r="D18" s="21">
        <f>MAX((D5+D16),0)</f>
        <v>92374.75593297687</v>
      </c>
      <c r="E18" s="21">
        <f>MAX((E5+E16),0)</f>
        <v>2208.4906812164199</v>
      </c>
      <c r="F18" s="21">
        <f>MAX((F5+F16),0)</f>
        <v>10245.60779150758</v>
      </c>
      <c r="G18" s="21"/>
      <c r="H18" s="21"/>
      <c r="I18" s="21"/>
      <c r="J18" s="21">
        <f>MAX((J5+J16),0)</f>
        <v>73.229994117773032</v>
      </c>
      <c r="K18" s="21"/>
      <c r="L18" s="21">
        <f>MAX((L5+L16),0)</f>
        <v>0</v>
      </c>
      <c r="M18" s="21"/>
      <c r="N18" s="21">
        <f>MAX((N5+N16),0)</f>
        <v>7913.6667948521845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0.20955110522039389</v>
      </c>
      <c r="C20" s="25">
        <f ca="1">'EF ele_warmte'!B22</f>
        <v>0.23742257607448891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12325.98375295921</v>
      </c>
      <c r="C22" s="23">
        <f ca="1">C18*C20</f>
        <v>0</v>
      </c>
      <c r="D22" s="23">
        <f>D18*D20</f>
        <v>18659.700698461329</v>
      </c>
      <c r="E22" s="23">
        <f>E18*E20</f>
        <v>501.32738463612736</v>
      </c>
      <c r="F22" s="23">
        <f>F18*F20</f>
        <v>2735.577280332524</v>
      </c>
      <c r="G22" s="23"/>
      <c r="H22" s="23"/>
      <c r="I22" s="23"/>
      <c r="J22" s="23">
        <f>J18*J20</f>
        <v>25.923417917691651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341.57838499128803</v>
      </c>
      <c r="C30" s="39">
        <f>IF(ISERROR(B30*3.6/1000000/'E Balans VL '!Z18*100),0,B30*3.6/1000000/'E Balans VL '!Z18*100)</f>
        <v>1.9358122941721172E-2</v>
      </c>
      <c r="D30" s="237" t="s">
        <v>754</v>
      </c>
    </row>
    <row r="31" spans="1:18">
      <c r="A31" s="6" t="s">
        <v>33</v>
      </c>
      <c r="B31" s="37">
        <f>IF( ISERROR(IND_ander_ele_kWh/1000),0,IND_ander_ele_kWh/1000)</f>
        <v>3330.2390698517002</v>
      </c>
      <c r="C31" s="39">
        <f>IF(ISERROR(B31*3.6/1000000/'E Balans VL '!Z19*100),0,B31*3.6/1000000/'E Balans VL '!Z19*100)</f>
        <v>0.15104577733433497</v>
      </c>
      <c r="D31" s="237" t="s">
        <v>754</v>
      </c>
    </row>
    <row r="32" spans="1:18">
      <c r="A32" s="171" t="s">
        <v>41</v>
      </c>
      <c r="B32" s="37">
        <f>IF( ISERROR(IND_voed_ele_kWh/1000),0,IND_voed_ele_kWh/1000)</f>
        <v>281.50433109900297</v>
      </c>
      <c r="C32" s="39">
        <f>IF(ISERROR(B32*3.6/1000000/'E Balans VL '!Z20*100),0,B32*3.6/1000000/'E Balans VL '!Z20*100)</f>
        <v>8.7082068826533961E-3</v>
      </c>
      <c r="D32" s="237" t="s">
        <v>754</v>
      </c>
    </row>
    <row r="33" spans="1:5">
      <c r="A33" s="171" t="s">
        <v>40</v>
      </c>
      <c r="B33" s="37">
        <f>IF( ISERROR(IND_textiel_ele_kWh/1000),0,IND_textiel_ele_kWh/1000)</f>
        <v>34310.370031552098</v>
      </c>
      <c r="C33" s="39">
        <f>IF(ISERROR(B33*3.6/1000000/'E Balans VL '!Z21*100),0,B33*3.6/1000000/'E Balans VL '!Z21*100)</f>
        <v>4.4736908729316136</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106.385838493449</v>
      </c>
      <c r="C35" s="39">
        <f>IF(ISERROR(B35*3.6/1000000/'E Balans VL '!Z22*100),0,B35*3.6/1000000/'E Balans VL '!Z22*100)</f>
        <v>1.9135493145037426E-2</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20450.818277705799</v>
      </c>
      <c r="C37" s="39">
        <f>IF(ISERROR(B37*3.6/1000000/'E Balans VL '!Z15*100),0,B37*3.6/1000000/'E Balans VL '!Z15*100)</f>
        <v>0.16209785084431536</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356.12002443504724</v>
      </c>
      <c r="C5" s="17">
        <f>'Eigen informatie GS &amp; warmtenet'!B60</f>
        <v>0</v>
      </c>
      <c r="D5" s="30">
        <f>IF(ISERROR(SUM(LB_lb_gas_kWh,LB_rest_gas_kWh,onbekend_gas_kWh)/1000),0,SUM(LB_lb_gas_kWh,LB_rest_gas_kWh,onbekend_gas_kWh)/1000)*0.902</f>
        <v>6639.9349999059541</v>
      </c>
      <c r="E5" s="17">
        <f>B17*'E Balans VL '!I25/3.6*1000000/100</f>
        <v>10.467455234246486</v>
      </c>
      <c r="F5" s="17">
        <f>B17*('E Balans VL '!L25/3.6*1000000+'E Balans VL '!N25/3.6*1000000)/100</f>
        <v>1483.5767780803444</v>
      </c>
      <c r="G5" s="18"/>
      <c r="H5" s="17"/>
      <c r="I5" s="17"/>
      <c r="J5" s="17">
        <f>('E Balans VL '!D25+'E Balans VL '!E25)/3.6*1000000*landbouw!B17/100</f>
        <v>51.594143775570508</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356.12002443504724</v>
      </c>
      <c r="C8" s="21">
        <f>C5+C6</f>
        <v>0</v>
      </c>
      <c r="D8" s="21">
        <f>MAX((D5+D6),0)</f>
        <v>6639.9349999059541</v>
      </c>
      <c r="E8" s="21">
        <f>MAX((E5+E6),0)</f>
        <v>10.467455234246486</v>
      </c>
      <c r="F8" s="21">
        <f>MAX((F5+F6),0)</f>
        <v>1483.5767780803444</v>
      </c>
      <c r="G8" s="21"/>
      <c r="H8" s="21"/>
      <c r="I8" s="21"/>
      <c r="J8" s="21">
        <f>MAX((J5+J6),0)</f>
        <v>51.594143775570508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0.20955110522039389</v>
      </c>
      <c r="C10" s="31">
        <f ca="1">'EF ele_warmte'!B22</f>
        <v>0.23742257607448891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74.625344711477823</v>
      </c>
      <c r="C12" s="23">
        <f ca="1">C8*C10</f>
        <v>0</v>
      </c>
      <c r="D12" s="23">
        <f>D8*D10</f>
        <v>1341.2668699810029</v>
      </c>
      <c r="E12" s="23">
        <f>E8*E10</f>
        <v>2.3761123381739524</v>
      </c>
      <c r="F12" s="23">
        <f>F8*F10</f>
        <v>396.11499974745198</v>
      </c>
      <c r="G12" s="23"/>
      <c r="H12" s="23"/>
      <c r="I12" s="23"/>
      <c r="J12" s="23">
        <f>J8*J10</f>
        <v>18.26432689655196</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5.0534548759835929E-2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148.68141335369975</v>
      </c>
      <c r="C26" s="247">
        <f>B26*'GWP N2O_CH4'!B5</f>
        <v>3122.3096804276947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23.506566503388353</v>
      </c>
      <c r="C27" s="247">
        <f>B27*'GWP N2O_CH4'!B5</f>
        <v>493.63789657115541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1.9553789977352105</v>
      </c>
      <c r="C28" s="247">
        <f>B28*'GWP N2O_CH4'!B4</f>
        <v>606.16748929791527</v>
      </c>
      <c r="D28" s="50"/>
    </row>
    <row r="29" spans="1:4">
      <c r="A29" s="41" t="s">
        <v>277</v>
      </c>
      <c r="B29" s="247">
        <f>B34*'ha_N2O bodem landbouw'!B4</f>
        <v>9.5524621332852639</v>
      </c>
      <c r="C29" s="247">
        <f>B29*'GWP N2O_CH4'!B4</f>
        <v>2961.2632613184319</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2.1798389395667047E-3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1.0374570097562553E-4</v>
      </c>
      <c r="C5" s="463" t="s">
        <v>211</v>
      </c>
      <c r="D5" s="448">
        <f>SUM(D6:D11)</f>
        <v>3.6813043747742786E-4</v>
      </c>
      <c r="E5" s="448">
        <f>SUM(E6:E11)</f>
        <v>4.8978115726690664E-4</v>
      </c>
      <c r="F5" s="461" t="s">
        <v>211</v>
      </c>
      <c r="G5" s="448">
        <f>SUM(G6:G11)</f>
        <v>0.31692951651918999</v>
      </c>
      <c r="H5" s="448">
        <f>SUM(H6:H11)</f>
        <v>4.1504054929973541E-2</v>
      </c>
      <c r="I5" s="463" t="s">
        <v>211</v>
      </c>
      <c r="J5" s="463" t="s">
        <v>211</v>
      </c>
      <c r="K5" s="463" t="s">
        <v>211</v>
      </c>
      <c r="L5" s="463" t="s">
        <v>211</v>
      </c>
      <c r="M5" s="448">
        <f>SUM(M6:M11)</f>
        <v>1.9748876523073399E-2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7.9339978165122245E-5</v>
      </c>
      <c r="C6" s="449"/>
      <c r="D6" s="962">
        <f>vkm_2011_GW_PW*SUMIFS(TableVerdeelsleutelVkm[CNG],TableVerdeelsleutelVkm[Voertuigtype],"Lichte voertuigen")*SUMIFS(TableECFTransport[EnergieConsumptieFactor (PJ per km)],TableECFTransport[Index],CONCATENATE($A6,"_CNG_CNG"))</f>
        <v>2.3797439748999091E-4</v>
      </c>
      <c r="E6" s="962">
        <f>vkm_2011_GW_PW*SUMIFS(TableVerdeelsleutelVkm[LPG],TableVerdeelsleutelVkm[Voertuigtype],"Lichte voertuigen")*SUMIFS(TableECFTransport[EnergieConsumptieFactor (PJ per km)],TableECFTransport[Index],CONCATENATE($A6,"_LPG_LPG"))</f>
        <v>3.2510721030889507E-4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8.4057821439724789E-2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2.7062115290821549E-2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5.7142382117398218E-3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0.16967049933235384</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5.1703075698304066E-5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9.9149805899864749E-3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2.4405722810503279E-5</v>
      </c>
      <c r="C8" s="449"/>
      <c r="D8" s="451">
        <f>vkm_2011_NGW_PW*SUMIFS(TableVerdeelsleutelVkm[CNG],TableVerdeelsleutelVkm[Voertuigtype],"Lichte voertuigen")*SUMIFS(TableECFTransport[EnergieConsumptieFactor (PJ per km)],TableECFTransport[Index],CONCATENATE($A8,"_CNG_CNG"))</f>
        <v>1.3015603998743695E-4</v>
      </c>
      <c r="E8" s="451">
        <f>vkm_2011_NGW_PW*SUMIFS(TableVerdeelsleutelVkm[LPG],TableVerdeelsleutelVkm[Voertuigtype],"Lichte voertuigen")*SUMIFS(TableECFTransport[EnergieConsumptieFactor (PJ per km)],TableECFTransport[Index],CONCATENATE($A8,"_LPG_LPG"))</f>
        <v>1.6467394695801163E-4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3.9677383779065961E-2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1.4383488204235422E-2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2.7450167212590454E-3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2.3523811968045451E-2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6.7483592182695341E-6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1.3746410000880576E-3</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28.818250271007091</v>
      </c>
      <c r="C14" s="21"/>
      <c r="D14" s="21">
        <f t="shared" ref="D14:M14" si="0">((D5)*10^9/3600)+D12</f>
        <v>102.25845485484108</v>
      </c>
      <c r="E14" s="21">
        <f t="shared" si="0"/>
        <v>136.05032146302963</v>
      </c>
      <c r="F14" s="21"/>
      <c r="G14" s="21">
        <f t="shared" si="0"/>
        <v>88035.976810886117</v>
      </c>
      <c r="H14" s="21">
        <f t="shared" si="0"/>
        <v>11528.904147214873</v>
      </c>
      <c r="I14" s="21"/>
      <c r="J14" s="21"/>
      <c r="K14" s="21"/>
      <c r="L14" s="21"/>
      <c r="M14" s="21">
        <f t="shared" si="0"/>
        <v>5485.7990341870545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0.20955110522039389</v>
      </c>
      <c r="C16" s="56">
        <f ca="1">'EF ele_warmte'!B22</f>
        <v>0.23742257607448891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6.0388961948074513</v>
      </c>
      <c r="C18" s="23"/>
      <c r="D18" s="23">
        <f t="shared" ref="D18:M18" si="1">D14*D16</f>
        <v>20.656207880677897</v>
      </c>
      <c r="E18" s="23">
        <f t="shared" si="1"/>
        <v>30.883422972107727</v>
      </c>
      <c r="F18" s="23"/>
      <c r="G18" s="23">
        <f t="shared" si="1"/>
        <v>23505.605808506596</v>
      </c>
      <c r="H18" s="23">
        <f t="shared" si="1"/>
        <v>2870.6971326565035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2.6409131588547496E-3</v>
      </c>
      <c r="H50" s="321">
        <f t="shared" si="2"/>
        <v>0</v>
      </c>
      <c r="I50" s="321">
        <f t="shared" si="2"/>
        <v>0</v>
      </c>
      <c r="J50" s="321">
        <f t="shared" si="2"/>
        <v>0</v>
      </c>
      <c r="K50" s="321">
        <f t="shared" si="2"/>
        <v>0</v>
      </c>
      <c r="L50" s="321">
        <f t="shared" si="2"/>
        <v>0</v>
      </c>
      <c r="M50" s="321">
        <f t="shared" si="2"/>
        <v>1.4999220891008497E-4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2.6409131588547496E-3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1.4999220891008497E-4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733.58698857076376</v>
      </c>
      <c r="H54" s="21">
        <f t="shared" si="3"/>
        <v>0</v>
      </c>
      <c r="I54" s="21">
        <f t="shared" si="3"/>
        <v>0</v>
      </c>
      <c r="J54" s="21">
        <f t="shared" si="3"/>
        <v>0</v>
      </c>
      <c r="K54" s="21">
        <f t="shared" si="3"/>
        <v>0</v>
      </c>
      <c r="L54" s="21">
        <f t="shared" si="3"/>
        <v>0</v>
      </c>
      <c r="M54" s="21">
        <f t="shared" si="3"/>
        <v>41.664502475023603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0.20955110522039389</v>
      </c>
      <c r="C56" s="56">
        <f ca="1">'EF ele_warmte'!B22</f>
        <v>0.23742257607448891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195.86772594839394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6833.2916539828866</v>
      </c>
      <c r="C6" s="1263"/>
      <c r="D6" s="1248"/>
      <c r="E6" s="1248"/>
      <c r="F6" s="1266"/>
      <c r="G6" s="1269"/>
      <c r="H6" s="1260"/>
      <c r="I6" s="1248"/>
      <c r="J6" s="1248"/>
      <c r="K6" s="1248"/>
      <c r="L6" s="1252"/>
      <c r="M6" s="575"/>
      <c r="N6" s="1226"/>
      <c r="O6" s="1227"/>
      <c r="Q6" s="573"/>
      <c r="R6" s="1214"/>
      <c r="S6" s="1214"/>
    </row>
    <row r="7" spans="1:19" s="563" customFormat="1">
      <c r="A7" s="576" t="s">
        <v>252</v>
      </c>
      <c r="B7" s="577">
        <f>N57</f>
        <v>647.24999999999989</v>
      </c>
      <c r="C7" s="578">
        <f>B100</f>
        <v>760.75129883273735</v>
      </c>
      <c r="D7" s="579"/>
      <c r="E7" s="579">
        <f>E100</f>
        <v>0</v>
      </c>
      <c r="F7" s="580"/>
      <c r="G7" s="581"/>
      <c r="H7" s="579">
        <f>I100</f>
        <v>0</v>
      </c>
      <c r="I7" s="579">
        <f>G100+F100</f>
        <v>0</v>
      </c>
      <c r="J7" s="579">
        <f>H100+D100+C100</f>
        <v>0</v>
      </c>
      <c r="K7" s="579"/>
      <c r="L7" s="582"/>
      <c r="M7" s="583">
        <f>C7*$C$11+D7*$D$11+E7*$E$11+F7*$F$11+G7*$G$11+H7*$H$11+I7*$I$11+J7*$J$11</f>
        <v>153.67176236421295</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7480.5416539828866</v>
      </c>
      <c r="C9" s="594">
        <f t="shared" ref="C9:L9" si="0">SUM(C7:C8)</f>
        <v>760.75129883273735</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153.67176236421295</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940.71428571428555</v>
      </c>
      <c r="C16" s="610">
        <f>B101</f>
        <v>1105.677272595834</v>
      </c>
      <c r="D16" s="611"/>
      <c r="E16" s="611">
        <f>E101</f>
        <v>0</v>
      </c>
      <c r="F16" s="612"/>
      <c r="G16" s="613"/>
      <c r="H16" s="610">
        <f>I101</f>
        <v>0</v>
      </c>
      <c r="I16" s="611">
        <f>G101+F101</f>
        <v>0</v>
      </c>
      <c r="J16" s="611">
        <f>H101+D101+C101</f>
        <v>0</v>
      </c>
      <c r="K16" s="611"/>
      <c r="L16" s="614"/>
      <c r="M16" s="615">
        <f>C16*$C$21+E16*$E$21+H16*$H$21+I16*$I$21+J16*$J$21+D16*$D$21+F16*$F$21+G16*$G$21+K16*$K$21+L16*$L$21</f>
        <v>223.34680906435847</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940.71428571428555</v>
      </c>
      <c r="C19" s="593">
        <f>SUM(C16:C18)</f>
        <v>1105.677272595834</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223.34680906435847</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45041</v>
      </c>
      <c r="C27" s="851">
        <v>9600</v>
      </c>
      <c r="D27" s="672" t="s">
        <v>844</v>
      </c>
      <c r="E27" s="671" t="s">
        <v>845</v>
      </c>
      <c r="F27" s="671" t="s">
        <v>846</v>
      </c>
      <c r="G27" s="671" t="s">
        <v>847</v>
      </c>
      <c r="H27" s="671" t="s">
        <v>847</v>
      </c>
      <c r="I27" s="671" t="s">
        <v>848</v>
      </c>
      <c r="J27" s="850">
        <v>41031</v>
      </c>
      <c r="K27" s="850">
        <v>41091</v>
      </c>
      <c r="L27" s="671" t="s">
        <v>849</v>
      </c>
      <c r="M27" s="671">
        <v>1</v>
      </c>
      <c r="N27" s="671">
        <v>4.5</v>
      </c>
      <c r="O27" s="671">
        <v>22.5</v>
      </c>
      <c r="P27" s="671">
        <v>30</v>
      </c>
      <c r="Q27" s="671">
        <v>0</v>
      </c>
      <c r="R27" s="671">
        <v>0</v>
      </c>
      <c r="S27" s="671">
        <v>0</v>
      </c>
      <c r="T27" s="671">
        <v>0</v>
      </c>
      <c r="U27" s="671">
        <v>0</v>
      </c>
      <c r="V27" s="671">
        <v>0</v>
      </c>
      <c r="W27" s="671">
        <v>0</v>
      </c>
      <c r="X27" s="671">
        <v>1300</v>
      </c>
      <c r="Y27" s="671" t="s">
        <v>54</v>
      </c>
      <c r="Z27" s="673" t="s">
        <v>156</v>
      </c>
    </row>
    <row r="28" spans="1:26" s="625" customFormat="1" ht="38.25">
      <c r="A28" s="624"/>
      <c r="B28" s="851">
        <v>45041</v>
      </c>
      <c r="C28" s="851">
        <v>9600</v>
      </c>
      <c r="D28" s="672" t="s">
        <v>850</v>
      </c>
      <c r="E28" s="671" t="s">
        <v>851</v>
      </c>
      <c r="F28" s="671" t="s">
        <v>852</v>
      </c>
      <c r="G28" s="671" t="s">
        <v>853</v>
      </c>
      <c r="H28" s="671" t="s">
        <v>854</v>
      </c>
      <c r="I28" s="671" t="s">
        <v>855</v>
      </c>
      <c r="J28" s="850">
        <v>41151</v>
      </c>
      <c r="K28" s="850">
        <v>41585</v>
      </c>
      <c r="L28" s="671" t="s">
        <v>849</v>
      </c>
      <c r="M28" s="671">
        <v>142</v>
      </c>
      <c r="N28" s="671">
        <v>638.99999999999989</v>
      </c>
      <c r="O28" s="671">
        <v>912.85714285714266</v>
      </c>
      <c r="P28" s="671">
        <v>1825.7142857142856</v>
      </c>
      <c r="Q28" s="671">
        <v>0</v>
      </c>
      <c r="R28" s="671">
        <v>0</v>
      </c>
      <c r="S28" s="671">
        <v>0</v>
      </c>
      <c r="T28" s="671">
        <v>0</v>
      </c>
      <c r="U28" s="671">
        <v>0</v>
      </c>
      <c r="V28" s="671">
        <v>0</v>
      </c>
      <c r="W28" s="671">
        <v>0</v>
      </c>
      <c r="X28" s="671">
        <v>1500</v>
      </c>
      <c r="Y28" s="671" t="s">
        <v>51</v>
      </c>
      <c r="Z28" s="673" t="s">
        <v>156</v>
      </c>
    </row>
    <row r="29" spans="1:26" s="625" customFormat="1" ht="25.5">
      <c r="A29" s="624"/>
      <c r="B29" s="851">
        <v>45041</v>
      </c>
      <c r="C29" s="851">
        <v>9600</v>
      </c>
      <c r="D29" s="672" t="s">
        <v>856</v>
      </c>
      <c r="E29" s="671"/>
      <c r="F29" s="671" t="s">
        <v>857</v>
      </c>
      <c r="G29" s="671" t="s">
        <v>858</v>
      </c>
      <c r="H29" s="671" t="s">
        <v>854</v>
      </c>
      <c r="I29" s="671" t="s">
        <v>859</v>
      </c>
      <c r="J29" s="850">
        <v>42650</v>
      </c>
      <c r="K29" s="850">
        <v>42677</v>
      </c>
      <c r="L29" s="671" t="s">
        <v>860</v>
      </c>
      <c r="M29" s="671">
        <v>10</v>
      </c>
      <c r="N29" s="671">
        <v>3.75</v>
      </c>
      <c r="O29" s="671">
        <v>5.3571428571428577</v>
      </c>
      <c r="P29" s="671">
        <v>10.714285714285715</v>
      </c>
      <c r="Q29" s="671">
        <v>0</v>
      </c>
      <c r="R29" s="671">
        <v>0</v>
      </c>
      <c r="S29" s="671">
        <v>0</v>
      </c>
      <c r="T29" s="671">
        <v>0</v>
      </c>
      <c r="U29" s="671">
        <v>0</v>
      </c>
      <c r="V29" s="671">
        <v>0</v>
      </c>
      <c r="W29" s="671">
        <v>0</v>
      </c>
      <c r="X29" s="671">
        <v>1100</v>
      </c>
      <c r="Y29" s="671" t="s">
        <v>52</v>
      </c>
      <c r="Z29" s="673" t="s">
        <v>156</v>
      </c>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153</v>
      </c>
      <c r="N57" s="629">
        <f>SUM(N27:N56)</f>
        <v>647.24999999999989</v>
      </c>
      <c r="O57" s="629">
        <f t="shared" ref="O57:W57" si="2">SUM(O27:O56)</f>
        <v>940.71428571428555</v>
      </c>
      <c r="P57" s="629">
        <f t="shared" si="2"/>
        <v>1866.4285714285713</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153</v>
      </c>
      <c r="N59" s="629">
        <f ca="1">SUMIF($Z$27:AB56,"tertiair",N27:N56)</f>
        <v>647.24999999999989</v>
      </c>
      <c r="O59" s="629">
        <f ca="1">SUMIF($Z$27:AC56,"tertiair",O27:O56)</f>
        <v>940.71428571428555</v>
      </c>
      <c r="P59" s="629">
        <f ca="1">SUMIF($Z$27:AD56,"tertiair",P27:P56)</f>
        <v>1866.4285714285713</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0.59240267188448825</v>
      </c>
      <c r="C97" s="654">
        <f>IF(ISERROR(N57/(O57+N57)),0,N57/(N57+O57))</f>
        <v>0.4075973281155118</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760.75129883273735</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1105.677272595834</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2019-01-01T21:21:05Z</dcterms:modified>
</cp:coreProperties>
</file>