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F16" i="16"/>
  <c r="J15"/>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K31" s="1"/>
  <c r="D28"/>
  <c r="D30"/>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J67"/>
  <c r="J69" s="1"/>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C67" i="14"/>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<sst xmlns="http://schemas.openxmlformats.org/spreadsheetml/2006/main" count="2099" uniqueCount="844">
  <si>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</si>
  <si>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</si>
  <si>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</si>
  <si>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</si>
  <si>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</si>
  <si>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</si>
  <si>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</si>
  <si>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</si>
  <si>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</si>
  <si>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</si>
  <si>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</si>
  <si>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</si>
  <si>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</si>
  <si>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</si>
  <si>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</si>
  <si>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</si>
  <si>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</si>
  <si>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</si>
  <si>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</si>
  <si>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</si>
  <si>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</si>
  <si>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</si>
  <si>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</si>
  <si>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</si>
  <si>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</si>
  <si>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</si>
  <si>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</si>
  <si>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</si>
  <si>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</si>
  <si>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</si>
  <si>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</si>
  <si>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</si>
  <si>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</si>
  <si>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</si>
  <si>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</si>
  <si>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</si>
  <si>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</si>
  <si>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</si>
  <si>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</si>
  <si>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</si>
  <si>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</si>
  <si>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</si>
  <si>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</si>
  <si>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</si>
  <si>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</si>
  <si>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</si>
  <si>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</si>
  <si>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</si>
  <si>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</si>
  <si>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</si>
  <si>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</si>
  <si>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</si>
  <si>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</si>
  <si>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</si>
  <si>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</si>
  <si>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</si>
  <si>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</si>
  <si>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</si>
  <si>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</si>
  <si>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</si>
  <si>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</si>
  <si>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</si>
  <si>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</si>
  <si>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</si>
  <si>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</si>
  <si>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</si>
  <si>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</si>
  <si>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</si>
  <si>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</si>
  <si>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</si>
  <si>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</si>
  <si>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</si>
  <si>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</si>
  <si>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</si>
  <si>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</si>
  <si>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</si>
  <si>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</si>
  <si>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</si>
  <si>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</si>
  <si>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</si>
  <si>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</si>
  <si>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</si>
  <si>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</si>
  <si>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</si>
  <si>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</si>
  <si>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</si>
  <si>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</si>
  <si>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</si>
  <si>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</si>
  <si>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</si>
  <si>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</si>
  <si>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</si>
  <si>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</si>
  <si>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</si>
  <si>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</si>
  <si>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</si>
  <si>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</si>
  <si>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</si>
  <si>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</si>
  <si>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</si>
  <si>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</si>
  <si>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</si>
  <si>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</si>
  <si>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</si>
  <si>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</si>
  <si>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</si>
  <si>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</si>
  <si>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</si>
  <si>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</si>
  <si>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</si>
  <si>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</si>
  <si>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</si>
  <si>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</si>
  <si>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</si>
  <si>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</si>
  <si>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</si>
  <si>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</si>
  <si>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</si>
  <si>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</si>
  <si>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</si>
  <si>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</si>
  <si>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</si>
  <si>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</si>
  <si>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</si>
  <si>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</si>
  <si>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</si>
  <si>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</si>
  <si>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</si>
  <si>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</si>
  <si>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</si>
  <si>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</si>
  <si>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</si>
  <si>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</si>
  <si>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</si>
  <si>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</si>
  <si>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</si>
  <si>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</si>
  <si>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</si>
  <si>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</si>
  <si>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</si>
  <si>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</si>
  <si>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</si>
  <si>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</si>
  <si>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</si>
  <si>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</si>
  <si>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</si>
  <si>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</si>
  <si>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</si>
  <si>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</si>
  <si>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</si>
  <si>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</si>
  <si>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</si>
  <si>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</si>
  <si>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</si>
  <si>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</si>
  <si>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</si>
  <si>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</si>
  <si>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</si>
  <si>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</si>
  <si>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</si>
  <si>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</si>
  <si>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</si>
  <si>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</si>
  <si>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</si>
  <si>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</si>
  <si>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</si>
  <si>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</si>
  <si>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</si>
  <si>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</si>
  <si>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</si>
  <si>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</si>
  <si>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</si>
  <si>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</si>
  <si>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</si>
  <si>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</si>
  <si>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</si>
  <si>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</si>
  <si>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</si>
  <si>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</si>
  <si>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</si>
  <si>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</si>
  <si>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</si>
  <si>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</si>
  <si>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</si>
  <si>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</si>
  <si>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</si>
  <si>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</si>
  <si>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</si>
  <si>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</si>
  <si>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</si>
  <si>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</si>
  <si>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</si>
  <si>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</si>
  <si>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</si>
  <si>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</si>
  <si>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</si>
  <si>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</si>
  <si>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</si>
  <si>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</si>
  <si>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</si>
  <si>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</si>
  <si>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</si>
  <si>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</si>
  <si>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</si>
  <si>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</si>
  <si>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</si>
  <si>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</si>
  <si>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</si>
  <si>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</si>
  <si>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</si>
  <si>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</si>
  <si>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</si>
  <si>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</si>
  <si>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</si>
  <si>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</si>
  <si>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</si>
  <si>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</si>
  <si>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</si>
  <si>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</si>
  <si>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</si>
  <si>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</si>
  <si>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</si>
  <si>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</si>
  <si>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</si>
  <si>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</si>
  <si>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</si>
  <si>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</si>
  <si>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</si>
  <si>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</si>
  <si>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</si>
  <si>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</si>
  <si>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</si>
  <si>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</si>
  <si>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</si>
  <si>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</si>
  <si>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</si>
  <si>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</si>
  <si>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</si>
  <si>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</si>
  <si>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</si>
  <si>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</si>
  <si>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</si>
  <si>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</si>
  <si>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</si>
  <si>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</si>
  <si>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</si>
  <si>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</si>
  <si>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</si>
  <si>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</si>
  <si>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</si>
  <si>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</si>
  <si>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</si>
  <si>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</si>
  <si>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</si>
  <si>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</si>
  <si>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</si>
  <si>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</si>
  <si>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</si>
  <si>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</si>
  <si>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</si>
  <si>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</si>
  <si>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</si>
  <si>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</si>
  <si>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</si>
  <si>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</si>
  <si>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</si>
  <si>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</si>
  <si>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</si>
  <si>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</si>
  <si>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</si>
  <si>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</si>
  <si>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</si>
  <si>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</si>
  <si>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</si>
  <si>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</si>
  <si>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</si>
  <si>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</si>
  <si>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</si>
  <si>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</si>
  <si>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</si>
  <si>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</si>
  <si>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</si>
  <si>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</si>
  <si>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</si>
  <si>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</si>
  <si>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</si>
  <si>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</si>
  <si>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</si>
  <si>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</si>
  <si>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</si>
  <si>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</si>
  <si>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</si>
  <si>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</si>
  <si>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</si>
  <si>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</si>
  <si>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</si>
  <si>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</si>
  <si>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</si>
  <si>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</si>
  <si>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</si>
  <si>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</si>
  <si>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</si>
  <si>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</si>
  <si>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</si>
  <si>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</si>
  <si>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</si>
  <si>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</si>
  <si>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</si>
  <si>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</si>
  <si>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</si>
  <si>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</si>
  <si>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</si>
  <si>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</si>
  <si>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</si>
  <si>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</si>
  <si>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</si>
  <si>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</si>
  <si>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</si>
  <si>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</si>
  <si>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</si>
  <si>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</si>
  <si>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</si>
  <si>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</si>
  <si>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</si>
  <si>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</si>
  <si>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</si>
  <si>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</si>
  <si>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</si>
  <si>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</si>
  <si>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</si>
  <si>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</si>
  <si>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</si>
  <si>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</si>
  <si>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</si>
  <si>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</si>
  <si>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</si>
  <si>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</si>
  <si>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</si>
  <si>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</si>
  <si>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</si>
  <si>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</si>
  <si>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</si>
  <si>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</si>
  <si>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</si>
  <si>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</si>
  <si>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</si>
  <si>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</si>
  <si>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</si>
  <si>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</si>
  <si>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</si>
  <si>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</si>
  <si>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</si>
  <si>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</si>
  <si>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</si>
  <si>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</si>
  <si>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</si>
  <si>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</si>
  <si>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</si>
  <si>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</si>
  <si>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</si>
  <si>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</si>
  <si>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</si>
  <si>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</si>
  <si>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</si>
  <si>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</si>
  <si>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</si>
  <si>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</si>
  <si>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</si>
  <si>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</si>
  <si>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</si>
  <si>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</si>
  <si>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</si>
  <si>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</si>
  <si>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</si>
  <si>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</si>
  <si>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</si>
  <si>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</si>
  <si>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</si>
  <si>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</si>
  <si>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</si>
  <si>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</si>
  <si>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</si>
  <si>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</si>
  <si>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</si>
  <si>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</si>
  <si>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</si>
  <si>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</si>
  <si>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</si>
  <si>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</si>
  <si>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</si>
  <si>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</si>
  <si>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</si>
  <si>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</si>
  <si>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</si>
  <si>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</si>
  <si>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</si>
  <si>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</si>
  <si>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</si>
  <si>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</si>
  <si>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</si>
  <si>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</si>
  <si>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</si>
  <si>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</si>
  <si>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</si>
  <si>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</si>
  <si>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</si>
  <si>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</si>
  <si>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</si>
  <si>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</si>
  <si>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</si>
  <si>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</si>
  <si>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</si>
  <si>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</si>
  <si>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</si>
  <si>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</si>
  <si>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</si>
  <si>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</si>
  <si>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</si>
  <si>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</si>
  <si>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</si>
  <si>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</si>
  <si>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</si>
  <si>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</si>
  <si>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</si>
  <si>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</si>
  <si>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</si>
  <si>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</si>
  <si>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</si>
  <si>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</si>
  <si>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</si>
  <si>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</si>
  <si>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</si>
  <si>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</si>
  <si>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</si>
  <si>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</si>
  <si>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</si>
  <si>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</si>
  <si>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</si>
  <si>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</si>
  <si>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</si>
  <si>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</si>
  <si>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</si>
  <si>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</si>
  <si>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</si>
  <si>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</si>
  <si>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</si>
  <si>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</si>
  <si>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</si>
  <si>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</si>
  <si>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</si>
  <si>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</si>
  <si>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</si>
  <si>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</si>
  <si>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</si>
  <si>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</si>
  <si>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</si>
  <si>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</si>
  <si>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</si>
  <si>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</si>
  <si>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</si>
  <si>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</si>
  <si>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</si>
  <si>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</si>
  <si>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</si>
  <si>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</si>
  <si>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</si>
  <si>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</si>
  <si>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</si>
  <si>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</si>
  <si>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</si>
  <si>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</si>
  <si>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</si>
  <si>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</si>
  <si>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</si>
  <si>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</si>
  <si>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</si>
  <si>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</si>
  <si>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</si>
  <si>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</si>
  <si>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</si>
  <si>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</si>
  <si>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</si>
  <si>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</si>
  <si>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</si>
  <si>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</si>
  <si>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</si>
  <si>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</si>
  <si>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</si>
  <si>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</si>
  <si>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</si>
  <si>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</si>
  <si>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</si>
  <si>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</si>
  <si>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</si>
  <si>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</si>
  <si>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</si>
  <si>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</si>
  <si>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</si>
  <si>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</si>
  <si>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</si>
  <si>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</si>
  <si>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</si>
  <si>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</si>
  <si>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</si>
  <si>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</si>
  <si>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</si>
  <si>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</si>
  <si>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</si>
  <si>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</si>
  <si>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</si>
  <si>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</si>
  <si>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</si>
  <si>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</si>
  <si>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</si>
  <si>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</si>
  <si>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</si>
  <si>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</si>
  <si>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</si>
  <si>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</si>
  <si>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</si>
  <si>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</si>
  <si>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</si>
  <si>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</si>
  <si>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</si>
  <si>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</si>
  <si>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</si>
  <si>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</si>
  <si>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</si>
  <si>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</si>
  <si>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</si>
  <si>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</si>
  <si>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</si>
  <si>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</si>
  <si>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</si>
  <si>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</si>
  <si>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</si>
  <si>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</si>
  <si>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</si>
  <si>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</si>
  <si>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</si>
  <si>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</si>
  <si>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</si>
  <si>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</si>
  <si>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</si>
  <si>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</si>
  <si>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</si>
  <si>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</si>
  <si>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</si>
  <si>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</si>
  <si>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</si>
  <si>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</si>
  <si>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</si>
  <si>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</si>
  <si>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</si>
  <si>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</si>
  <si>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</si>
  <si>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</si>
  <si>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</si>
  <si>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</si>
  <si>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</si>
  <si>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</si>
  <si>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</si>
  <si>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</si>
  <si>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</si>
  <si>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</si>
  <si>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</si>
  <si>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</si>
  <si>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</si>
  <si>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</si>
  <si>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</si>
  <si>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</si>
  <si>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</si>
  <si>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</si>
  <si>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</si>
  <si>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</si>
  <si>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</si>
  <si>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</si>
  <si>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</si>
  <si>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</si>
  <si>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</si>
  <si>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</si>
  <si>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</si>
  <si>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</si>
  <si>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</si>
  <si>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</si>
  <si>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</si>
  <si>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</si>
  <si>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</si>
  <si>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</si>
  <si>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</si>
  <si>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</si>
  <si>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</si>
  <si>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</si>
  <si>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</si>
  <si>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</si>
  <si>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</si>
  <si>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</si>
  <si>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</si>
  <si>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</si>
  <si>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</si>
  <si>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</si>
  <si>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</si>
  <si>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</si>
  <si>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</si>
  <si>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</si>
  <si>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</si>
  <si>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</si>
  <si>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</si>
  <si>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</si>
  <si>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</si>
  <si>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</si>
  <si>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</si>
  <si>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</si>
  <si>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</si>
  <si>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</si>
  <si>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</si>
  <si>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</si>
  <si>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</si>
  <si>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</si>
  <si>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</si>
  <si>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</si>
  <si>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</si>
  <si>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</si>
  <si>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</si>
  <si>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</si>
  <si>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</si>
  <si>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</si>
  <si>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</si>
  <si>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</si>
  <si>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</si>
  <si>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</si>
  <si>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</si>
  <si>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</si>
  <si>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</si>
  <si>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</si>
  <si>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</si>
  <si>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</si>
  <si>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</si>
  <si>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</si>
  <si>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</si>
  <si>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</si>
  <si>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</si>
  <si>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</si>
  <si>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</si>
  <si>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</si>
  <si>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</si>
  <si>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</si>
  <si>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</si>
  <si>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</si>
  <si>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</si>
  <si>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</si>
  <si>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</si>
  <si>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</si>
  <si>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</si>
  <si>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</si>
  <si>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</si>
  <si>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</si>
  <si>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</si>
  <si>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</si>
  <si>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</si>
  <si>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</si>
  <si>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</si>
  <si>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</si>
  <si>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</si>
  <si>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</si>
  <si>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</si>
  <si>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</si>
  <si>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</si>
  <si>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</si>
  <si>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</si>
  <si>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</si>
  <si>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</si>
  <si>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</si>
  <si>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</si>
  <si>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</si>
  <si>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</si>
  <si>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</si>
  <si>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</si>
  <si>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</si>
  <si>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</si>
  <si>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</si>
  <si>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</si>
  <si>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</si>
  <si>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</si>
  <si>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</si>
  <si>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</si>
  <si>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</si>
  <si>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</si>
  <si>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</si>
  <si>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</si>
  <si>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</si>
  <si>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</si>
  <si>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</si>
  <si>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</si>
  <si>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</si>
  <si>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</si>
  <si>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</si>
  <si>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</si>
  <si>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</si>
  <si>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</si>
  <si>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</si>
  <si>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</si>
  <si>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</si>
  <si>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</si>
  <si>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</si>
  <si>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</si>
  <si>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</si>
  <si>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</si>
  <si>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</si>
  <si>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</si>
  <si>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</si>
  <si>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</si>
  <si>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</si>
  <si>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</si>
  <si>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</si>
  <si>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</si>
  <si>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</si>
  <si>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</si>
  <si>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</si>
  <si>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</si>
  <si>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</si>
  <si>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</si>
  <si>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</si>
  <si>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</si>
  <si>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</si>
  <si>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</si>
  <si>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</si>
  <si>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</si>
  <si>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</si>
  <si>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</si>
  <si>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</si>
  <si>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</si>
  <si>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</si>
  <si>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</si>
  <si>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</si>
  <si>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</si>
  <si>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</si>
  <si>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</si>
  <si>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</si>
  <si>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</si>
  <si>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</si>
  <si>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</si>
  <si>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</si>
  <si>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</si>
  <si>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</si>
  <si>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</si>
  <si>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</si>
  <si>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</si>
  <si>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</si>
  <si>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</si>
  <si>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</si>
  <si>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</si>
  <si>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</si>
  <si>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</si>
  <si>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</si>
  <si>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</si>
  <si>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</si>
  <si>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</si>
  <si>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</si>
  <si>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</si>
  <si>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</si>
  <si>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</si>
  <si>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</si>
  <si>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</si>
  <si>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</si>
  <si>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</si>
  <si>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</si>
  <si>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</si>
  <si>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</si>
  <si>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</si>
  <si>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</si>
  <si>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</si>
  <si>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</si>
  <si>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</si>
  <si>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</si>
  <si>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</si>
  <si>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</si>
  <si>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</si>
  <si>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</si>
  <si>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</si>
  <si>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</si>
  <si>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</si>
  <si>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</si>
  <si>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</si>
  <si>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</si>
  <si>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</si>
  <si>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</si>
  <si>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</si>
  <si>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</si>
  <si>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</si>
  <si>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</si>
  <si>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</si>
  <si>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</si>
  <si>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</si>
  <si>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</si>
  <si>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</si>
  <si>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</si>
  <si>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</si>
  <si>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</si>
  <si>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</si>
  <si>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</si>
  <si>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</si>
  <si>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</si>
  <si>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</si>
  <si>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</si>
  <si>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</si>
  <si>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</si>
  <si>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</si>
  <si>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</si>
  <si>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</si>
  <si>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</si>
  <si>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</si>
  <si>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</si>
  <si>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</si>
  <si>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</si>
  <si>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</si>
  <si>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</si>
  <si>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</si>
  <si>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</si>
  <si>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</si>
  <si>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</si>
  <si>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</si>
  <si>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</si>
  <si>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</si>
  <si>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</si>
  <si>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</si>
  <si>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</si>
  <si>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</si>
  <si>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</si>
  <si>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</si>
  <si>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</si>
  <si>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</si>
  <si>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</si>
  <si>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</si>
  <si>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</si>
  <si>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</si>
  <si>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44081</t>
  </si>
  <si>
    <t>ZULTE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</si>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</sst>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132181.33754730722</c:v>
                </c:pt>
                <c:pt idx="1">
                  <c:v>31948.946464221837</c:v>
                </c:pt>
                <c:pt idx="2">
                  <c:v>999.64800000000002</c:v>
                </c:pt>
                <c:pt idx="3">
                  <c:v>6960.6769240844314</c:v>
                </c:pt>
                <c:pt idx="4">
                  <c:v>65257.528768133154</c:v>
                </c:pt>
                <c:pt idx="5">
                  <c:v>67762.739954095261</c:v>
                </c:pt>
                <c:pt idx="6">
                  <c:v>612.44068312997558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81376"/>
        <c:axId val="183424128"/>
      </c:barChart>
      <c:catAx>
        <c:axId val="183381376"/>
        <c:scaling>
          <c:orientation val="minMax"/>
        </c:scaling>
        <c:axPos val="b"/>
        <c:numFmt formatCode="General" sourceLinked="0"/>
        <c:tickLblPos val="nextTo"/>
        <c:crossAx val="183424128"/>
        <c:crosses val="autoZero"/>
        <c:auto val="1"/>
        <c:lblAlgn val="ctr"/>
        <c:lblOffset val="100"/>
      </c:catAx>
      <c:valAx>
        <c:axId val="183424128"/>
        <c:scaling>
          <c:orientation val="minMax"/>
        </c:scaling>
        <c:axPos val="l"/>
        <c:majorGridlines>
          <c:spPr>
            <a:ln>
              <a:noFill/>
            </a:ln>
          </c:spPr>
        </c:majorGridlines>
        <c:numFmt formatCode="#,##0" sourceLinked="1"/>
        <c:tickLblPos val="nextTo"/>
        <c:crossAx val="1833813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132181.33754730722</c:v>
                </c:pt>
                <c:pt idx="1">
                  <c:v>31948.946464221837</c:v>
                </c:pt>
                <c:pt idx="2">
                  <c:v>999.64800000000002</c:v>
                </c:pt>
                <c:pt idx="3">
                  <c:v>6960.6769240844314</c:v>
                </c:pt>
                <c:pt idx="4">
                  <c:v>65257.528768133154</c:v>
                </c:pt>
                <c:pt idx="5">
                  <c:v>67762.739954095261</c:v>
                </c:pt>
                <c:pt idx="6">
                  <c:v>612.44068312997558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25860.929391196965</c:v>
                </c:pt>
                <c:pt idx="1">
                  <c:v>6250.166610334757</c:v>
                </c:pt>
                <c:pt idx="2">
                  <c:v>204.48354046194643</c:v>
                </c:pt>
                <c:pt idx="3">
                  <c:v>1749.7264876747111</c:v>
                </c:pt>
                <c:pt idx="4">
                  <c:v>12888.509792654124</c:v>
                </c:pt>
                <c:pt idx="5">
                  <c:v>16958.473339960481</c:v>
                </c:pt>
                <c:pt idx="6">
                  <c:v>154.73348360946832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08224"/>
        <c:axId val="183909760"/>
      </c:barChart>
      <c:catAx>
        <c:axId val="183908224"/>
        <c:scaling>
          <c:orientation val="minMax"/>
        </c:scaling>
        <c:axPos val="b"/>
        <c:numFmt formatCode="General" sourceLinked="0"/>
        <c:tickLblPos val="nextTo"/>
        <c:crossAx val="183909760"/>
        <c:crosses val="autoZero"/>
        <c:auto val="1"/>
        <c:lblAlgn val="ctr"/>
        <c:lblOffset val="100"/>
      </c:catAx>
      <c:valAx>
        <c:axId val="183909760"/>
        <c:scaling>
          <c:orientation val="minMax"/>
        </c:scaling>
        <c:axPos val="l"/>
        <c:majorGridlines>
          <c:spPr>
            <a:ln>
              <a:noFill/>
            </a:ln>
          </c:spPr>
        </c:majorGridlines>
        <c:numFmt formatCode="#,##0" sourceLinked="1"/>
        <c:tickLblPos val="nextTo"/>
        <c:crossAx val="183908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25860.929391196965</c:v>
                </c:pt>
                <c:pt idx="1">
                  <c:v>6250.166610334757</c:v>
                </c:pt>
                <c:pt idx="2">
                  <c:v>204.48354046194643</c:v>
                </c:pt>
                <c:pt idx="3">
                  <c:v>1749.7264876747111</c:v>
                </c:pt>
                <c:pt idx="4">
                  <c:v>12888.509792654124</c:v>
                </c:pt>
                <c:pt idx="5">
                  <c:v>16958.473339960481</c:v>
                </c:pt>
                <c:pt idx="6">
                  <c:v>154.73348360946832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44081</v>
      </c>
      <c r="B6" s="415"/>
      <c r="C6" s="416"/>
    </row>
    <row r="7" spans="1:7" s="413" customFormat="1" ht="15.75" customHeight="1">
      <c r="A7" s="417" t="str">
        <f>txtMunicipality</f>
        <v>ZULTE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44081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6411</v>
      </c>
      <c r="C9" s="342">
        <v>6321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1784.05</v>
      </c>
    </row>
    <row r="15" spans="1:6">
      <c r="A15" s="348" t="s">
        <v>184</v>
      </c>
      <c r="B15" s="334">
        <v>20</v>
      </c>
    </row>
    <row r="16" spans="1:6">
      <c r="A16" s="348" t="s">
        <v>6</v>
      </c>
      <c r="B16" s="334">
        <v>521</v>
      </c>
    </row>
    <row r="17" spans="1:6">
      <c r="A17" s="348" t="s">
        <v>7</v>
      </c>
      <c r="B17" s="334">
        <v>824</v>
      </c>
    </row>
    <row r="18" spans="1:6">
      <c r="A18" s="348" t="s">
        <v>8</v>
      </c>
      <c r="B18" s="334">
        <v>754</v>
      </c>
    </row>
    <row r="19" spans="1:6">
      <c r="A19" s="348" t="s">
        <v>9</v>
      </c>
      <c r="B19" s="334">
        <v>739</v>
      </c>
    </row>
    <row r="20" spans="1:6">
      <c r="A20" s="348" t="s">
        <v>10</v>
      </c>
      <c r="B20" s="334">
        <v>598</v>
      </c>
    </row>
    <row r="21" spans="1:6">
      <c r="A21" s="348" t="s">
        <v>11</v>
      </c>
      <c r="B21" s="334">
        <v>1472</v>
      </c>
    </row>
    <row r="22" spans="1:6">
      <c r="A22" s="348" t="s">
        <v>12</v>
      </c>
      <c r="B22" s="334">
        <v>14626</v>
      </c>
    </row>
    <row r="23" spans="1:6">
      <c r="A23" s="348" t="s">
        <v>13</v>
      </c>
      <c r="B23" s="334">
        <v>97</v>
      </c>
    </row>
    <row r="24" spans="1:6">
      <c r="A24" s="348" t="s">
        <v>14</v>
      </c>
      <c r="B24" s="334">
        <v>109</v>
      </c>
    </row>
    <row r="25" spans="1:6">
      <c r="A25" s="348" t="s">
        <v>15</v>
      </c>
      <c r="B25" s="334">
        <v>790</v>
      </c>
    </row>
    <row r="26" spans="1:6">
      <c r="A26" s="348" t="s">
        <v>16</v>
      </c>
      <c r="B26" s="334">
        <v>153</v>
      </c>
    </row>
    <row r="27" spans="1:6">
      <c r="A27" s="348" t="s">
        <v>17</v>
      </c>
      <c r="B27" s="334">
        <v>10</v>
      </c>
    </row>
    <row r="28" spans="1:6" s="356" customFormat="1">
      <c r="A28" s="355" t="s">
        <v>18</v>
      </c>
      <c r="B28" s="355">
        <v>84396</v>
      </c>
    </row>
    <row r="29" spans="1:6">
      <c r="A29" s="355" t="s">
        <v>744</v>
      </c>
      <c r="B29" s="355">
        <v>64</v>
      </c>
      <c r="C29" s="356"/>
      <c r="D29" s="356"/>
      <c r="E29" s="356"/>
      <c r="F29" s="356"/>
    </row>
    <row r="30" spans="1:6">
      <c r="A30" s="341" t="s">
        <v>745</v>
      </c>
      <c r="B30" s="341">
        <v>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25759.000794160002</v>
      </c>
    </row>
    <row r="39" spans="1:6">
      <c r="A39" s="348" t="s">
        <v>30</v>
      </c>
      <c r="B39" s="348" t="s">
        <v>31</v>
      </c>
      <c r="C39" s="334">
        <v>2940</v>
      </c>
      <c r="D39" s="334">
        <v>43140735.194131799</v>
      </c>
      <c r="E39" s="334">
        <v>6148</v>
      </c>
      <c r="F39" s="334">
        <v>26342454.035842899</v>
      </c>
    </row>
    <row r="40" spans="1:6">
      <c r="A40" s="348" t="s">
        <v>30</v>
      </c>
      <c r="B40" s="348" t="s">
        <v>29</v>
      </c>
      <c r="C40" s="334">
        <v>0</v>
      </c>
      <c r="D40" s="334">
        <v>0</v>
      </c>
      <c r="E40" s="334">
        <v>0</v>
      </c>
      <c r="F40" s="334">
        <v>0</v>
      </c>
    </row>
    <row r="41" spans="1:6">
      <c r="A41" s="348" t="s">
        <v>32</v>
      </c>
      <c r="B41" s="348" t="s">
        <v>33</v>
      </c>
      <c r="C41" s="334">
        <v>75</v>
      </c>
      <c r="D41" s="334">
        <v>1163824.50135596</v>
      </c>
      <c r="E41" s="334">
        <v>217</v>
      </c>
      <c r="F41" s="334">
        <v>5511800.4449006002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27</v>
      </c>
      <c r="F44" s="334">
        <v>2421662.9235257702</v>
      </c>
    </row>
    <row r="45" spans="1:6">
      <c r="A45" s="348" t="s">
        <v>32</v>
      </c>
      <c r="B45" s="348" t="s">
        <v>37</v>
      </c>
      <c r="C45" s="334">
        <v>12</v>
      </c>
      <c r="D45" s="334">
        <v>303492.971122052</v>
      </c>
      <c r="E45" s="334">
        <v>24</v>
      </c>
      <c r="F45" s="334">
        <v>469523.9753927</v>
      </c>
    </row>
    <row r="46" spans="1:6">
      <c r="A46" s="348" t="s">
        <v>32</v>
      </c>
      <c r="B46" s="348" t="s">
        <v>38</v>
      </c>
      <c r="C46" s="334">
        <v>0</v>
      </c>
      <c r="D46" s="334">
        <v>0</v>
      </c>
      <c r="E46" s="334">
        <v>0</v>
      </c>
      <c r="F46" s="334">
        <v>0</v>
      </c>
    </row>
    <row r="47" spans="1:6">
      <c r="A47" s="348" t="s">
        <v>32</v>
      </c>
      <c r="B47" s="348" t="s">
        <v>39</v>
      </c>
      <c r="C47" s="334">
        <v>3</v>
      </c>
      <c r="D47" s="334">
        <v>80639.5204234626</v>
      </c>
      <c r="E47" s="334">
        <v>6</v>
      </c>
      <c r="F47" s="334">
        <v>49375.8363602807</v>
      </c>
    </row>
    <row r="48" spans="1:6">
      <c r="A48" s="348" t="s">
        <v>32</v>
      </c>
      <c r="B48" s="348" t="s">
        <v>29</v>
      </c>
      <c r="C48" s="334">
        <v>33</v>
      </c>
      <c r="D48" s="334">
        <v>26224070.630471401</v>
      </c>
      <c r="E48" s="334">
        <v>30</v>
      </c>
      <c r="F48" s="334">
        <v>6141722.7307921303</v>
      </c>
    </row>
    <row r="49" spans="1:6">
      <c r="A49" s="348" t="s">
        <v>32</v>
      </c>
      <c r="B49" s="348" t="s">
        <v>40</v>
      </c>
      <c r="C49" s="334">
        <v>0</v>
      </c>
      <c r="D49" s="334">
        <v>0</v>
      </c>
      <c r="E49" s="334">
        <v>13</v>
      </c>
      <c r="F49" s="334">
        <v>2970084.76760402</v>
      </c>
    </row>
    <row r="50" spans="1:6">
      <c r="A50" s="348" t="s">
        <v>32</v>
      </c>
      <c r="B50" s="348" t="s">
        <v>41</v>
      </c>
      <c r="C50" s="334">
        <v>0</v>
      </c>
      <c r="D50" s="334">
        <v>0</v>
      </c>
      <c r="E50" s="334">
        <v>13</v>
      </c>
      <c r="F50" s="334">
        <v>9382327.1269313097</v>
      </c>
    </row>
    <row r="51" spans="1:6">
      <c r="A51" s="348" t="s">
        <v>42</v>
      </c>
      <c r="B51" s="348" t="s">
        <v>43</v>
      </c>
      <c r="C51" s="334">
        <v>0</v>
      </c>
      <c r="D51" s="334">
        <v>0</v>
      </c>
      <c r="E51" s="334">
        <v>73</v>
      </c>
      <c r="F51" s="334">
        <v>1085654.8876713701</v>
      </c>
    </row>
    <row r="52" spans="1:6">
      <c r="A52" s="348" t="s">
        <v>42</v>
      </c>
      <c r="B52" s="348" t="s">
        <v>29</v>
      </c>
      <c r="C52" s="334">
        <v>3</v>
      </c>
      <c r="D52" s="334">
        <v>64974.012351587902</v>
      </c>
      <c r="E52" s="334">
        <v>7</v>
      </c>
      <c r="F52" s="334">
        <v>75005.745075986197</v>
      </c>
    </row>
    <row r="53" spans="1:6">
      <c r="A53" s="348" t="s">
        <v>44</v>
      </c>
      <c r="B53" s="348" t="s">
        <v>45</v>
      </c>
      <c r="C53" s="334">
        <v>65</v>
      </c>
      <c r="D53" s="334">
        <v>780365.95754235797</v>
      </c>
      <c r="E53" s="334">
        <v>206</v>
      </c>
      <c r="F53" s="334">
        <v>971881.315035059</v>
      </c>
    </row>
    <row r="54" spans="1:6">
      <c r="A54" s="348" t="s">
        <v>46</v>
      </c>
      <c r="B54" s="348" t="s">
        <v>47</v>
      </c>
      <c r="C54" s="334">
        <v>0</v>
      </c>
      <c r="D54" s="334">
        <v>0</v>
      </c>
      <c r="E54" s="334">
        <v>1</v>
      </c>
      <c r="F54" s="334">
        <v>999648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1979427.9817169199</v>
      </c>
      <c r="E57" s="334">
        <v>118</v>
      </c>
      <c r="F57" s="334">
        <v>2112787.19855823</v>
      </c>
    </row>
    <row r="58" spans="1:6">
      <c r="A58" s="348" t="s">
        <v>49</v>
      </c>
      <c r="B58" s="348" t="s">
        <v>51</v>
      </c>
      <c r="C58" s="334">
        <v>15</v>
      </c>
      <c r="D58" s="334">
        <v>246342.404039727</v>
      </c>
      <c r="E58" s="334">
        <v>34</v>
      </c>
      <c r="F58" s="334">
        <v>266136.33198595297</v>
      </c>
    </row>
    <row r="59" spans="1:6">
      <c r="A59" s="348" t="s">
        <v>49</v>
      </c>
      <c r="B59" s="348" t="s">
        <v>52</v>
      </c>
      <c r="C59" s="334">
        <v>48</v>
      </c>
      <c r="D59" s="334">
        <v>1606256.7017588301</v>
      </c>
      <c r="E59" s="334">
        <v>186</v>
      </c>
      <c r="F59" s="334">
        <v>5505687.0587108601</v>
      </c>
    </row>
    <row r="60" spans="1:6">
      <c r="A60" s="348" t="s">
        <v>49</v>
      </c>
      <c r="B60" s="348" t="s">
        <v>53</v>
      </c>
      <c r="C60" s="334">
        <v>26</v>
      </c>
      <c r="D60" s="334">
        <v>853040.63234236103</v>
      </c>
      <c r="E60" s="334">
        <v>55</v>
      </c>
      <c r="F60" s="334">
        <v>899002.73488530202</v>
      </c>
    </row>
    <row r="61" spans="1:6">
      <c r="A61" s="348" t="s">
        <v>49</v>
      </c>
      <c r="B61" s="348" t="s">
        <v>54</v>
      </c>
      <c r="C61" s="334">
        <v>105</v>
      </c>
      <c r="D61" s="334">
        <v>2250044.30722949</v>
      </c>
      <c r="E61" s="334">
        <v>260</v>
      </c>
      <c r="F61" s="334">
        <v>2484093.9367136601</v>
      </c>
    </row>
    <row r="62" spans="1:6">
      <c r="A62" s="348" t="s">
        <v>49</v>
      </c>
      <c r="B62" s="348" t="s">
        <v>55</v>
      </c>
      <c r="C62" s="334">
        <v>3</v>
      </c>
      <c r="D62" s="334">
        <v>285535.28147580102</v>
      </c>
      <c r="E62" s="334">
        <v>8</v>
      </c>
      <c r="F62" s="334">
        <v>214995.344921282</v>
      </c>
    </row>
    <row r="63" spans="1:6">
      <c r="A63" s="348" t="s">
        <v>49</v>
      </c>
      <c r="B63" s="348" t="s">
        <v>29</v>
      </c>
      <c r="C63" s="334">
        <v>86</v>
      </c>
      <c r="D63" s="334">
        <v>7125331.9594004797</v>
      </c>
      <c r="E63" s="334">
        <v>111</v>
      </c>
      <c r="F63" s="334">
        <v>2588961.5044213799</v>
      </c>
    </row>
    <row r="64" spans="1:6">
      <c r="A64" s="348" t="s">
        <v>56</v>
      </c>
      <c r="B64" s="348" t="s">
        <v>57</v>
      </c>
      <c r="C64" s="334">
        <v>0</v>
      </c>
      <c r="D64" s="334">
        <v>0</v>
      </c>
      <c r="E64" s="334">
        <v>0</v>
      </c>
      <c r="F64" s="334">
        <v>0</v>
      </c>
    </row>
    <row r="65" spans="1:6">
      <c r="A65" s="348" t="s">
        <v>56</v>
      </c>
      <c r="B65" s="348" t="s">
        <v>29</v>
      </c>
      <c r="C65" s="334">
        <v>2</v>
      </c>
      <c r="D65" s="334">
        <v>30239.491906591898</v>
      </c>
      <c r="E65" s="334">
        <v>3</v>
      </c>
      <c r="F65" s="334">
        <v>81232.768130093202</v>
      </c>
    </row>
    <row r="66" spans="1:6">
      <c r="A66" s="348" t="s">
        <v>56</v>
      </c>
      <c r="B66" s="348" t="s">
        <v>58</v>
      </c>
      <c r="C66" s="334">
        <v>0</v>
      </c>
      <c r="D66" s="334">
        <v>0</v>
      </c>
      <c r="E66" s="334">
        <v>9</v>
      </c>
      <c r="F66" s="334">
        <v>115125.708490834</v>
      </c>
    </row>
    <row r="67" spans="1:6">
      <c r="A67" s="355" t="s">
        <v>56</v>
      </c>
      <c r="B67" s="355" t="s">
        <v>59</v>
      </c>
      <c r="C67" s="334">
        <v>0</v>
      </c>
      <c r="D67" s="334">
        <v>0</v>
      </c>
      <c r="E67" s="334">
        <v>0</v>
      </c>
      <c r="F67" s="334">
        <v>0</v>
      </c>
    </row>
    <row r="68" spans="1:6">
      <c r="A68" s="341" t="s">
        <v>56</v>
      </c>
      <c r="B68" s="341" t="s">
        <v>60</v>
      </c>
      <c r="C68" s="334">
        <v>0</v>
      </c>
      <c r="D68" s="334">
        <v>0</v>
      </c>
      <c r="E68" s="334">
        <v>23</v>
      </c>
      <c r="F68" s="334">
        <v>347865.85369143798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47494417</v>
      </c>
      <c r="E73" s="476">
        <v>47932112.858759746</v>
      </c>
    </row>
    <row r="74" spans="1:6">
      <c r="A74" s="348" t="s">
        <v>64</v>
      </c>
      <c r="B74" s="348" t="s">
        <v>657</v>
      </c>
      <c r="C74" s="1272" t="s">
        <v>659</v>
      </c>
      <c r="D74" s="476">
        <v>5788573.9255818296</v>
      </c>
      <c r="E74" s="476">
        <v>6069385.998628011</v>
      </c>
    </row>
    <row r="75" spans="1:6">
      <c r="A75" s="348" t="s">
        <v>65</v>
      </c>
      <c r="B75" s="348" t="s">
        <v>656</v>
      </c>
      <c r="C75" s="1272" t="s">
        <v>660</v>
      </c>
      <c r="D75" s="476">
        <v>22827653</v>
      </c>
      <c r="E75" s="476">
        <v>23412896.871956382</v>
      </c>
    </row>
    <row r="76" spans="1:6">
      <c r="A76" s="348" t="s">
        <v>65</v>
      </c>
      <c r="B76" s="348" t="s">
        <v>657</v>
      </c>
      <c r="C76" s="1272" t="s">
        <v>661</v>
      </c>
      <c r="D76" s="476">
        <v>876527.92558182997</v>
      </c>
      <c r="E76" s="476">
        <v>926377.34112431563</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166104.14883633997</v>
      </c>
      <c r="C83" s="476">
        <v>165466.34807567831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3469.925413957119</v>
      </c>
    </row>
    <row r="92" spans="1:6">
      <c r="A92" s="341" t="s">
        <v>69</v>
      </c>
      <c r="B92" s="342">
        <v>1963.3313961316005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635</v>
      </c>
    </row>
    <row r="98" spans="1:6">
      <c r="A98" s="348" t="s">
        <v>72</v>
      </c>
      <c r="B98" s="334">
        <v>2</v>
      </c>
    </row>
    <row r="99" spans="1:6">
      <c r="A99" s="348" t="s">
        <v>73</v>
      </c>
      <c r="B99" s="334">
        <v>149</v>
      </c>
    </row>
    <row r="100" spans="1:6">
      <c r="A100" s="348" t="s">
        <v>74</v>
      </c>
      <c r="B100" s="334">
        <v>667</v>
      </c>
    </row>
    <row r="101" spans="1:6">
      <c r="A101" s="348" t="s">
        <v>75</v>
      </c>
      <c r="B101" s="334">
        <v>111</v>
      </c>
    </row>
    <row r="102" spans="1:6">
      <c r="A102" s="348" t="s">
        <v>76</v>
      </c>
      <c r="B102" s="334">
        <v>139</v>
      </c>
    </row>
    <row r="103" spans="1:6">
      <c r="A103" s="348" t="s">
        <v>77</v>
      </c>
      <c r="B103" s="334">
        <v>171</v>
      </c>
    </row>
    <row r="104" spans="1:6">
      <c r="A104" s="348" t="s">
        <v>78</v>
      </c>
      <c r="B104" s="334">
        <v>3582</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1</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33</v>
      </c>
      <c r="C123" s="334">
        <v>74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224</v>
      </c>
    </row>
    <row r="130" spans="1:6">
      <c r="A130" s="348" t="s">
        <v>295</v>
      </c>
      <c r="B130" s="334">
        <v>1</v>
      </c>
    </row>
    <row r="131" spans="1:6">
      <c r="A131" s="348" t="s">
        <v>296</v>
      </c>
      <c r="B131" s="334">
        <v>0</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73018.51493359897</v>
      </c>
      <c r="C3" s="43" t="s">
        <v>170</v>
      </c>
      <c r="D3" s="43"/>
      <c r="E3" s="154"/>
      <c r="F3" s="43"/>
      <c r="G3" s="43"/>
      <c r="H3" s="43"/>
      <c r="I3" s="43"/>
      <c r="J3" s="43"/>
      <c r="K3" s="96"/>
    </row>
    <row r="4" spans="1:11">
      <c r="A4" s="383" t="s">
        <v>171</v>
      </c>
      <c r="B4" s="49">
        <f>IF(ISERROR('SEAP template'!B69),0,'SEAP template'!B69)</f>
        <v>5433.2568100887192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0.20455554401343914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999.64800000000002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999.64800000000002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0.20455554401343914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204.48354046194643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26342.4540358429</v>
      </c>
      <c r="C5" s="17">
        <f>IF(ISERROR('Eigen informatie GS &amp; warmtenet'!B57),0,'Eigen informatie GS &amp; warmtenet'!B57)</f>
        <v>0</v>
      </c>
      <c r="D5" s="30">
        <f>(SUM(HH_hh_gas_kWh,HH_rest_gas_kWh)/1000)*0.902</f>
        <v>38912.943145106881</v>
      </c>
      <c r="E5" s="17">
        <f>B46*B57</f>
        <v>6529.1950893331432</v>
      </c>
      <c r="F5" s="17">
        <f>B51*B62</f>
        <v>39026.592112051818</v>
      </c>
      <c r="G5" s="18"/>
      <c r="H5" s="17"/>
      <c r="I5" s="17"/>
      <c r="J5" s="17">
        <f>B50*B61+C50*C61</f>
        <v>0</v>
      </c>
      <c r="K5" s="17"/>
      <c r="L5" s="17"/>
      <c r="M5" s="17"/>
      <c r="N5" s="17">
        <f>B48*B59+C48*C59</f>
        <v>16576.354417682036</v>
      </c>
      <c r="O5" s="17">
        <f>B69*B70*B71</f>
        <v>465.87333333333339</v>
      </c>
      <c r="P5" s="17">
        <f>B77*B78*B79/1000-B77*B78*B79/1000/B80</f>
        <v>858</v>
      </c>
    </row>
    <row r="6" spans="1:16">
      <c r="A6" s="16" t="s">
        <v>621</v>
      </c>
      <c r="B6" s="843">
        <f>kWh_PV_kleiner_dan_10kW</f>
        <v>3469.925413957119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29812.379449800021</v>
      </c>
      <c r="C8" s="21">
        <f>C5</f>
        <v>0</v>
      </c>
      <c r="D8" s="21">
        <f>D5</f>
        <v>38912.943145106881</v>
      </c>
      <c r="E8" s="21">
        <f>E5</f>
        <v>6529.1950893331432</v>
      </c>
      <c r="F8" s="21">
        <f>F5</f>
        <v>39026.592112051818</v>
      </c>
      <c r="G8" s="21"/>
      <c r="H8" s="21"/>
      <c r="I8" s="21"/>
      <c r="J8" s="21">
        <f>J5</f>
        <v>0</v>
      </c>
      <c r="K8" s="21"/>
      <c r="L8" s="21">
        <f>L5</f>
        <v>0</v>
      </c>
      <c r="M8" s="21">
        <f>M5</f>
        <v>0</v>
      </c>
      <c r="N8" s="21">
        <f>N5</f>
        <v>16576.354417682036</v>
      </c>
      <c r="O8" s="21">
        <f>O5</f>
        <v>465.87333333333339</v>
      </c>
      <c r="P8" s="21">
        <f>P5</f>
        <v>858</v>
      </c>
    </row>
    <row r="9" spans="1:16">
      <c r="B9" s="19"/>
      <c r="C9" s="19"/>
      <c r="D9" s="258"/>
      <c r="E9" s="19"/>
      <c r="F9" s="19"/>
      <c r="G9" s="19"/>
      <c r="H9" s="19"/>
      <c r="I9" s="19"/>
      <c r="J9" s="19"/>
      <c r="K9" s="19"/>
      <c r="L9" s="19"/>
      <c r="M9" s="19"/>
      <c r="N9" s="19"/>
      <c r="O9" s="19"/>
      <c r="P9" s="19"/>
    </row>
    <row r="10" spans="1:16">
      <c r="A10" s="24" t="s">
        <v>214</v>
      </c>
      <c r="B10" s="25">
        <f ca="1">'EF ele_warmte'!B12</f>
        <v>0.20455554401343914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6098.2874966889167</v>
      </c>
      <c r="C12" s="23">
        <f ca="1">C10*C8</f>
        <v>0</v>
      </c>
      <c r="D12" s="23">
        <f>D8*D10</f>
        <v>7860.4145153115905</v>
      </c>
      <c r="E12" s="23">
        <f>E10*E8</f>
        <v>1482.1272852786235</v>
      </c>
      <c r="F12" s="23">
        <f>F10*F8</f>
        <v>10420.100093917836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635</v>
      </c>
      <c r="C18" s="166" t="s">
        <v>111</v>
      </c>
      <c r="D18" s="228"/>
      <c r="E18" s="15"/>
    </row>
    <row r="19" spans="1:7">
      <c r="A19" s="171" t="s">
        <v>72</v>
      </c>
      <c r="B19" s="37">
        <f>aantalw2001_ander</f>
        <v>2</v>
      </c>
      <c r="C19" s="166" t="s">
        <v>111</v>
      </c>
      <c r="D19" s="229"/>
      <c r="E19" s="15"/>
    </row>
    <row r="20" spans="1:7">
      <c r="A20" s="171" t="s">
        <v>73</v>
      </c>
      <c r="B20" s="37">
        <f>aantalw2001_propaan</f>
        <v>149</v>
      </c>
      <c r="C20" s="167">
        <f>IF(ISERROR(B20/SUM($B$20,$B$21,$B$22)*100),0,B20/SUM($B$20,$B$21,$B$22)*100)</f>
        <v>16.073354908306364</v>
      </c>
      <c r="D20" s="229"/>
      <c r="E20" s="15"/>
    </row>
    <row r="21" spans="1:7">
      <c r="A21" s="171" t="s">
        <v>74</v>
      </c>
      <c r="B21" s="37">
        <f>aantalw2001_elektriciteit</f>
        <v>667</v>
      </c>
      <c r="C21" s="167">
        <f>IF(ISERROR(B21/SUM($B$20,$B$21,$B$22)*100),0,B21/SUM($B$20,$B$21,$B$22)*100)</f>
        <v>71.952535059331183</v>
      </c>
      <c r="D21" s="229"/>
      <c r="E21" s="15"/>
    </row>
    <row r="22" spans="1:7">
      <c r="A22" s="171" t="s">
        <v>75</v>
      </c>
      <c r="B22" s="37">
        <f>aantalw2001_hout</f>
        <v>111</v>
      </c>
      <c r="C22" s="167">
        <f>IF(ISERROR(B22/SUM($B$20,$B$21,$B$22)*100),0,B22/SUM($B$20,$B$21,$B$22)*100)</f>
        <v>11.974110032362459</v>
      </c>
      <c r="D22" s="229"/>
      <c r="E22" s="15"/>
    </row>
    <row r="23" spans="1:7">
      <c r="A23" s="171" t="s">
        <v>76</v>
      </c>
      <c r="B23" s="37">
        <f>aantalw2001_niet_gespec</f>
        <v>139</v>
      </c>
      <c r="C23" s="166" t="s">
        <v>111</v>
      </c>
      <c r="D23" s="228"/>
      <c r="E23" s="15"/>
    </row>
    <row r="24" spans="1:7">
      <c r="A24" s="171" t="s">
        <v>77</v>
      </c>
      <c r="B24" s="37">
        <f>aantalw2001_steenkool</f>
        <v>171</v>
      </c>
      <c r="C24" s="166" t="s">
        <v>111</v>
      </c>
      <c r="D24" s="229"/>
      <c r="E24" s="15"/>
    </row>
    <row r="25" spans="1:7">
      <c r="A25" s="171" t="s">
        <v>78</v>
      </c>
      <c r="B25" s="37">
        <f>aantalw2001_stookolie</f>
        <v>3582</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6411</v>
      </c>
      <c r="C28" s="36"/>
      <c r="D28" s="228"/>
    </row>
    <row r="29" spans="1:7" s="15" customFormat="1">
      <c r="A29" s="230" t="s">
        <v>795</v>
      </c>
      <c r="B29" s="37">
        <f>SUM(HH_hh_gas_aantal,HH_rest_gas_aantal)</f>
        <v>2940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2940</v>
      </c>
      <c r="C32" s="167">
        <f>IF(ISERROR(B32/SUM($B$32,$B$34,$B$35,$B$36,$B$38,$B$39)*100),0,B32/SUM($B$32,$B$34,$B$35,$B$36,$B$38,$B$39)*100)</f>
        <v>46.182846371347786</v>
      </c>
      <c r="D32" s="233"/>
      <c r="G32" s="15"/>
    </row>
    <row r="33" spans="1:7">
      <c r="A33" s="171" t="s">
        <v>72</v>
      </c>
      <c r="B33" s="34" t="s">
        <v>111</v>
      </c>
      <c r="C33" s="167"/>
      <c r="D33" s="233"/>
      <c r="G33" s="15"/>
    </row>
    <row r="34" spans="1:7">
      <c r="A34" s="171" t="s">
        <v>73</v>
      </c>
      <c r="B34" s="33">
        <f>IF((($B$28-$B$32-$B$39-$B$77-$B$38)*C20/100)&lt;0,0,($B$28-$B$32-$B$39-$B$77-$B$38)*C20/100)</f>
        <v>308.36731391585761</v>
      </c>
      <c r="C34" s="167">
        <f>IF(ISERROR(B34/SUM($B$32,$B$34,$B$35,$B$36,$B$38,$B$39)*100),0,B34/SUM($B$32,$B$34,$B$35,$B$36,$B$38,$B$39)*100)</f>
        <v>4.8439728858915743</v>
      </c>
      <c r="D34" s="233"/>
      <c r="G34" s="15"/>
    </row>
    <row r="35" spans="1:7">
      <c r="A35" s="171" t="s">
        <v>74</v>
      </c>
      <c r="B35" s="33">
        <f>IF((($B$28-$B$32-$B$39-$B$77-$B$38)*C21/100)&lt;0,0,($B$28-$B$32-$B$39-$B$77-$B$38)*C21/100)</f>
        <v>1380.4093851132689</v>
      </c>
      <c r="C35" s="167">
        <f>IF(ISERROR(B35/SUM($B$32,$B$34,$B$35,$B$36,$B$38,$B$39)*100),0,B35/SUM($B$32,$B$34,$B$35,$B$36,$B$38,$B$39)*100)</f>
        <v>21.684093388521344</v>
      </c>
      <c r="D35" s="233"/>
      <c r="G35" s="15"/>
    </row>
    <row r="36" spans="1:7">
      <c r="A36" s="171" t="s">
        <v>75</v>
      </c>
      <c r="B36" s="33">
        <f>IF((($B$28-$B$32-$B$39-$B$77-$B$38)*C22/100)&lt;0,0,($B$28-$B$32-$B$39-$B$77-$B$38)*C22/100)</f>
        <v>229.72330097087379</v>
      </c>
      <c r="C36" s="167">
        <f>IF(ISERROR(B36/SUM($B$32,$B$34,$B$35,$B$36,$B$38,$B$39)*100),0,B36/SUM($B$32,$B$34,$B$35,$B$36,$B$38,$B$39)*100)</f>
        <v>3.6085972505635215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1507.5</v>
      </c>
      <c r="C39" s="167">
        <f>IF(ISERROR(B39/SUM($B$32,$B$34,$B$35,$B$36,$B$38,$B$39)*100),0,B39/SUM($B$32,$B$34,$B$35,$B$36,$B$38,$B$39)*100)</f>
        <v>23.680490103675776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2940</v>
      </c>
      <c r="C44" s="34" t="s">
        <v>111</v>
      </c>
      <c r="D44" s="174"/>
    </row>
    <row r="45" spans="1:7">
      <c r="A45" s="171" t="s">
        <v>72</v>
      </c>
      <c r="B45" s="33" t="str">
        <f t="shared" si="0"/>
        <v>-</v>
      </c>
      <c r="C45" s="34" t="s">
        <v>111</v>
      </c>
      <c r="D45" s="174"/>
    </row>
    <row r="46" spans="1:7">
      <c r="A46" s="171" t="s">
        <v>73</v>
      </c>
      <c r="B46" s="33">
        <f t="shared" si="0"/>
        <v>308.36731391585761</v>
      </c>
      <c r="C46" s="34" t="s">
        <v>111</v>
      </c>
      <c r="D46" s="174"/>
    </row>
    <row r="47" spans="1:7">
      <c r="A47" s="171" t="s">
        <v>74</v>
      </c>
      <c r="B47" s="33">
        <f t="shared" si="0"/>
        <v>1380.4093851132689</v>
      </c>
      <c r="C47" s="34" t="s">
        <v>111</v>
      </c>
      <c r="D47" s="174"/>
    </row>
    <row r="48" spans="1:7">
      <c r="A48" s="171" t="s">
        <v>75</v>
      </c>
      <c r="B48" s="33">
        <f t="shared" si="0"/>
        <v>229.72330097087379</v>
      </c>
      <c r="C48" s="33">
        <f>B48*10</f>
        <v>2297.2330097087379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1507.5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298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14071.664110196667</v>
      </c>
      <c r="C5" s="17">
        <f>IF(ISERROR('Eigen informatie GS &amp; warmtenet'!B58),0,'Eigen informatie GS &amp; warmtenet'!B58)</f>
        <v>0</v>
      </c>
      <c r="D5" s="30">
        <f>SUM(D6:D12)</f>
        <v>12940.073299703176</v>
      </c>
      <c r="E5" s="17">
        <f>SUM(E6:E12)</f>
        <v>250.50837095870659</v>
      </c>
      <c r="F5" s="17">
        <f>SUM(F6:F12)</f>
        <v>2625.2848033177415</v>
      </c>
      <c r="G5" s="18"/>
      <c r="H5" s="17"/>
      <c r="I5" s="17"/>
      <c r="J5" s="17">
        <f>SUM(J6:J12)</f>
        <v>5.2129563802890556E-2</v>
      </c>
      <c r="K5" s="17"/>
      <c r="L5" s="17"/>
      <c r="M5" s="17"/>
      <c r="N5" s="17">
        <f>SUM(N6:N12)</f>
        <v>2059.8004171484154</v>
      </c>
      <c r="O5" s="17">
        <f>B38*B39*B40</f>
        <v>1.5633333333333335</v>
      </c>
      <c r="P5" s="17">
        <f>B46*B47*B48/1000-B46*B47*B48/1000/B49</f>
        <v>0</v>
      </c>
      <c r="R5" s="32"/>
    </row>
    <row r="6" spans="1:18">
      <c r="A6" s="32" t="s">
        <v>54</v>
      </c>
      <c r="B6" s="37">
        <f>B26</f>
        <v>2484.0939367136602</v>
      </c>
      <c r="C6" s="33"/>
      <c r="D6" s="37">
        <f>IF(ISERROR(TER_kantoor_gas_kWh/1000),0,TER_kantoor_gas_kWh/1000)*0.902</f>
        <v>2029.5399651210003</v>
      </c>
      <c r="E6" s="33">
        <f>$C$26*'E Balans VL '!I12/100/3.6*1000000</f>
        <v>1.5569474598621406E-2</v>
      </c>
      <c r="F6" s="33">
        <f>$C$26*('E Balans VL '!L12+'E Balans VL '!N12)/100/3.6*1000000</f>
        <v>373.28990648336816</v>
      </c>
      <c r="G6" s="34"/>
      <c r="H6" s="33"/>
      <c r="I6" s="33"/>
      <c r="J6" s="33">
        <f>$C$26*('E Balans VL '!D12+'E Balans VL '!E12)/100/3.6*1000000</f>
        <v>0</v>
      </c>
      <c r="K6" s="33"/>
      <c r="L6" s="33"/>
      <c r="M6" s="33"/>
      <c r="N6" s="33">
        <f>$C$26*'E Balans VL '!Y12/100/3.6*1000000</f>
        <v>2.3756675431209158</v>
      </c>
      <c r="O6" s="33"/>
      <c r="P6" s="33"/>
      <c r="R6" s="32"/>
    </row>
    <row r="7" spans="1:18">
      <c r="A7" s="32" t="s">
        <v>53</v>
      </c>
      <c r="B7" s="37">
        <f t="shared" ref="B7:B12" si="0">B27</f>
        <v>899.00273488530206</v>
      </c>
      <c r="C7" s="33"/>
      <c r="D7" s="37">
        <f>IF(ISERROR(TER_horeca_gas_kWh/1000),0,TER_horeca_gas_kWh/1000)*0.902</f>
        <v>769.44265037280968</v>
      </c>
      <c r="E7" s="33">
        <f>$C$27*'E Balans VL '!I9/100/3.6*1000000</f>
        <v>12.873569418287982</v>
      </c>
      <c r="F7" s="33">
        <f>$C$27*('E Balans VL '!L9+'E Balans VL '!N9)/100/3.6*1000000</f>
        <v>113.84339648897736</v>
      </c>
      <c r="G7" s="34"/>
      <c r="H7" s="33"/>
      <c r="I7" s="33"/>
      <c r="J7" s="33">
        <f>$C$27*('E Balans VL '!D9+'E Balans VL '!E9)/100/3.6*1000000</f>
        <v>0</v>
      </c>
      <c r="K7" s="33"/>
      <c r="L7" s="33"/>
      <c r="M7" s="33"/>
      <c r="N7" s="33">
        <f>$C$27*'E Balans VL '!Y9/100/3.6*1000000</f>
        <v>0.25844346497067466</v>
      </c>
      <c r="O7" s="33"/>
      <c r="P7" s="33"/>
      <c r="R7" s="32"/>
    </row>
    <row r="8" spans="1:18">
      <c r="A8" s="6" t="s">
        <v>52</v>
      </c>
      <c r="B8" s="37">
        <f t="shared" si="0"/>
        <v>5505.6870587108597</v>
      </c>
      <c r="C8" s="33"/>
      <c r="D8" s="37">
        <f>IF(ISERROR(TER_handel_gas_kWh/1000),0,TER_handel_gas_kWh/1000)*0.902</f>
        <v>1448.8435449864648</v>
      </c>
      <c r="E8" s="33">
        <f>$C$28*'E Balans VL '!I13/100/3.6*1000000</f>
        <v>199.69059068853201</v>
      </c>
      <c r="F8" s="33">
        <f>$C$28*('E Balans VL '!L13+'E Balans VL '!N13)/100/3.6*1000000</f>
        <v>1060.4510761335682</v>
      </c>
      <c r="G8" s="34"/>
      <c r="H8" s="33"/>
      <c r="I8" s="33"/>
      <c r="J8" s="33">
        <f>$C$28*('E Balans VL '!D13+'E Balans VL '!E13)/100/3.6*1000000</f>
        <v>0</v>
      </c>
      <c r="K8" s="33"/>
      <c r="L8" s="33"/>
      <c r="M8" s="33"/>
      <c r="N8" s="33">
        <f>$C$28*'E Balans VL '!Y13/100/3.6*1000000</f>
        <v>7.6266433784090708</v>
      </c>
      <c r="O8" s="33"/>
      <c r="P8" s="33"/>
      <c r="R8" s="32"/>
    </row>
    <row r="9" spans="1:18">
      <c r="A9" s="32" t="s">
        <v>51</v>
      </c>
      <c r="B9" s="37">
        <f t="shared" si="0"/>
        <v>266.13633198595295</v>
      </c>
      <c r="C9" s="33"/>
      <c r="D9" s="37">
        <f>IF(ISERROR(TER_gezond_gas_kWh/1000),0,TER_gezond_gas_kWh/1000)*0.902</f>
        <v>222.20084844383376</v>
      </c>
      <c r="E9" s="33">
        <f>$C$29*'E Balans VL '!I10/100/3.6*1000000</f>
        <v>1.6662762003891732E-2</v>
      </c>
      <c r="F9" s="33">
        <f>$C$29*('E Balans VL '!L10+'E Balans VL '!N10)/100/3.6*1000000</f>
        <v>39.535362424474563</v>
      </c>
      <c r="G9" s="34"/>
      <c r="H9" s="33"/>
      <c r="I9" s="33"/>
      <c r="J9" s="33">
        <f>$C$29*('E Balans VL '!D10+'E Balans VL '!E10)/100/3.6*1000000</f>
        <v>0</v>
      </c>
      <c r="K9" s="33"/>
      <c r="L9" s="33"/>
      <c r="M9" s="33"/>
      <c r="N9" s="33">
        <f>$C$29*'E Balans VL '!Y10/100/3.6*1000000</f>
        <v>4.1166224631196293</v>
      </c>
      <c r="O9" s="33"/>
      <c r="P9" s="33"/>
      <c r="R9" s="32"/>
    </row>
    <row r="10" spans="1:18">
      <c r="A10" s="32" t="s">
        <v>50</v>
      </c>
      <c r="B10" s="37">
        <f t="shared" si="0"/>
        <v>2112.7871985582301</v>
      </c>
      <c r="C10" s="33"/>
      <c r="D10" s="37">
        <f>IF(ISERROR(TER_ander_gas_kWh/1000),0,TER_ander_gas_kWh/1000)*0.902</f>
        <v>1785.4440395086617</v>
      </c>
      <c r="E10" s="33">
        <f>$C$30*'E Balans VL '!I14/100/3.6*1000000</f>
        <v>2.5183668424238976</v>
      </c>
      <c r="F10" s="33">
        <f>$C$30*('E Balans VL '!L14+'E Balans VL '!N14)/100/3.6*1000000</f>
        <v>552.79905828434801</v>
      </c>
      <c r="G10" s="34"/>
      <c r="H10" s="33"/>
      <c r="I10" s="33"/>
      <c r="J10" s="33">
        <f>$C$30*('E Balans VL '!D14+'E Balans VL '!E14)/100/3.6*1000000</f>
        <v>4.5860328183560235E-2</v>
      </c>
      <c r="K10" s="33"/>
      <c r="L10" s="33"/>
      <c r="M10" s="33"/>
      <c r="N10" s="33">
        <f>$C$30*'E Balans VL '!Y14/100/3.6*1000000</f>
        <v>1794.127189840618</v>
      </c>
      <c r="O10" s="33"/>
      <c r="P10" s="33"/>
      <c r="R10" s="32"/>
    </row>
    <row r="11" spans="1:18">
      <c r="A11" s="32" t="s">
        <v>55</v>
      </c>
      <c r="B11" s="37">
        <f t="shared" si="0"/>
        <v>214.995344921282</v>
      </c>
      <c r="C11" s="33"/>
      <c r="D11" s="37">
        <f>IF(ISERROR(TER_onderwijs_gas_kWh/1000),0,TER_onderwijs_gas_kWh/1000)*0.902</f>
        <v>257.55282389117252</v>
      </c>
      <c r="E11" s="33">
        <f>$C$31*'E Balans VL '!I11/100/3.6*1000000</f>
        <v>3.2439334719312116</v>
      </c>
      <c r="F11" s="33">
        <f>$C$31*('E Balans VL '!L11+'E Balans VL '!N11)/100/3.6*1000000</f>
        <v>37.670619083023503</v>
      </c>
      <c r="G11" s="34"/>
      <c r="H11" s="33"/>
      <c r="I11" s="33"/>
      <c r="J11" s="33">
        <f>$C$31*('E Balans VL '!D11+'E Balans VL '!E11)/100/3.6*1000000</f>
        <v>0</v>
      </c>
      <c r="K11" s="33"/>
      <c r="L11" s="33"/>
      <c r="M11" s="33"/>
      <c r="N11" s="33">
        <f>$C$31*'E Balans VL '!Y11/100/3.6*1000000</f>
        <v>0.60501324517704036</v>
      </c>
      <c r="O11" s="33"/>
      <c r="P11" s="33"/>
      <c r="R11" s="32"/>
    </row>
    <row r="12" spans="1:18">
      <c r="A12" s="32" t="s">
        <v>260</v>
      </c>
      <c r="B12" s="37">
        <f t="shared" si="0"/>
        <v>2588.9615044213797</v>
      </c>
      <c r="C12" s="33"/>
      <c r="D12" s="37">
        <f>IF(ISERROR(TER_rest_gas_kWh/1000),0,TER_rest_gas_kWh/1000)*0.902</f>
        <v>6427.0494273792328</v>
      </c>
      <c r="E12" s="33">
        <f>$C$32*'E Balans VL '!I8/100/3.6*1000000</f>
        <v>32.149678300928997</v>
      </c>
      <c r="F12" s="33">
        <f>$C$32*('E Balans VL '!L8+'E Balans VL '!N8)/100/3.6*1000000</f>
        <v>447.69538441998151</v>
      </c>
      <c r="G12" s="34"/>
      <c r="H12" s="33"/>
      <c r="I12" s="33"/>
      <c r="J12" s="33">
        <f>$C$32*('E Balans VL '!D8+'E Balans VL '!E8)/100/3.6*1000000</f>
        <v>6.2692356193303237E-3</v>
      </c>
      <c r="K12" s="33"/>
      <c r="L12" s="33"/>
      <c r="M12" s="33"/>
      <c r="N12" s="33">
        <f>$C$32*'E Balans VL '!Y8/100/3.6*1000000</f>
        <v>250.69083721299975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14071.664110196667</v>
      </c>
      <c r="C16" s="21">
        <f t="shared" ca="1" si="1"/>
        <v>0</v>
      </c>
      <c r="D16" s="21">
        <f t="shared" ca="1" si="1"/>
        <v>12940.073299703176</v>
      </c>
      <c r="E16" s="21">
        <f t="shared" si="1"/>
        <v>250.50837095870659</v>
      </c>
      <c r="F16" s="21">
        <f t="shared" ca="1" si="1"/>
        <v>2625.2848033177415</v>
      </c>
      <c r="G16" s="21">
        <f t="shared" si="1"/>
        <v>0</v>
      </c>
      <c r="H16" s="21">
        <f t="shared" si="1"/>
        <v>0</v>
      </c>
      <c r="I16" s="21">
        <f t="shared" si="1"/>
        <v>0</v>
      </c>
      <c r="J16" s="21">
        <f t="shared" si="1"/>
        <v>5.2129563802890556E-2</v>
      </c>
      <c r="K16" s="21">
        <f t="shared" si="1"/>
        <v>0</v>
      </c>
      <c r="L16" s="21">
        <f t="shared" ca="1" si="1"/>
        <v>0</v>
      </c>
      <c r="M16" s="21">
        <f t="shared" si="1"/>
        <v>0</v>
      </c>
      <c r="N16" s="21">
        <f t="shared" ca="1" si="1"/>
        <v>2059.8004171484154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0.20455554401343914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2878.4369072356662</v>
      </c>
      <c r="C20" s="23">
        <f t="shared" ref="C20:P20" ca="1" si="2">C16*C18</f>
        <v>0</v>
      </c>
      <c r="D20" s="23">
        <f t="shared" ca="1" si="2"/>
        <v>2613.8948065400418</v>
      </c>
      <c r="E20" s="23">
        <f t="shared" si="2"/>
        <v>56.865400207626401</v>
      </c>
      <c r="F20" s="23">
        <f t="shared" ca="1" si="2"/>
        <v>700.95104248583698</v>
      </c>
      <c r="G20" s="23">
        <f t="shared" si="2"/>
        <v>0</v>
      </c>
      <c r="H20" s="23">
        <f t="shared" si="2"/>
        <v>0</v>
      </c>
      <c r="I20" s="23">
        <f t="shared" si="2"/>
        <v>0</v>
      </c>
      <c r="J20" s="23">
        <f t="shared" si="2"/>
        <v>1.8453865586223257E-2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2484.0939367136602</v>
      </c>
      <c r="C26" s="39">
        <f>IF(ISERROR(B26*3.6/1000000/'E Balans VL '!Z12*100),0,B26*3.6/1000000/'E Balans VL '!Z12*100)</f>
        <v>5.2509810699471214E-2</v>
      </c>
      <c r="D26" s="237" t="s">
        <v>754</v>
      </c>
      <c r="F26" s="6"/>
    </row>
    <row r="27" spans="1:18">
      <c r="A27" s="231" t="s">
        <v>53</v>
      </c>
      <c r="B27" s="33">
        <f>IF(ISERROR(TER_horeca_ele_kWh/1000),0,TER_horeca_ele_kWh/1000)</f>
        <v>899.00273488530206</v>
      </c>
      <c r="C27" s="39">
        <f>IF(ISERROR(B27*3.6/1000000/'E Balans VL '!Z9*100),0,B27*3.6/1000000/'E Balans VL '!Z9*100)</f>
        <v>7.0868050515582856E-2</v>
      </c>
      <c r="D27" s="237" t="s">
        <v>754</v>
      </c>
      <c r="F27" s="6"/>
    </row>
    <row r="28" spans="1:18">
      <c r="A28" s="171" t="s">
        <v>52</v>
      </c>
      <c r="B28" s="33">
        <f>IF(ISERROR(TER_handel_ele_kWh/1000),0,TER_handel_ele_kWh/1000)</f>
        <v>5505.6870587108597</v>
      </c>
      <c r="C28" s="39">
        <f>IF(ISERROR(B28*3.6/1000000/'E Balans VL '!Z13*100),0,B28*3.6/1000000/'E Balans VL '!Z13*100)</f>
        <v>0.1597972839122469</v>
      </c>
      <c r="D28" s="237" t="s">
        <v>754</v>
      </c>
      <c r="F28" s="6"/>
    </row>
    <row r="29" spans="1:18">
      <c r="A29" s="231" t="s">
        <v>51</v>
      </c>
      <c r="B29" s="33">
        <f>IF(ISERROR(TER_gezond_ele_kWh/1000),0,TER_gezond_ele_kWh/1000)</f>
        <v>266.13633198595295</v>
      </c>
      <c r="C29" s="39">
        <f>IF(ISERROR(B29*3.6/1000000/'E Balans VL '!Z10*100),0,B29*3.6/1000000/'E Balans VL '!Z10*100)</f>
        <v>2.8028525832045115E-2</v>
      </c>
      <c r="D29" s="237" t="s">
        <v>754</v>
      </c>
      <c r="F29" s="6"/>
    </row>
    <row r="30" spans="1:18">
      <c r="A30" s="231" t="s">
        <v>50</v>
      </c>
      <c r="B30" s="33">
        <f>IF(ISERROR(TER_ander_ele_kWh/1000),0,TER_ander_ele_kWh/1000)</f>
        <v>2112.7871985582301</v>
      </c>
      <c r="C30" s="39">
        <f>IF(ISERROR(B30*3.6/1000000/'E Balans VL '!Z14*100),0,B30*3.6/1000000/'E Balans VL '!Z14*100)</f>
        <v>0.15583964266075187</v>
      </c>
      <c r="D30" s="237" t="s">
        <v>754</v>
      </c>
      <c r="F30" s="6"/>
    </row>
    <row r="31" spans="1:18">
      <c r="A31" s="231" t="s">
        <v>55</v>
      </c>
      <c r="B31" s="33">
        <f>IF(ISERROR(TER_onderwijs_ele_kWh/1000),0,TER_onderwijs_ele_kWh/1000)</f>
        <v>214.995344921282</v>
      </c>
      <c r="C31" s="39">
        <f>IF(ISERROR(B31*3.6/1000000/'E Balans VL '!Z11*100),0,B31*3.6/1000000/'E Balans VL '!Z11*100)</f>
        <v>5.3393415119010905E-2</v>
      </c>
      <c r="D31" s="237" t="s">
        <v>754</v>
      </c>
    </row>
    <row r="32" spans="1:18">
      <c r="A32" s="231" t="s">
        <v>260</v>
      </c>
      <c r="B32" s="33">
        <f>IF(ISERROR(TER_rest_ele_kWh/1000),0,TER_rest_ele_kWh/1000)</f>
        <v>2588.9615044213797</v>
      </c>
      <c r="C32" s="39">
        <f>IF(ISERROR(B32*3.6/1000000/'E Balans VL '!Z8*100),0,B32*3.6/1000000/'E Balans VL '!Z8*100)</f>
        <v>2.130371668431983E-2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26946.497805506813</v>
      </c>
      <c r="C5" s="17">
        <f>IF(ISERROR('Eigen informatie GS &amp; warmtenet'!B59),0,'Eigen informatie GS &amp; warmtenet'!B59)</f>
        <v>0</v>
      </c>
      <c r="D5" s="30">
        <f>SUM(D6:D15)</f>
        <v>25050.368916282332</v>
      </c>
      <c r="E5" s="17">
        <f>SUM(E6:E15)</f>
        <v>2014.9413993473424</v>
      </c>
      <c r="F5" s="17">
        <f>SUM(F6:F15)</f>
        <v>6931.9428107999847</v>
      </c>
      <c r="G5" s="18"/>
      <c r="H5" s="17"/>
      <c r="I5" s="17"/>
      <c r="J5" s="17">
        <f>SUM(J6:J15)</f>
        <v>22.766456404693958</v>
      </c>
      <c r="K5" s="17"/>
      <c r="L5" s="17"/>
      <c r="M5" s="17"/>
      <c r="N5" s="17">
        <f>SUM(N6:N15)</f>
        <v>4291.0113797919867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2421.6629235257701</v>
      </c>
      <c r="C8" s="33"/>
      <c r="D8" s="37">
        <f>IF( ISERROR(IND_metaal_Gas_kWH/1000),0,IND_metaal_Gas_kWH/1000)*0.902</f>
        <v>0</v>
      </c>
      <c r="E8" s="33">
        <f>C30*'E Balans VL '!I18/100/3.6*1000000</f>
        <v>22.26485171752525</v>
      </c>
      <c r="F8" s="33">
        <f>C30*'E Balans VL '!L18/100/3.6*1000000+C30*'E Balans VL '!N18/100/3.6*1000000</f>
        <v>227.07135690672854</v>
      </c>
      <c r="G8" s="34"/>
      <c r="H8" s="33"/>
      <c r="I8" s="33"/>
      <c r="J8" s="40">
        <f>C30*'E Balans VL '!D18/100/3.6*1000000+C30*'E Balans VL '!E18/100/3.6*1000000</f>
        <v>0</v>
      </c>
      <c r="K8" s="33"/>
      <c r="L8" s="33"/>
      <c r="M8" s="33"/>
      <c r="N8" s="33">
        <f>C30*'E Balans VL '!Y18/100/3.6*1000000</f>
        <v>34.549023570603239</v>
      </c>
      <c r="O8" s="33"/>
      <c r="P8" s="33"/>
      <c r="R8" s="32"/>
    </row>
    <row r="9" spans="1:18">
      <c r="A9" s="6" t="s">
        <v>33</v>
      </c>
      <c r="B9" s="37">
        <f t="shared" si="0"/>
        <v>5511.8004449006003</v>
      </c>
      <c r="C9" s="33"/>
      <c r="D9" s="37">
        <f>IF( ISERROR(IND_andere_gas_kWh/1000),0,IND_andere_gas_kWh/1000)*0.902</f>
        <v>1049.7697002230761</v>
      </c>
      <c r="E9" s="33">
        <f>C31*'E Balans VL '!I19/100/3.6*1000000</f>
        <v>1611.2065721428985</v>
      </c>
      <c r="F9" s="33">
        <f>C31*'E Balans VL '!L19/100/3.6*1000000+C31*'E Balans VL '!N19/100/3.6*1000000</f>
        <v>4429.1488624360491</v>
      </c>
      <c r="G9" s="34"/>
      <c r="H9" s="33"/>
      <c r="I9" s="33"/>
      <c r="J9" s="40">
        <f>C31*'E Balans VL '!D19/100/3.6*1000000+C31*'E Balans VL '!E19/100/3.6*1000000</f>
        <v>0</v>
      </c>
      <c r="K9" s="33"/>
      <c r="L9" s="33"/>
      <c r="M9" s="33"/>
      <c r="N9" s="33">
        <f>C31*'E Balans VL '!Y19/100/3.6*1000000</f>
        <v>1821.1843489593825</v>
      </c>
      <c r="O9" s="33"/>
      <c r="P9" s="33"/>
      <c r="R9" s="32"/>
    </row>
    <row r="10" spans="1:18">
      <c r="A10" s="6" t="s">
        <v>41</v>
      </c>
      <c r="B10" s="37">
        <f t="shared" si="0"/>
        <v>9382.32712693131</v>
      </c>
      <c r="C10" s="33"/>
      <c r="D10" s="37">
        <f>IF( ISERROR(IND_voed_gas_kWh/1000),0,IND_voed_gas_kWh/1000)*0.902</f>
        <v>0</v>
      </c>
      <c r="E10" s="33">
        <f>C32*'E Balans VL '!I20/100/3.6*1000000</f>
        <v>19.848458511728271</v>
      </c>
      <c r="F10" s="33">
        <f>C32*'E Balans VL '!L20/100/3.6*1000000+C32*'E Balans VL '!N20/100/3.6*1000000</f>
        <v>596.53794249641317</v>
      </c>
      <c r="G10" s="34"/>
      <c r="H10" s="33"/>
      <c r="I10" s="33"/>
      <c r="J10" s="40">
        <f>C32*'E Balans VL '!D20/100/3.6*1000000+C32*'E Balans VL '!E20/100/3.6*1000000</f>
        <v>0</v>
      </c>
      <c r="K10" s="33"/>
      <c r="L10" s="33"/>
      <c r="M10" s="33"/>
      <c r="N10" s="33">
        <f>C32*'E Balans VL '!Y20/100/3.6*1000000</f>
        <v>647.47315882467512</v>
      </c>
      <c r="O10" s="33"/>
      <c r="P10" s="33"/>
      <c r="R10" s="32"/>
    </row>
    <row r="11" spans="1:18">
      <c r="A11" s="6" t="s">
        <v>40</v>
      </c>
      <c r="B11" s="37">
        <f t="shared" si="0"/>
        <v>2970.0847676040198</v>
      </c>
      <c r="C11" s="33"/>
      <c r="D11" s="37">
        <f>IF( ISERROR(IND_textiel_gas_kWh/1000),0,IND_textiel_gas_kWh/1000)*0.902</f>
        <v>0</v>
      </c>
      <c r="E11" s="33">
        <f>C33*'E Balans VL '!I21/100/3.6*1000000</f>
        <v>8.8208956892493138</v>
      </c>
      <c r="F11" s="33">
        <f>C33*'E Balans VL '!L21/100/3.6*1000000+C33*'E Balans VL '!N21/100/3.6*1000000</f>
        <v>300.06010258156607</v>
      </c>
      <c r="G11" s="34"/>
      <c r="H11" s="33"/>
      <c r="I11" s="33"/>
      <c r="J11" s="40">
        <f>C33*'E Balans VL '!D21/100/3.6*1000000+C33*'E Balans VL '!E21/100/3.6*1000000</f>
        <v>0</v>
      </c>
      <c r="K11" s="33"/>
      <c r="L11" s="33"/>
      <c r="M11" s="33"/>
      <c r="N11" s="33">
        <f>C33*'E Balans VL '!Y21/100/3.6*1000000</f>
        <v>163.80965352601143</v>
      </c>
      <c r="O11" s="33"/>
      <c r="P11" s="33"/>
      <c r="R11" s="32"/>
    </row>
    <row r="12" spans="1:18">
      <c r="A12" s="6" t="s">
        <v>37</v>
      </c>
      <c r="B12" s="37">
        <f t="shared" si="0"/>
        <v>469.52397539269998</v>
      </c>
      <c r="C12" s="33"/>
      <c r="D12" s="37">
        <f>IF( ISERROR(IND_min_gas_kWh/1000),0,IND_min_gas_kWh/1000)*0.902</f>
        <v>273.75065995209087</v>
      </c>
      <c r="E12" s="33">
        <f>C34*'E Balans VL '!I22/100/3.6*1000000</f>
        <v>13.609566704602239</v>
      </c>
      <c r="F12" s="33">
        <f>C34*'E Balans VL '!L22/100/3.6*1000000+C34*'E Balans VL '!N22/100/3.6*1000000</f>
        <v>161.42764847918173</v>
      </c>
      <c r="G12" s="34"/>
      <c r="H12" s="33"/>
      <c r="I12" s="33"/>
      <c r="J12" s="40">
        <f>C34*'E Balans VL '!D22/100/3.6*1000000+C34*'E Balans VL '!E22/100/3.6*1000000</f>
        <v>0.77156938050969726</v>
      </c>
      <c r="K12" s="33"/>
      <c r="L12" s="33"/>
      <c r="M12" s="33"/>
      <c r="N12" s="33">
        <f>C34*'E Balans VL '!Y22/100/3.6*1000000</f>
        <v>102.78651403771477</v>
      </c>
      <c r="O12" s="33"/>
      <c r="P12" s="33"/>
      <c r="R12" s="32"/>
    </row>
    <row r="13" spans="1:18">
      <c r="A13" s="6" t="s">
        <v>39</v>
      </c>
      <c r="B13" s="37">
        <f t="shared" si="0"/>
        <v>49.375836360280701</v>
      </c>
      <c r="C13" s="33"/>
      <c r="D13" s="37">
        <f>IF( ISERROR(IND_papier_gas_kWh/1000),0,IND_papier_gas_kWh/1000)*0.902</f>
        <v>72.736847421963262</v>
      </c>
      <c r="E13" s="33">
        <f>C35*'E Balans VL '!I23/100/3.6*1000000</f>
        <v>7.0053019629123581E-2</v>
      </c>
      <c r="F13" s="33">
        <f>C35*'E Balans VL '!L23/100/3.6*1000000+C35*'E Balans VL '!N23/100/3.6*1000000</f>
        <v>1.2054498306698154</v>
      </c>
      <c r="G13" s="34"/>
      <c r="H13" s="33"/>
      <c r="I13" s="33"/>
      <c r="J13" s="40">
        <f>C35*'E Balans VL '!D23/100/3.6*1000000+C35*'E Balans VL '!E23/100/3.6*1000000</f>
        <v>7.6364366617178514E-3</v>
      </c>
      <c r="K13" s="33"/>
      <c r="L13" s="33"/>
      <c r="M13" s="33"/>
      <c r="N13" s="33">
        <f>C35*'E Balans VL '!Y23/100/3.6*1000000</f>
        <v>143.52386823605667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6141.7227307921303</v>
      </c>
      <c r="C15" s="33"/>
      <c r="D15" s="37">
        <f>IF( ISERROR(IND_rest_gas_kWh/1000),0,IND_rest_gas_kWh/1000)*0.902</f>
        <v>23654.111708685203</v>
      </c>
      <c r="E15" s="33">
        <f>C37*'E Balans VL '!I15/100/3.6*1000000</f>
        <v>339.12100156170982</v>
      </c>
      <c r="F15" s="33">
        <f>C37*'E Balans VL '!L15/100/3.6*1000000+C37*'E Balans VL '!N15/100/3.6*1000000</f>
        <v>1216.4914480693769</v>
      </c>
      <c r="G15" s="34"/>
      <c r="H15" s="33"/>
      <c r="I15" s="33"/>
      <c r="J15" s="40">
        <f>C37*'E Balans VL '!D15/100/3.6*1000000+C37*'E Balans VL '!E15/100/3.6*1000000</f>
        <v>21.987250587522542</v>
      </c>
      <c r="K15" s="33"/>
      <c r="L15" s="33"/>
      <c r="M15" s="33"/>
      <c r="N15" s="33">
        <f>C37*'E Balans VL '!Y15/100/3.6*1000000</f>
        <v>1377.6848126375428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26946.497805506813</v>
      </c>
      <c r="C18" s="21">
        <f>C5+C16</f>
        <v>0</v>
      </c>
      <c r="D18" s="21">
        <f>MAX((D5+D16),0)</f>
        <v>25050.368916282332</v>
      </c>
      <c r="E18" s="21">
        <f>MAX((E5+E16),0)</f>
        <v>2014.9413993473424</v>
      </c>
      <c r="F18" s="21">
        <f>MAX((F5+F16),0)</f>
        <v>6931.9428107999847</v>
      </c>
      <c r="G18" s="21"/>
      <c r="H18" s="21"/>
      <c r="I18" s="21"/>
      <c r="J18" s="21">
        <f>MAX((J5+J16),0)</f>
        <v>22.766456404693958</v>
      </c>
      <c r="K18" s="21"/>
      <c r="L18" s="21">
        <f>MAX((L5+L16),0)</f>
        <v>0</v>
      </c>
      <c r="M18" s="21"/>
      <c r="N18" s="21">
        <f>MAX((N5+N16),0)</f>
        <v>4291.0113797919867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0.20455554401343914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5512.0555178623899</v>
      </c>
      <c r="C22" s="23">
        <f ca="1">C18*C20</f>
        <v>0</v>
      </c>
      <c r="D22" s="23">
        <f>D18*D20</f>
        <v>5060.1745210890313</v>
      </c>
      <c r="E22" s="23">
        <f>E18*E20</f>
        <v>457.39169765184675</v>
      </c>
      <c r="F22" s="23">
        <f>F18*F20</f>
        <v>1850.828730483596</v>
      </c>
      <c r="G22" s="23"/>
      <c r="H22" s="23"/>
      <c r="I22" s="23"/>
      <c r="J22" s="23">
        <f>J18*J20</f>
        <v>8.059325567261661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2421.6629235257701</v>
      </c>
      <c r="C30" s="39">
        <f>IF(ISERROR(B30*3.6/1000000/'E Balans VL '!Z18*100),0,B30*3.6/1000000/'E Balans VL '!Z18*100)</f>
        <v>0.13724184742607592</v>
      </c>
      <c r="D30" s="237" t="s">
        <v>754</v>
      </c>
    </row>
    <row r="31" spans="1:18">
      <c r="A31" s="6" t="s">
        <v>33</v>
      </c>
      <c r="B31" s="37">
        <f>IF( ISERROR(IND_ander_ele_kWh/1000),0,IND_ander_ele_kWh/1000)</f>
        <v>5511.8004449006003</v>
      </c>
      <c r="C31" s="39">
        <f>IF(ISERROR(B31*3.6/1000000/'E Balans VL '!Z19*100),0,B31*3.6/1000000/'E Balans VL '!Z19*100)</f>
        <v>0.24999231744308922</v>
      </c>
      <c r="D31" s="237" t="s">
        <v>754</v>
      </c>
    </row>
    <row r="32" spans="1:18">
      <c r="A32" s="171" t="s">
        <v>41</v>
      </c>
      <c r="B32" s="37">
        <f>IF( ISERROR(IND_voed_ele_kWh/1000),0,IND_voed_ele_kWh/1000)</f>
        <v>9382.32712693131</v>
      </c>
      <c r="C32" s="39">
        <f>IF(ISERROR(B32*3.6/1000000/'E Balans VL '!Z20*100),0,B32*3.6/1000000/'E Balans VL '!Z20*100)</f>
        <v>0.29023797020485087</v>
      </c>
      <c r="D32" s="237" t="s">
        <v>754</v>
      </c>
    </row>
    <row r="33" spans="1:5">
      <c r="A33" s="171" t="s">
        <v>40</v>
      </c>
      <c r="B33" s="37">
        <f>IF( ISERROR(IND_textiel_ele_kWh/1000),0,IND_textiel_ele_kWh/1000)</f>
        <v>2970.0847676040198</v>
      </c>
      <c r="C33" s="39">
        <f>IF(ISERROR(B33*3.6/1000000/'E Balans VL '!Z21*100),0,B33*3.6/1000000/'E Balans VL '!Z21*100)</f>
        <v>0.38726603952228605</v>
      </c>
      <c r="D33" s="237" t="s">
        <v>754</v>
      </c>
    </row>
    <row r="34" spans="1:5">
      <c r="A34" s="171" t="s">
        <v>37</v>
      </c>
      <c r="B34" s="37">
        <f>IF( ISERROR(IND_min_ele_kWh/1000),0,IND_min_ele_kWh/1000)</f>
        <v>469.52397539269998</v>
      </c>
      <c r="C34" s="39">
        <f>IF(ISERROR(B34*3.6/1000000/'E Balans VL '!Z22*100),0,B34*3.6/1000000/'E Balans VL '!Z22*100)</f>
        <v>8.4452714193825537E-2</v>
      </c>
      <c r="D34" s="237" t="s">
        <v>754</v>
      </c>
    </row>
    <row r="35" spans="1:5">
      <c r="A35" s="171" t="s">
        <v>39</v>
      </c>
      <c r="B35" s="37">
        <f>IF( ISERROR(IND_papier_ele_kWh/1000),0,IND_papier_ele_kWh/1000)</f>
        <v>49.375836360280701</v>
      </c>
      <c r="C35" s="39">
        <f>IF(ISERROR(B35*3.6/1000000/'E Balans VL '!Z22*100),0,B35*3.6/1000000/'E Balans VL '!Z22*100)</f>
        <v>8.8811724528619629E-3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6141.7227307921303</v>
      </c>
      <c r="C37" s="39">
        <f>IF(ISERROR(B37*3.6/1000000/'E Balans VL '!Z15*100),0,B37*3.6/1000000/'E Balans VL '!Z15*100)</f>
        <v>4.8680695394393153E-2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1160.6606327473562</v>
      </c>
      <c r="C5" s="17">
        <f>'Eigen informatie GS &amp; warmtenet'!B60</f>
        <v>0</v>
      </c>
      <c r="D5" s="30">
        <f>IF(ISERROR(SUM(LB_lb_gas_kWh,LB_rest_gas_kWh,onbekend_gas_kWh)/1000),0,SUM(LB_lb_gas_kWh,LB_rest_gas_kWh,onbekend_gas_kWh)/1000)*0.902</f>
        <v>762.49665284433922</v>
      </c>
      <c r="E5" s="17">
        <f>B17*'E Balans VL '!I25/3.6*1000000/100</f>
        <v>34.115361063194129</v>
      </c>
      <c r="F5" s="17">
        <f>B17*('E Balans VL '!L25/3.6*1000000+'E Balans VL '!N25/3.6*1000000)/100</f>
        <v>4835.2494772168575</v>
      </c>
      <c r="G5" s="18"/>
      <c r="H5" s="17"/>
      <c r="I5" s="17"/>
      <c r="J5" s="17">
        <f>('E Balans VL '!D25+'E Balans VL '!E25)/3.6*1000000*landbouw!B17/100</f>
        <v>168.15480021268465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1160.6606327473562</v>
      </c>
      <c r="C8" s="21">
        <f>C5+C6</f>
        <v>0</v>
      </c>
      <c r="D8" s="21">
        <f>MAX((D5+D6),0)</f>
        <v>762.49665284433922</v>
      </c>
      <c r="E8" s="21">
        <f>MAX((E5+E6),0)</f>
        <v>34.115361063194129</v>
      </c>
      <c r="F8" s="21">
        <f>MAX((F5+F6),0)</f>
        <v>4835.2494772168575</v>
      </c>
      <c r="G8" s="21"/>
      <c r="H8" s="21"/>
      <c r="I8" s="21"/>
      <c r="J8" s="21">
        <f>MAX((J5+J6),0)</f>
        <v>168.15480021268465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0.20455554401343914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237.41956714661794</v>
      </c>
      <c r="C12" s="23">
        <f ca="1">C8*C10</f>
        <v>0</v>
      </c>
      <c r="D12" s="23">
        <f>D8*D10</f>
        <v>154.02432387455653</v>
      </c>
      <c r="E12" s="23">
        <f>E8*E10</f>
        <v>7.7441869613450676</v>
      </c>
      <c r="F12" s="23">
        <f>F8*F10</f>
        <v>1291.011610416901</v>
      </c>
      <c r="G12" s="23"/>
      <c r="H12" s="23"/>
      <c r="I12" s="23"/>
      <c r="J12" s="23">
        <f>J8*J10</f>
        <v>59.526799275290365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0.16470138524853187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271.50077965068579</v>
      </c>
      <c r="C26" s="247">
        <f>B26*'GWP N2O_CH4'!B5</f>
        <v>5701.5163726644014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114.42335860992308</v>
      </c>
      <c r="C27" s="247">
        <f>B27*'GWP N2O_CH4'!B5</f>
        <v>2402.8905308083849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3.6966709833074631</v>
      </c>
      <c r="C28" s="247">
        <f>B28*'GWP N2O_CH4'!B4</f>
        <v>1145.9680048253135</v>
      </c>
      <c r="D28" s="50"/>
    </row>
    <row r="29" spans="1:4">
      <c r="A29" s="41" t="s">
        <v>277</v>
      </c>
      <c r="B29" s="247">
        <f>B34*'ha_N2O bodem landbouw'!B4</f>
        <v>11.607458158893595</v>
      </c>
      <c r="C29" s="247">
        <f>B29*'GWP N2O_CH4'!B4</f>
        <v>3598.3120292570143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2.6487819507791713E-3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9.9593767253233203E-5</v>
      </c>
      <c r="C5" s="463" t="s">
        <v>211</v>
      </c>
      <c r="D5" s="448">
        <f>SUM(D6:D11)</f>
        <v>3.7416832770853579E-4</v>
      </c>
      <c r="E5" s="448">
        <f>SUM(E6:E11)</f>
        <v>4.9376420451792934E-4</v>
      </c>
      <c r="F5" s="461" t="s">
        <v>211</v>
      </c>
      <c r="G5" s="448">
        <f>SUM(G6:G11)</f>
        <v>0.18869076046284905</v>
      </c>
      <c r="H5" s="448">
        <f>SUM(H6:H11)</f>
        <v>4.2016192957483961E-2</v>
      </c>
      <c r="I5" s="463" t="s">
        <v>211</v>
      </c>
      <c r="J5" s="463" t="s">
        <v>211</v>
      </c>
      <c r="K5" s="463" t="s">
        <v>211</v>
      </c>
      <c r="L5" s="463" t="s">
        <v>211</v>
      </c>
      <c r="M5" s="448">
        <f>SUM(M6:M11)</f>
        <v>1.2271384114930218E-2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6.7264059668977358E-5</v>
      </c>
      <c r="C6" s="449"/>
      <c r="D6" s="962">
        <f>vkm_2011_GW_PW*SUMIFS(TableVerdeelsleutelVkm[CNG],TableVerdeelsleutelVkm[Voertuigtype],"Lichte voertuigen")*SUMIFS(TableECFTransport[EnergieConsumptieFactor (PJ per km)],TableECFTransport[Index],CONCATENATE($A6,"_CNG_CNG"))</f>
        <v>2.0175357294832728E-4</v>
      </c>
      <c r="E6" s="962">
        <f>vkm_2011_GW_PW*SUMIFS(TableVerdeelsleutelVkm[LPG],TableVerdeelsleutelVkm[Voertuigtype],"Lichte voertuigen")*SUMIFS(TableECFTransport[EnergieConsumptieFactor (PJ per km)],TableECFTransport[Index],CONCATENATE($A6,"_LPG_LPG"))</f>
        <v>2.7562436111994604E-4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7.1263824968525333E-2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2.2943133837296296E-2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4.8445042326238415E-3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5.4320261864771985E-2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1.6552816324566914E-5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3.1742957329146965E-3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3.2329707584255852E-5</v>
      </c>
      <c r="C8" s="449"/>
      <c r="D8" s="451">
        <f>vkm_2011_NGW_PW*SUMIFS(TableVerdeelsleutelVkm[CNG],TableVerdeelsleutelVkm[Voertuigtype],"Lichte voertuigen")*SUMIFS(TableECFTransport[EnergieConsumptieFactor (PJ per km)],TableECFTransport[Index],CONCATENATE($A8,"_CNG_CNG"))</f>
        <v>1.7241475476020848E-4</v>
      </c>
      <c r="E8" s="451">
        <f>vkm_2011_NGW_PW*SUMIFS(TableVerdeelsleutelVkm[LPG],TableVerdeelsleutelVkm[Voertuigtype],"Lichte voertuigen")*SUMIFS(TableECFTransport[EnergieConsumptieFactor (PJ per km)],TableECFTransport[Index],CONCATENATE($A8,"_LPG_LPG"))</f>
        <v>2.1813984339798335E-4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5.2559730569973102E-2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1.9053480664969306E-2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3.6362614048048207E-3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1.0546943059578644E-2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3.0256388937878917E-6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6.1632274458685949E-4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27.664935348120334</v>
      </c>
      <c r="C14" s="21"/>
      <c r="D14" s="21">
        <f t="shared" ref="D14:M14" si="0">((D5)*10^9/3600)+D12</f>
        <v>103.93564658570438</v>
      </c>
      <c r="E14" s="21">
        <f t="shared" si="0"/>
        <v>137.1567234772026</v>
      </c>
      <c r="F14" s="21"/>
      <c r="G14" s="21">
        <f t="shared" si="0"/>
        <v>52414.100128569182</v>
      </c>
      <c r="H14" s="21">
        <f t="shared" si="0"/>
        <v>11671.164710412211</v>
      </c>
      <c r="I14" s="21"/>
      <c r="J14" s="21"/>
      <c r="K14" s="21"/>
      <c r="L14" s="21"/>
      <c r="M14" s="21">
        <f t="shared" si="0"/>
        <v>3408.7178097028382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0.20455554401343914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5.6590159002313776</v>
      </c>
      <c r="C18" s="23"/>
      <c r="D18" s="23">
        <f t="shared" ref="D18:M18" si="1">D14*D16</f>
        <v>20.995000610312285</v>
      </c>
      <c r="E18" s="23">
        <f t="shared" si="1"/>
        <v>31.134576229324992</v>
      </c>
      <c r="F18" s="23"/>
      <c r="G18" s="23">
        <f t="shared" si="1"/>
        <v>13994.564734327972</v>
      </c>
      <c r="H18" s="23">
        <f t="shared" si="1"/>
        <v>2906.1200128926407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2.0862941610265391E-3</v>
      </c>
      <c r="H50" s="321">
        <f t="shared" si="2"/>
        <v>0</v>
      </c>
      <c r="I50" s="321">
        <f t="shared" si="2"/>
        <v>0</v>
      </c>
      <c r="J50" s="321">
        <f t="shared" si="2"/>
        <v>0</v>
      </c>
      <c r="K50" s="321">
        <f t="shared" si="2"/>
        <v>0</v>
      </c>
      <c r="L50" s="321">
        <f t="shared" si="2"/>
        <v>0</v>
      </c>
      <c r="M50" s="321">
        <f t="shared" si="2"/>
        <v>1.184922982413729E-4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2.0862941610265391E-3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1.184922982413729E-4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579.52615584070531</v>
      </c>
      <c r="H54" s="21">
        <f t="shared" si="3"/>
        <v>0</v>
      </c>
      <c r="I54" s="21">
        <f t="shared" si="3"/>
        <v>0</v>
      </c>
      <c r="J54" s="21">
        <f t="shared" si="3"/>
        <v>0</v>
      </c>
      <c r="K54" s="21">
        <f t="shared" si="3"/>
        <v>0</v>
      </c>
      <c r="L54" s="21">
        <f t="shared" si="3"/>
        <v>0</v>
      </c>
      <c r="M54" s="21">
        <f t="shared" si="3"/>
        <v>32.914527289270254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0.20455554401343914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154.73348360946832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5433.2568100887192</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5433.2568100887192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15071.312110196666</v>
      </c>
      <c r="D10" s="718">
        <f ca="1">tertiair!C16</f>
        <v>0</v>
      </c>
      <c r="E10" s="718">
        <f ca="1">tertiair!D16</f>
        <v>12940.073299703176</v>
      </c>
      <c r="F10" s="718">
        <f>tertiair!E16</f>
        <v>250.50837095870659</v>
      </c>
      <c r="G10" s="718">
        <f ca="1">tertiair!F16</f>
        <v>2625.2848033177415</v>
      </c>
      <c r="H10" s="718">
        <f>tertiair!G16</f>
        <v>0</v>
      </c>
      <c r="I10" s="718">
        <f>tertiair!H16</f>
        <v>0</v>
      </c>
      <c r="J10" s="718">
        <f>tertiair!I16</f>
        <v>0</v>
      </c>
      <c r="K10" s="718">
        <f>tertiair!J16</f>
        <v>5.2129563802890556E-2</v>
      </c>
      <c r="L10" s="718">
        <f>tertiair!K16</f>
        <v>0</v>
      </c>
      <c r="M10" s="718">
        <f ca="1">tertiair!L16</f>
        <v>0</v>
      </c>
      <c r="N10" s="718">
        <f>tertiair!M16</f>
        <v>0</v>
      </c>
      <c r="O10" s="718">
        <f ca="1">tertiair!N16</f>
        <v>2059.8004171484154</v>
      </c>
      <c r="P10" s="718">
        <f>tertiair!O16</f>
        <v>1.5633333333333335</v>
      </c>
      <c r="Q10" s="719">
        <f>tertiair!P16</f>
        <v>0</v>
      </c>
      <c r="R10" s="721">
        <f ca="1">SUM(C10:Q10)</f>
        <v>32948.594464221838</v>
      </c>
      <c r="S10" s="67"/>
    </row>
    <row r="11" spans="1:19" s="474" customFormat="1">
      <c r="A11" s="870" t="s">
        <v>225</v>
      </c>
      <c r="B11" s="875"/>
      <c r="C11" s="718">
        <f>huishoudens!B8</f>
        <v>29812.379449800021</v>
      </c>
      <c r="D11" s="718">
        <f>huishoudens!C8</f>
        <v>0</v>
      </c>
      <c r="E11" s="718">
        <f>huishoudens!D8</f>
        <v>38912.943145106881</v>
      </c>
      <c r="F11" s="718">
        <f>huishoudens!E8</f>
        <v>6529.1950893331432</v>
      </c>
      <c r="G11" s="718">
        <f>huishoudens!F8</f>
        <v>39026.592112051818</v>
      </c>
      <c r="H11" s="718">
        <f>huishoudens!G8</f>
        <v>0</v>
      </c>
      <c r="I11" s="718">
        <f>huishoudens!H8</f>
        <v>0</v>
      </c>
      <c r="J11" s="718">
        <f>huishoudens!I8</f>
        <v>0</v>
      </c>
      <c r="K11" s="718">
        <f>huishoudens!J8</f>
        <v>0</v>
      </c>
      <c r="L11" s="718">
        <f>huishoudens!K8</f>
        <v>0</v>
      </c>
      <c r="M11" s="718">
        <f>huishoudens!L8</f>
        <v>0</v>
      </c>
      <c r="N11" s="718">
        <f>huishoudens!M8</f>
        <v>0</v>
      </c>
      <c r="O11" s="718">
        <f>huishoudens!N8</f>
        <v>16576.354417682036</v>
      </c>
      <c r="P11" s="718">
        <f>huishoudens!O8</f>
        <v>465.87333333333339</v>
      </c>
      <c r="Q11" s="719">
        <f>huishoudens!P8</f>
        <v>858</v>
      </c>
      <c r="R11" s="721">
        <f>SUM(C11:Q11)</f>
        <v>132181.33754730722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26946.497805506813</v>
      </c>
      <c r="D13" s="718">
        <f>industrie!C18</f>
        <v>0</v>
      </c>
      <c r="E13" s="718">
        <f>industrie!D18</f>
        <v>25050.368916282332</v>
      </c>
      <c r="F13" s="718">
        <f>industrie!E18</f>
        <v>2014.9413993473424</v>
      </c>
      <c r="G13" s="718">
        <f>industrie!F18</f>
        <v>6931.9428107999847</v>
      </c>
      <c r="H13" s="718">
        <f>industrie!G18</f>
        <v>0</v>
      </c>
      <c r="I13" s="718">
        <f>industrie!H18</f>
        <v>0</v>
      </c>
      <c r="J13" s="718">
        <f>industrie!I18</f>
        <v>0</v>
      </c>
      <c r="K13" s="718">
        <f>industrie!J18</f>
        <v>22.766456404693958</v>
      </c>
      <c r="L13" s="718">
        <f>industrie!K18</f>
        <v>0</v>
      </c>
      <c r="M13" s="718">
        <f>industrie!L18</f>
        <v>0</v>
      </c>
      <c r="N13" s="718">
        <f>industrie!M18</f>
        <v>0</v>
      </c>
      <c r="O13" s="718">
        <f>industrie!N18</f>
        <v>4291.0113797919867</v>
      </c>
      <c r="P13" s="718">
        <f>industrie!O18</f>
        <v>0</v>
      </c>
      <c r="Q13" s="719">
        <f>industrie!P18</f>
        <v>0</v>
      </c>
      <c r="R13" s="721">
        <f>SUM(C13:Q13)</f>
        <v>65257.528768133154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71830.189365503495</v>
      </c>
      <c r="D15" s="723">
        <f t="shared" ref="D15:Q15" ca="1" si="0">SUM(D9:D14)</f>
        <v>0</v>
      </c>
      <c r="E15" s="723">
        <f t="shared" ca="1" si="0"/>
        <v>76903.385361092383</v>
      </c>
      <c r="F15" s="723">
        <f t="shared" si="0"/>
        <v>8794.6448596391929</v>
      </c>
      <c r="G15" s="723">
        <f t="shared" ca="1" si="0"/>
        <v>48583.819726169546</v>
      </c>
      <c r="H15" s="723">
        <f t="shared" si="0"/>
        <v>0</v>
      </c>
      <c r="I15" s="723">
        <f t="shared" si="0"/>
        <v>0</v>
      </c>
      <c r="J15" s="723">
        <f t="shared" si="0"/>
        <v>0</v>
      </c>
      <c r="K15" s="723">
        <f t="shared" si="0"/>
        <v>22.818585968496848</v>
      </c>
      <c r="L15" s="723">
        <f t="shared" si="0"/>
        <v>0</v>
      </c>
      <c r="M15" s="723">
        <f t="shared" ca="1" si="0"/>
        <v>0</v>
      </c>
      <c r="N15" s="723">
        <f t="shared" si="0"/>
        <v>0</v>
      </c>
      <c r="O15" s="723">
        <f t="shared" ca="1" si="0"/>
        <v>22927.166214622437</v>
      </c>
      <c r="P15" s="723">
        <f t="shared" si="0"/>
        <v>467.43666666666672</v>
      </c>
      <c r="Q15" s="724">
        <f t="shared" si="0"/>
        <v>858</v>
      </c>
      <c r="R15" s="725">
        <f ca="1">SUM(R9:R14)</f>
        <v>230387.46077966219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579.52615584070531</v>
      </c>
      <c r="I18" s="718">
        <f>transport!H54</f>
        <v>0</v>
      </c>
      <c r="J18" s="718">
        <f>transport!I54</f>
        <v>0</v>
      </c>
      <c r="K18" s="718">
        <f>transport!J54</f>
        <v>0</v>
      </c>
      <c r="L18" s="718">
        <f>transport!K54</f>
        <v>0</v>
      </c>
      <c r="M18" s="718">
        <f>transport!L54</f>
        <v>0</v>
      </c>
      <c r="N18" s="718">
        <f>transport!M54</f>
        <v>32.914527289270254</v>
      </c>
      <c r="O18" s="718">
        <f>transport!N54</f>
        <v>0</v>
      </c>
      <c r="P18" s="718">
        <f>transport!O54</f>
        <v>0</v>
      </c>
      <c r="Q18" s="719">
        <f>transport!P54</f>
        <v>0</v>
      </c>
      <c r="R18" s="721">
        <f>SUM(C18:Q18)</f>
        <v>612.44068312997558</v>
      </c>
      <c r="S18" s="67"/>
    </row>
    <row r="19" spans="1:19" s="474" customFormat="1" ht="15" thickBot="1">
      <c r="A19" s="870" t="s">
        <v>307</v>
      </c>
      <c r="B19" s="875"/>
      <c r="C19" s="727">
        <f>transport!B14</f>
        <v>27.664935348120334</v>
      </c>
      <c r="D19" s="727">
        <f>transport!C14</f>
        <v>0</v>
      </c>
      <c r="E19" s="727">
        <f>transport!D14</f>
        <v>103.93564658570438</v>
      </c>
      <c r="F19" s="727">
        <f>transport!E14</f>
        <v>137.1567234772026</v>
      </c>
      <c r="G19" s="727">
        <f>transport!F14</f>
        <v>0</v>
      </c>
      <c r="H19" s="727">
        <f>transport!G14</f>
        <v>52414.100128569182</v>
      </c>
      <c r="I19" s="727">
        <f>transport!H14</f>
        <v>11671.164710412211</v>
      </c>
      <c r="J19" s="727">
        <f>transport!I14</f>
        <v>0</v>
      </c>
      <c r="K19" s="727">
        <f>transport!J14</f>
        <v>0</v>
      </c>
      <c r="L19" s="727">
        <f>transport!K14</f>
        <v>0</v>
      </c>
      <c r="M19" s="727">
        <f>transport!L14</f>
        <v>0</v>
      </c>
      <c r="N19" s="727">
        <f>transport!M14</f>
        <v>3408.7178097028382</v>
      </c>
      <c r="O19" s="727">
        <f>transport!N14</f>
        <v>0</v>
      </c>
      <c r="P19" s="727">
        <f>transport!O14</f>
        <v>0</v>
      </c>
      <c r="Q19" s="728">
        <f>transport!P14</f>
        <v>0</v>
      </c>
      <c r="R19" s="729">
        <f>SUM(C19:Q19)</f>
        <v>67762.739954095261</v>
      </c>
      <c r="S19" s="67"/>
    </row>
    <row r="20" spans="1:19" s="474" customFormat="1" ht="15.75" thickBot="1">
      <c r="A20" s="730" t="s">
        <v>230</v>
      </c>
      <c r="B20" s="878"/>
      <c r="C20" s="873">
        <f>SUM(C17:C19)</f>
        <v>27.664935348120334</v>
      </c>
      <c r="D20" s="731">
        <f t="shared" ref="D20:R20" si="1">SUM(D17:D19)</f>
        <v>0</v>
      </c>
      <c r="E20" s="731">
        <f t="shared" si="1"/>
        <v>103.93564658570438</v>
      </c>
      <c r="F20" s="731">
        <f t="shared" si="1"/>
        <v>137.1567234772026</v>
      </c>
      <c r="G20" s="731">
        <f t="shared" si="1"/>
        <v>0</v>
      </c>
      <c r="H20" s="731">
        <f t="shared" si="1"/>
        <v>52993.626284409889</v>
      </c>
      <c r="I20" s="731">
        <f t="shared" si="1"/>
        <v>11671.164710412211</v>
      </c>
      <c r="J20" s="731">
        <f t="shared" si="1"/>
        <v>0</v>
      </c>
      <c r="K20" s="731">
        <f t="shared" si="1"/>
        <v>0</v>
      </c>
      <c r="L20" s="731">
        <f t="shared" si="1"/>
        <v>0</v>
      </c>
      <c r="M20" s="731">
        <f t="shared" si="1"/>
        <v>0</v>
      </c>
      <c r="N20" s="731">
        <f t="shared" si="1"/>
        <v>3441.6323369921083</v>
      </c>
      <c r="O20" s="731">
        <f t="shared" si="1"/>
        <v>0</v>
      </c>
      <c r="P20" s="731">
        <f t="shared" si="1"/>
        <v>0</v>
      </c>
      <c r="Q20" s="732">
        <f t="shared" si="1"/>
        <v>0</v>
      </c>
      <c r="R20" s="733">
        <f t="shared" si="1"/>
        <v>68375.180637225232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1160.6606327473562</v>
      </c>
      <c r="D22" s="727">
        <f>+landbouw!C8</f>
        <v>0</v>
      </c>
      <c r="E22" s="727">
        <f>+landbouw!D8</f>
        <v>762.49665284433922</v>
      </c>
      <c r="F22" s="727">
        <f>+landbouw!E8</f>
        <v>34.115361063194129</v>
      </c>
      <c r="G22" s="727">
        <f>+landbouw!F8</f>
        <v>4835.2494772168575</v>
      </c>
      <c r="H22" s="727">
        <f>+landbouw!G8</f>
        <v>0</v>
      </c>
      <c r="I22" s="727">
        <f>+landbouw!H8</f>
        <v>0</v>
      </c>
      <c r="J22" s="727">
        <f>+landbouw!I8</f>
        <v>0</v>
      </c>
      <c r="K22" s="727">
        <f>+landbouw!J8</f>
        <v>168.15480021268465</v>
      </c>
      <c r="L22" s="727">
        <f>+landbouw!K8</f>
        <v>0</v>
      </c>
      <c r="M22" s="727">
        <f>+landbouw!L8</f>
        <v>0</v>
      </c>
      <c r="N22" s="727">
        <f>+landbouw!M8</f>
        <v>0</v>
      </c>
      <c r="O22" s="727">
        <f>+landbouw!N8</f>
        <v>0</v>
      </c>
      <c r="P22" s="727">
        <f>+landbouw!O8</f>
        <v>0</v>
      </c>
      <c r="Q22" s="728">
        <f>+landbouw!P8</f>
        <v>0</v>
      </c>
      <c r="R22" s="729">
        <f>SUM(C22:Q22)</f>
        <v>6960.6769240844314</v>
      </c>
      <c r="S22" s="67"/>
    </row>
    <row r="23" spans="1:19" s="474" customFormat="1" ht="17.25" thickTop="1" thickBot="1">
      <c r="A23" s="734" t="s">
        <v>116</v>
      </c>
      <c r="B23" s="864"/>
      <c r="C23" s="735">
        <f ca="1">C20+C15+C22</f>
        <v>73018.51493359897</v>
      </c>
      <c r="D23" s="735">
        <f t="shared" ref="D23:Q23" ca="1" si="2">D20+D15+D22</f>
        <v>0</v>
      </c>
      <c r="E23" s="735">
        <f t="shared" ca="1" si="2"/>
        <v>77769.817660522414</v>
      </c>
      <c r="F23" s="735">
        <f t="shared" si="2"/>
        <v>8965.9169441795893</v>
      </c>
      <c r="G23" s="735">
        <f t="shared" ca="1" si="2"/>
        <v>53419.069203386403</v>
      </c>
      <c r="H23" s="735">
        <f t="shared" si="2"/>
        <v>52993.626284409889</v>
      </c>
      <c r="I23" s="735">
        <f t="shared" si="2"/>
        <v>11671.164710412211</v>
      </c>
      <c r="J23" s="735">
        <f t="shared" si="2"/>
        <v>0</v>
      </c>
      <c r="K23" s="735">
        <f t="shared" si="2"/>
        <v>190.9733861811815</v>
      </c>
      <c r="L23" s="735">
        <f t="shared" si="2"/>
        <v>0</v>
      </c>
      <c r="M23" s="735">
        <f t="shared" ca="1" si="2"/>
        <v>0</v>
      </c>
      <c r="N23" s="735">
        <f t="shared" si="2"/>
        <v>3441.6323369921083</v>
      </c>
      <c r="O23" s="735">
        <f t="shared" ca="1" si="2"/>
        <v>22927.166214622437</v>
      </c>
      <c r="P23" s="735">
        <f t="shared" si="2"/>
        <v>467.43666666666672</v>
      </c>
      <c r="Q23" s="736">
        <f t="shared" si="2"/>
        <v>858</v>
      </c>
      <c r="R23" s="737">
        <f ca="1">R20+R15+R22</f>
        <v>305723.31834097183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3082.9204476976129</v>
      </c>
      <c r="D36" s="718">
        <f ca="1">tertiair!C20</f>
        <v>0</v>
      </c>
      <c r="E36" s="718">
        <f ca="1">tertiair!D20</f>
        <v>2613.8948065400418</v>
      </c>
      <c r="F36" s="718">
        <f>tertiair!E20</f>
        <v>56.865400207626401</v>
      </c>
      <c r="G36" s="718">
        <f ca="1">tertiair!F20</f>
        <v>700.95104248583698</v>
      </c>
      <c r="H36" s="718">
        <f>tertiair!G20</f>
        <v>0</v>
      </c>
      <c r="I36" s="718">
        <f>tertiair!H20</f>
        <v>0</v>
      </c>
      <c r="J36" s="718">
        <f>tertiair!I20</f>
        <v>0</v>
      </c>
      <c r="K36" s="718">
        <f>tertiair!J20</f>
        <v>1.8453865586223257E-2</v>
      </c>
      <c r="L36" s="718">
        <f>tertiair!K20</f>
        <v>0</v>
      </c>
      <c r="M36" s="718">
        <f ca="1">tertiair!L20</f>
        <v>0</v>
      </c>
      <c r="N36" s="718">
        <f>tertiair!M20</f>
        <v>0</v>
      </c>
      <c r="O36" s="718">
        <f ca="1">tertiair!N20</f>
        <v>0</v>
      </c>
      <c r="P36" s="718">
        <f>tertiair!O20</f>
        <v>0</v>
      </c>
      <c r="Q36" s="828">
        <f>tertiair!P20</f>
        <v>0</v>
      </c>
      <c r="R36" s="917">
        <f ca="1">SUM(C36:Q36)</f>
        <v>6454.6501507967041</v>
      </c>
    </row>
    <row r="37" spans="1:18">
      <c r="A37" s="885" t="s">
        <v>225</v>
      </c>
      <c r="B37" s="892"/>
      <c r="C37" s="718">
        <f ca="1">huishoudens!B12</f>
        <v>6098.2874966889167</v>
      </c>
      <c r="D37" s="718">
        <f ca="1">huishoudens!C12</f>
        <v>0</v>
      </c>
      <c r="E37" s="718">
        <f>huishoudens!D12</f>
        <v>7860.4145153115905</v>
      </c>
      <c r="F37" s="718">
        <f>huishoudens!E12</f>
        <v>1482.1272852786235</v>
      </c>
      <c r="G37" s="718">
        <f>huishoudens!F12</f>
        <v>10420.100093917836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25860.929391196965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5512.0555178623899</v>
      </c>
      <c r="D39" s="718">
        <f ca="1">industrie!C22</f>
        <v>0</v>
      </c>
      <c r="E39" s="718">
        <f>industrie!D22</f>
        <v>5060.1745210890313</v>
      </c>
      <c r="F39" s="718">
        <f>industrie!E22</f>
        <v>457.39169765184675</v>
      </c>
      <c r="G39" s="718">
        <f>industrie!F22</f>
        <v>1850.828730483596</v>
      </c>
      <c r="H39" s="718">
        <f>industrie!G22</f>
        <v>0</v>
      </c>
      <c r="I39" s="718">
        <f>industrie!H22</f>
        <v>0</v>
      </c>
      <c r="J39" s="718">
        <f>industrie!I22</f>
        <v>0</v>
      </c>
      <c r="K39" s="718">
        <f>industrie!J22</f>
        <v>8.059325567261661</v>
      </c>
      <c r="L39" s="718">
        <f>industrie!K22</f>
        <v>0</v>
      </c>
      <c r="M39" s="718">
        <f>industrie!L22</f>
        <v>0</v>
      </c>
      <c r="N39" s="718">
        <f>industrie!M22</f>
        <v>0</v>
      </c>
      <c r="O39" s="718">
        <f>industrie!N22</f>
        <v>0</v>
      </c>
      <c r="P39" s="718">
        <f>industrie!O22</f>
        <v>0</v>
      </c>
      <c r="Q39" s="828">
        <f>industrie!P22</f>
        <v>0</v>
      </c>
      <c r="R39" s="918">
        <f ca="1">SUM(C39:Q39)</f>
        <v>12888.509792654124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14693.26346224892</v>
      </c>
      <c r="D41" s="763">
        <f t="shared" ref="D41:R41" ca="1" si="4">SUM(D35:D40)</f>
        <v>0</v>
      </c>
      <c r="E41" s="763">
        <f t="shared" ca="1" si="4"/>
        <v>15534.483842940665</v>
      </c>
      <c r="F41" s="763">
        <f t="shared" si="4"/>
        <v>1996.3843831380966</v>
      </c>
      <c r="G41" s="763">
        <f t="shared" ca="1" si="4"/>
        <v>12971.879866887268</v>
      </c>
      <c r="H41" s="763">
        <f t="shared" si="4"/>
        <v>0</v>
      </c>
      <c r="I41" s="763">
        <f t="shared" si="4"/>
        <v>0</v>
      </c>
      <c r="J41" s="763">
        <f t="shared" si="4"/>
        <v>0</v>
      </c>
      <c r="K41" s="763">
        <f t="shared" si="4"/>
        <v>8.0777794328478851</v>
      </c>
      <c r="L41" s="763">
        <f t="shared" si="4"/>
        <v>0</v>
      </c>
      <c r="M41" s="763">
        <f t="shared" ca="1" si="4"/>
        <v>0</v>
      </c>
      <c r="N41" s="763">
        <f t="shared" si="4"/>
        <v>0</v>
      </c>
      <c r="O41" s="763">
        <f t="shared" ca="1" si="4"/>
        <v>0</v>
      </c>
      <c r="P41" s="763">
        <f t="shared" si="4"/>
        <v>0</v>
      </c>
      <c r="Q41" s="764">
        <f t="shared" si="4"/>
        <v>0</v>
      </c>
      <c r="R41" s="765">
        <f t="shared" ca="1" si="4"/>
        <v>45204.089334647797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154.73348360946832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154.73348360946832</v>
      </c>
    </row>
    <row r="45" spans="1:18" ht="15" thickBot="1">
      <c r="A45" s="888" t="s">
        <v>307</v>
      </c>
      <c r="B45" s="898"/>
      <c r="C45" s="727">
        <f ca="1">transport!B18</f>
        <v>5.6590159002313776</v>
      </c>
      <c r="D45" s="727">
        <f>transport!C18</f>
        <v>0</v>
      </c>
      <c r="E45" s="727">
        <f>transport!D18</f>
        <v>20.995000610312285</v>
      </c>
      <c r="F45" s="727">
        <f>transport!E18</f>
        <v>31.134576229324992</v>
      </c>
      <c r="G45" s="727">
        <f>transport!F18</f>
        <v>0</v>
      </c>
      <c r="H45" s="727">
        <f>transport!G18</f>
        <v>13994.564734327972</v>
      </c>
      <c r="I45" s="727">
        <f>transport!H18</f>
        <v>2906.1200128926407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16958.473339960481</v>
      </c>
    </row>
    <row r="46" spans="1:18" ht="15.75" thickBot="1">
      <c r="A46" s="886" t="s">
        <v>230</v>
      </c>
      <c r="B46" s="899"/>
      <c r="C46" s="763">
        <f t="shared" ref="C46:R46" ca="1" si="5">SUM(C43:C45)</f>
        <v>5.6590159002313776</v>
      </c>
      <c r="D46" s="763">
        <f t="shared" ca="1" si="5"/>
        <v>0</v>
      </c>
      <c r="E46" s="763">
        <f t="shared" si="5"/>
        <v>20.995000610312285</v>
      </c>
      <c r="F46" s="763">
        <f t="shared" si="5"/>
        <v>31.134576229324992</v>
      </c>
      <c r="G46" s="763">
        <f t="shared" si="5"/>
        <v>0</v>
      </c>
      <c r="H46" s="763">
        <f t="shared" si="5"/>
        <v>14149.298217937441</v>
      </c>
      <c r="I46" s="763">
        <f t="shared" si="5"/>
        <v>2906.1200128926407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17113.206823569948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237.41956714661794</v>
      </c>
      <c r="D48" s="718">
        <f ca="1">+landbouw!C12</f>
        <v>0</v>
      </c>
      <c r="E48" s="718">
        <f>+landbouw!D12</f>
        <v>154.02432387455653</v>
      </c>
      <c r="F48" s="718">
        <f>+landbouw!E12</f>
        <v>7.7441869613450676</v>
      </c>
      <c r="G48" s="718">
        <f>+landbouw!F12</f>
        <v>1291.011610416901</v>
      </c>
      <c r="H48" s="718">
        <f>+landbouw!G12</f>
        <v>0</v>
      </c>
      <c r="I48" s="718">
        <f>+landbouw!H12</f>
        <v>0</v>
      </c>
      <c r="J48" s="718">
        <f>+landbouw!I12</f>
        <v>0</v>
      </c>
      <c r="K48" s="718">
        <f>+landbouw!J12</f>
        <v>59.526799275290365</v>
      </c>
      <c r="L48" s="718">
        <f>+landbouw!K12</f>
        <v>0</v>
      </c>
      <c r="M48" s="718">
        <f>+landbouw!L12</f>
        <v>0</v>
      </c>
      <c r="N48" s="718">
        <f>+landbouw!M12</f>
        <v>0</v>
      </c>
      <c r="O48" s="718">
        <f>+landbouw!N12</f>
        <v>0</v>
      </c>
      <c r="P48" s="718">
        <f>+landbouw!O12</f>
        <v>0</v>
      </c>
      <c r="Q48" s="719">
        <f>+landbouw!P12</f>
        <v>0</v>
      </c>
      <c r="R48" s="761">
        <f ca="1">SUM(C48:Q48)</f>
        <v>1749.7264876747111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14936.342045295771</v>
      </c>
      <c r="D53" s="773">
        <f t="shared" ref="D53:Q53" ca="1" si="6">D41+D46+D48</f>
        <v>0</v>
      </c>
      <c r="E53" s="773">
        <f t="shared" ca="1" si="6"/>
        <v>15709.503167425533</v>
      </c>
      <c r="F53" s="773">
        <f t="shared" si="6"/>
        <v>2035.2631463287667</v>
      </c>
      <c r="G53" s="773">
        <f t="shared" ca="1" si="6"/>
        <v>14262.891477304169</v>
      </c>
      <c r="H53" s="773">
        <f t="shared" si="6"/>
        <v>14149.298217937441</v>
      </c>
      <c r="I53" s="773">
        <f t="shared" si="6"/>
        <v>2906.1200128926407</v>
      </c>
      <c r="J53" s="773">
        <f t="shared" si="6"/>
        <v>0</v>
      </c>
      <c r="K53" s="773">
        <f t="shared" si="6"/>
        <v>67.604578708138249</v>
      </c>
      <c r="L53" s="773">
        <f t="shared" si="6"/>
        <v>0</v>
      </c>
      <c r="M53" s="773">
        <f t="shared" ca="1" si="6"/>
        <v>0</v>
      </c>
      <c r="N53" s="773">
        <f t="shared" si="6"/>
        <v>0</v>
      </c>
      <c r="O53" s="773">
        <f t="shared" ca="1" si="6"/>
        <v>0</v>
      </c>
      <c r="P53" s="773">
        <f>P41+P46+P48</f>
        <v>0</v>
      </c>
      <c r="Q53" s="774">
        <f t="shared" si="6"/>
        <v>0</v>
      </c>
      <c r="R53" s="775">
        <f ca="1">R41+R46+R48</f>
        <v>64067.022645892459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0.2045555440134392</v>
      </c>
      <c r="D55" s="836">
        <f t="shared" ca="1" si="7"/>
        <v>0</v>
      </c>
      <c r="E55" s="836">
        <f t="shared" ca="1" si="7"/>
        <v>0.20200000000000007</v>
      </c>
      <c r="F55" s="836">
        <f t="shared" si="7"/>
        <v>0.22699999999999998</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5433.2568100887192</v>
      </c>
      <c r="C66" s="795">
        <f>'lokale energieproductie'!B6</f>
        <v>5433.2568100887192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5433.2568100887192</v>
      </c>
      <c r="C69" s="803">
        <f>SUM(C64:C68)</f>
        <v>5433.2568100887192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29812.379449800021</v>
      </c>
      <c r="C4" s="478">
        <f>huishoudens!C8</f>
        <v>0</v>
      </c>
      <c r="D4" s="478">
        <f>huishoudens!D8</f>
        <v>38912.943145106881</v>
      </c>
      <c r="E4" s="478">
        <f>huishoudens!E8</f>
        <v>6529.1950893331432</v>
      </c>
      <c r="F4" s="478">
        <f>huishoudens!F8</f>
        <v>39026.592112051818</v>
      </c>
      <c r="G4" s="478">
        <f>huishoudens!G8</f>
        <v>0</v>
      </c>
      <c r="H4" s="478">
        <f>huishoudens!H8</f>
        <v>0</v>
      </c>
      <c r="I4" s="478">
        <f>huishoudens!I8</f>
        <v>0</v>
      </c>
      <c r="J4" s="478">
        <f>huishoudens!J8</f>
        <v>0</v>
      </c>
      <c r="K4" s="478">
        <f>huishoudens!K8</f>
        <v>0</v>
      </c>
      <c r="L4" s="478">
        <f>huishoudens!L8</f>
        <v>0</v>
      </c>
      <c r="M4" s="478">
        <f>huishoudens!M8</f>
        <v>0</v>
      </c>
      <c r="N4" s="478">
        <f>huishoudens!N8</f>
        <v>16576.354417682036</v>
      </c>
      <c r="O4" s="478">
        <f>huishoudens!O8</f>
        <v>465.87333333333339</v>
      </c>
      <c r="P4" s="479">
        <f>huishoudens!P8</f>
        <v>858</v>
      </c>
      <c r="Q4" s="480">
        <f>SUM(B4:P4)</f>
        <v>132181.33754730722</v>
      </c>
    </row>
    <row r="5" spans="1:17">
      <c r="A5" s="477" t="s">
        <v>156</v>
      </c>
      <c r="B5" s="478">
        <f ca="1">tertiair!B16</f>
        <v>14071.664110196667</v>
      </c>
      <c r="C5" s="478">
        <f ca="1">tertiair!C16</f>
        <v>0</v>
      </c>
      <c r="D5" s="478">
        <f ca="1">tertiair!D16</f>
        <v>12940.073299703176</v>
      </c>
      <c r="E5" s="478">
        <f>tertiair!E16</f>
        <v>250.50837095870659</v>
      </c>
      <c r="F5" s="478">
        <f ca="1">tertiair!F16</f>
        <v>2625.2848033177415</v>
      </c>
      <c r="G5" s="478">
        <f>tertiair!G16</f>
        <v>0</v>
      </c>
      <c r="H5" s="478">
        <f>tertiair!H16</f>
        <v>0</v>
      </c>
      <c r="I5" s="478">
        <f>tertiair!I16</f>
        <v>0</v>
      </c>
      <c r="J5" s="478">
        <f>tertiair!J16</f>
        <v>5.2129563802890556E-2</v>
      </c>
      <c r="K5" s="478">
        <f>tertiair!K16</f>
        <v>0</v>
      </c>
      <c r="L5" s="478">
        <f ca="1">tertiair!L16</f>
        <v>0</v>
      </c>
      <c r="M5" s="478">
        <f>tertiair!M16</f>
        <v>0</v>
      </c>
      <c r="N5" s="478">
        <f ca="1">tertiair!N16</f>
        <v>2059.8004171484154</v>
      </c>
      <c r="O5" s="478">
        <f>tertiair!O16</f>
        <v>1.5633333333333335</v>
      </c>
      <c r="P5" s="479">
        <f>tertiair!P16</f>
        <v>0</v>
      </c>
      <c r="Q5" s="477">
        <f t="shared" ref="Q5:Q13" ca="1" si="0">SUM(B5:P5)</f>
        <v>31948.946464221837</v>
      </c>
    </row>
    <row r="6" spans="1:17">
      <c r="A6" s="477" t="s">
        <v>194</v>
      </c>
      <c r="B6" s="478">
        <f>'openbare verlichting'!B8</f>
        <v>999.64800000000002</v>
      </c>
      <c r="C6" s="478"/>
      <c r="D6" s="478"/>
      <c r="E6" s="478"/>
      <c r="F6" s="478"/>
      <c r="G6" s="478"/>
      <c r="H6" s="478"/>
      <c r="I6" s="478"/>
      <c r="J6" s="478"/>
      <c r="K6" s="478"/>
      <c r="L6" s="478"/>
      <c r="M6" s="478"/>
      <c r="N6" s="478"/>
      <c r="O6" s="478"/>
      <c r="P6" s="479"/>
      <c r="Q6" s="477">
        <f t="shared" si="0"/>
        <v>999.64800000000002</v>
      </c>
    </row>
    <row r="7" spans="1:17">
      <c r="A7" s="477" t="s">
        <v>112</v>
      </c>
      <c r="B7" s="478">
        <f>landbouw!B8</f>
        <v>1160.6606327473562</v>
      </c>
      <c r="C7" s="478">
        <f>landbouw!C8</f>
        <v>0</v>
      </c>
      <c r="D7" s="478">
        <f>landbouw!D8</f>
        <v>762.49665284433922</v>
      </c>
      <c r="E7" s="478">
        <f>landbouw!E8</f>
        <v>34.115361063194129</v>
      </c>
      <c r="F7" s="478">
        <f>landbouw!F8</f>
        <v>4835.2494772168575</v>
      </c>
      <c r="G7" s="478">
        <f>landbouw!G8</f>
        <v>0</v>
      </c>
      <c r="H7" s="478">
        <f>landbouw!H8</f>
        <v>0</v>
      </c>
      <c r="I7" s="478">
        <f>landbouw!I8</f>
        <v>0</v>
      </c>
      <c r="J7" s="478">
        <f>landbouw!J8</f>
        <v>168.15480021268465</v>
      </c>
      <c r="K7" s="478">
        <f>landbouw!K8</f>
        <v>0</v>
      </c>
      <c r="L7" s="478">
        <f>landbouw!L8</f>
        <v>0</v>
      </c>
      <c r="M7" s="478">
        <f>landbouw!M8</f>
        <v>0</v>
      </c>
      <c r="N7" s="478">
        <f>landbouw!N8</f>
        <v>0</v>
      </c>
      <c r="O7" s="478">
        <f>landbouw!O8</f>
        <v>0</v>
      </c>
      <c r="P7" s="479">
        <f>landbouw!P8</f>
        <v>0</v>
      </c>
      <c r="Q7" s="477">
        <f t="shared" si="0"/>
        <v>6960.6769240844314</v>
      </c>
    </row>
    <row r="8" spans="1:17">
      <c r="A8" s="477" t="s">
        <v>635</v>
      </c>
      <c r="B8" s="478">
        <f>industrie!B18</f>
        <v>26946.497805506813</v>
      </c>
      <c r="C8" s="478">
        <f>industrie!C18</f>
        <v>0</v>
      </c>
      <c r="D8" s="478">
        <f>industrie!D18</f>
        <v>25050.368916282332</v>
      </c>
      <c r="E8" s="478">
        <f>industrie!E18</f>
        <v>2014.9413993473424</v>
      </c>
      <c r="F8" s="478">
        <f>industrie!F18</f>
        <v>6931.9428107999847</v>
      </c>
      <c r="G8" s="478">
        <f>industrie!G18</f>
        <v>0</v>
      </c>
      <c r="H8" s="478">
        <f>industrie!H18</f>
        <v>0</v>
      </c>
      <c r="I8" s="478">
        <f>industrie!I18</f>
        <v>0</v>
      </c>
      <c r="J8" s="478">
        <f>industrie!J18</f>
        <v>22.766456404693958</v>
      </c>
      <c r="K8" s="478">
        <f>industrie!K18</f>
        <v>0</v>
      </c>
      <c r="L8" s="478">
        <f>industrie!L18</f>
        <v>0</v>
      </c>
      <c r="M8" s="478">
        <f>industrie!M18</f>
        <v>0</v>
      </c>
      <c r="N8" s="478">
        <f>industrie!N18</f>
        <v>4291.0113797919867</v>
      </c>
      <c r="O8" s="478">
        <f>industrie!O18</f>
        <v>0</v>
      </c>
      <c r="P8" s="479">
        <f>industrie!P18</f>
        <v>0</v>
      </c>
      <c r="Q8" s="477">
        <f t="shared" si="0"/>
        <v>65257.528768133154</v>
      </c>
    </row>
    <row r="9" spans="1:17" s="483" customFormat="1">
      <c r="A9" s="481" t="s">
        <v>561</v>
      </c>
      <c r="B9" s="482">
        <f>transport!B14</f>
        <v>27.664935348120334</v>
      </c>
      <c r="C9" s="482"/>
      <c r="D9" s="482">
        <f>transport!D14</f>
        <v>103.93564658570438</v>
      </c>
      <c r="E9" s="482">
        <f>transport!E14</f>
        <v>137.1567234772026</v>
      </c>
      <c r="F9" s="482"/>
      <c r="G9" s="482">
        <f>transport!G14</f>
        <v>52414.100128569182</v>
      </c>
      <c r="H9" s="482">
        <f>transport!H14</f>
        <v>11671.164710412211</v>
      </c>
      <c r="I9" s="482"/>
      <c r="J9" s="482"/>
      <c r="K9" s="482"/>
      <c r="L9" s="482"/>
      <c r="M9" s="482">
        <f>transport!M14</f>
        <v>3408.7178097028382</v>
      </c>
      <c r="N9" s="482"/>
      <c r="O9" s="482"/>
      <c r="P9" s="482"/>
      <c r="Q9" s="481">
        <f>SUM(B9:P9)</f>
        <v>67762.739954095261</v>
      </c>
    </row>
    <row r="10" spans="1:17">
      <c r="A10" s="477" t="s">
        <v>551</v>
      </c>
      <c r="B10" s="478">
        <f>transport!B54</f>
        <v>0</v>
      </c>
      <c r="C10" s="478"/>
      <c r="D10" s="478">
        <f>transport!D54</f>
        <v>0</v>
      </c>
      <c r="E10" s="478"/>
      <c r="F10" s="478"/>
      <c r="G10" s="478">
        <f>transport!G54</f>
        <v>579.52615584070531</v>
      </c>
      <c r="H10" s="478"/>
      <c r="I10" s="478"/>
      <c r="J10" s="478"/>
      <c r="K10" s="478"/>
      <c r="L10" s="478"/>
      <c r="M10" s="478">
        <f>transport!M54</f>
        <v>32.914527289270254</v>
      </c>
      <c r="N10" s="478"/>
      <c r="O10" s="478"/>
      <c r="P10" s="479"/>
      <c r="Q10" s="477">
        <f t="shared" si="0"/>
        <v>612.44068312997558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73018.514933598984</v>
      </c>
      <c r="C14" s="488">
        <f t="shared" ref="C14:Q14" ca="1" si="1">SUM(C4:C13)</f>
        <v>0</v>
      </c>
      <c r="D14" s="488">
        <f t="shared" ca="1" si="1"/>
        <v>77769.817660522429</v>
      </c>
      <c r="E14" s="488">
        <f t="shared" si="1"/>
        <v>8965.9169441795893</v>
      </c>
      <c r="F14" s="488">
        <f t="shared" ca="1" si="1"/>
        <v>53419.069203386403</v>
      </c>
      <c r="G14" s="488">
        <f t="shared" si="1"/>
        <v>52993.626284409889</v>
      </c>
      <c r="H14" s="488">
        <f t="shared" si="1"/>
        <v>11671.164710412211</v>
      </c>
      <c r="I14" s="488">
        <f t="shared" si="1"/>
        <v>0</v>
      </c>
      <c r="J14" s="488">
        <f t="shared" si="1"/>
        <v>190.9733861811815</v>
      </c>
      <c r="K14" s="488">
        <f t="shared" si="1"/>
        <v>0</v>
      </c>
      <c r="L14" s="488">
        <f t="shared" ca="1" si="1"/>
        <v>0</v>
      </c>
      <c r="M14" s="488">
        <f t="shared" si="1"/>
        <v>3441.6323369921083</v>
      </c>
      <c r="N14" s="488">
        <f t="shared" ca="1" si="1"/>
        <v>22927.166214622437</v>
      </c>
      <c r="O14" s="488">
        <f t="shared" si="1"/>
        <v>467.43666666666672</v>
      </c>
      <c r="P14" s="489">
        <f t="shared" si="1"/>
        <v>858</v>
      </c>
      <c r="Q14" s="489">
        <f t="shared" ca="1" si="1"/>
        <v>305723.31834097189</v>
      </c>
    </row>
    <row r="16" spans="1:17">
      <c r="A16" s="491" t="s">
        <v>556</v>
      </c>
      <c r="B16" s="841">
        <f ca="1">huishoudens!B10</f>
        <v>0.20455554401343914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6098.2874966889167</v>
      </c>
      <c r="C21" s="478">
        <f t="shared" ref="C21:C28" ca="1" si="3">C4*$C$16</f>
        <v>0</v>
      </c>
      <c r="D21" s="478">
        <f t="shared" ref="D21:D30" si="4">D4*$D$16</f>
        <v>7860.4145153115905</v>
      </c>
      <c r="E21" s="478">
        <f t="shared" ref="E21:E30" si="5">E4*$E$16</f>
        <v>1482.1272852786235</v>
      </c>
      <c r="F21" s="478">
        <f t="shared" ref="F21:F28" si="6">F4*$F$16</f>
        <v>10420.100093917836</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25860.929391196965</v>
      </c>
    </row>
    <row r="22" spans="1:17">
      <c r="A22" s="477" t="s">
        <v>156</v>
      </c>
      <c r="B22" s="478">
        <f t="shared" ca="1" si="2"/>
        <v>2878.4369072356662</v>
      </c>
      <c r="C22" s="478">
        <f t="shared" ca="1" si="3"/>
        <v>0</v>
      </c>
      <c r="D22" s="478">
        <f t="shared" ca="1" si="4"/>
        <v>2613.8948065400418</v>
      </c>
      <c r="E22" s="478">
        <f t="shared" si="5"/>
        <v>56.865400207626401</v>
      </c>
      <c r="F22" s="478">
        <f t="shared" ca="1" si="6"/>
        <v>700.95104248583698</v>
      </c>
      <c r="G22" s="478">
        <f t="shared" si="7"/>
        <v>0</v>
      </c>
      <c r="H22" s="478">
        <f t="shared" si="8"/>
        <v>0</v>
      </c>
      <c r="I22" s="478">
        <f t="shared" si="9"/>
        <v>0</v>
      </c>
      <c r="J22" s="478">
        <f t="shared" si="10"/>
        <v>1.8453865586223257E-2</v>
      </c>
      <c r="K22" s="478">
        <f t="shared" si="11"/>
        <v>0</v>
      </c>
      <c r="L22" s="478">
        <f t="shared" ca="1" si="12"/>
        <v>0</v>
      </c>
      <c r="M22" s="478">
        <f t="shared" si="13"/>
        <v>0</v>
      </c>
      <c r="N22" s="478">
        <f t="shared" ca="1" si="14"/>
        <v>0</v>
      </c>
      <c r="O22" s="478">
        <f t="shared" si="15"/>
        <v>0</v>
      </c>
      <c r="P22" s="479">
        <f t="shared" si="16"/>
        <v>0</v>
      </c>
      <c r="Q22" s="477">
        <f t="shared" ref="Q22:Q30" ca="1" si="17">SUM(B22:P22)</f>
        <v>6250.166610334757</v>
      </c>
    </row>
    <row r="23" spans="1:17">
      <c r="A23" s="477" t="s">
        <v>194</v>
      </c>
      <c r="B23" s="478">
        <f t="shared" ca="1" si="2"/>
        <v>204.48354046194643</v>
      </c>
      <c r="C23" s="478"/>
      <c r="D23" s="478"/>
      <c r="E23" s="478"/>
      <c r="F23" s="478"/>
      <c r="G23" s="478"/>
      <c r="H23" s="478"/>
      <c r="I23" s="478"/>
      <c r="J23" s="478"/>
      <c r="K23" s="478"/>
      <c r="L23" s="478"/>
      <c r="M23" s="478"/>
      <c r="N23" s="478"/>
      <c r="O23" s="478"/>
      <c r="P23" s="479"/>
      <c r="Q23" s="477">
        <f t="shared" ca="1" si="17"/>
        <v>204.48354046194643</v>
      </c>
    </row>
    <row r="24" spans="1:17">
      <c r="A24" s="477" t="s">
        <v>112</v>
      </c>
      <c r="B24" s="478">
        <f t="shared" ca="1" si="2"/>
        <v>237.41956714661794</v>
      </c>
      <c r="C24" s="478">
        <f t="shared" ca="1" si="3"/>
        <v>0</v>
      </c>
      <c r="D24" s="478">
        <f t="shared" si="4"/>
        <v>154.02432387455653</v>
      </c>
      <c r="E24" s="478">
        <f t="shared" si="5"/>
        <v>7.7441869613450676</v>
      </c>
      <c r="F24" s="478">
        <f t="shared" si="6"/>
        <v>1291.011610416901</v>
      </c>
      <c r="G24" s="478">
        <f t="shared" si="7"/>
        <v>0</v>
      </c>
      <c r="H24" s="478">
        <f t="shared" si="8"/>
        <v>0</v>
      </c>
      <c r="I24" s="478">
        <f t="shared" si="9"/>
        <v>0</v>
      </c>
      <c r="J24" s="478">
        <f t="shared" si="10"/>
        <v>59.526799275290365</v>
      </c>
      <c r="K24" s="478">
        <f t="shared" si="11"/>
        <v>0</v>
      </c>
      <c r="L24" s="478">
        <f t="shared" si="12"/>
        <v>0</v>
      </c>
      <c r="M24" s="478">
        <f t="shared" si="13"/>
        <v>0</v>
      </c>
      <c r="N24" s="478">
        <f t="shared" si="14"/>
        <v>0</v>
      </c>
      <c r="O24" s="478">
        <f t="shared" si="15"/>
        <v>0</v>
      </c>
      <c r="P24" s="479">
        <f t="shared" si="16"/>
        <v>0</v>
      </c>
      <c r="Q24" s="477">
        <f t="shared" ca="1" si="17"/>
        <v>1749.7264876747111</v>
      </c>
    </row>
    <row r="25" spans="1:17">
      <c r="A25" s="477" t="s">
        <v>635</v>
      </c>
      <c r="B25" s="478">
        <f t="shared" ca="1" si="2"/>
        <v>5512.0555178623899</v>
      </c>
      <c r="C25" s="478">
        <f t="shared" ca="1" si="3"/>
        <v>0</v>
      </c>
      <c r="D25" s="478">
        <f t="shared" si="4"/>
        <v>5060.1745210890313</v>
      </c>
      <c r="E25" s="478">
        <f t="shared" si="5"/>
        <v>457.39169765184675</v>
      </c>
      <c r="F25" s="478">
        <f t="shared" si="6"/>
        <v>1850.828730483596</v>
      </c>
      <c r="G25" s="478">
        <f t="shared" si="7"/>
        <v>0</v>
      </c>
      <c r="H25" s="478">
        <f t="shared" si="8"/>
        <v>0</v>
      </c>
      <c r="I25" s="478">
        <f t="shared" si="9"/>
        <v>0</v>
      </c>
      <c r="J25" s="478">
        <f t="shared" si="10"/>
        <v>8.059325567261661</v>
      </c>
      <c r="K25" s="478">
        <f t="shared" si="11"/>
        <v>0</v>
      </c>
      <c r="L25" s="478">
        <f t="shared" si="12"/>
        <v>0</v>
      </c>
      <c r="M25" s="478">
        <f t="shared" si="13"/>
        <v>0</v>
      </c>
      <c r="N25" s="478">
        <f t="shared" si="14"/>
        <v>0</v>
      </c>
      <c r="O25" s="478">
        <f t="shared" si="15"/>
        <v>0</v>
      </c>
      <c r="P25" s="479">
        <f t="shared" si="16"/>
        <v>0</v>
      </c>
      <c r="Q25" s="477">
        <f t="shared" ca="1" si="17"/>
        <v>12888.509792654124</v>
      </c>
    </row>
    <row r="26" spans="1:17" s="483" customFormat="1">
      <c r="A26" s="481" t="s">
        <v>561</v>
      </c>
      <c r="B26" s="835">
        <f t="shared" ca="1" si="2"/>
        <v>5.6590159002313776</v>
      </c>
      <c r="C26" s="482"/>
      <c r="D26" s="482">
        <f t="shared" si="4"/>
        <v>20.995000610312285</v>
      </c>
      <c r="E26" s="482">
        <f t="shared" si="5"/>
        <v>31.134576229324992</v>
      </c>
      <c r="F26" s="482"/>
      <c r="G26" s="482">
        <f t="shared" si="7"/>
        <v>13994.564734327972</v>
      </c>
      <c r="H26" s="482">
        <f t="shared" si="8"/>
        <v>2906.1200128926407</v>
      </c>
      <c r="I26" s="482"/>
      <c r="J26" s="482"/>
      <c r="K26" s="482"/>
      <c r="L26" s="482"/>
      <c r="M26" s="482">
        <f t="shared" si="13"/>
        <v>0</v>
      </c>
      <c r="N26" s="482"/>
      <c r="O26" s="482"/>
      <c r="P26" s="493"/>
      <c r="Q26" s="481">
        <f t="shared" ca="1" si="17"/>
        <v>16958.473339960481</v>
      </c>
    </row>
    <row r="27" spans="1:17">
      <c r="A27" s="477" t="s">
        <v>551</v>
      </c>
      <c r="B27" s="478">
        <f t="shared" ca="1" si="2"/>
        <v>0</v>
      </c>
      <c r="C27" s="478"/>
      <c r="D27" s="482">
        <f t="shared" si="4"/>
        <v>0</v>
      </c>
      <c r="E27" s="478"/>
      <c r="F27" s="478"/>
      <c r="G27" s="478">
        <f t="shared" si="7"/>
        <v>154.73348360946832</v>
      </c>
      <c r="H27" s="478"/>
      <c r="I27" s="478"/>
      <c r="J27" s="478"/>
      <c r="K27" s="478"/>
      <c r="L27" s="478"/>
      <c r="M27" s="478">
        <f t="shared" si="13"/>
        <v>0</v>
      </c>
      <c r="N27" s="478"/>
      <c r="O27" s="478"/>
      <c r="P27" s="479"/>
      <c r="Q27" s="477">
        <f t="shared" ca="1" si="17"/>
        <v>154.73348360946832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14936.342045295771</v>
      </c>
      <c r="C31" s="488">
        <f t="shared" ca="1" si="18"/>
        <v>0</v>
      </c>
      <c r="D31" s="488">
        <f t="shared" ca="1" si="18"/>
        <v>15709.503167425533</v>
      </c>
      <c r="E31" s="488">
        <f t="shared" si="18"/>
        <v>2035.2631463287667</v>
      </c>
      <c r="F31" s="488">
        <f t="shared" ca="1" si="18"/>
        <v>14262.891477304169</v>
      </c>
      <c r="G31" s="488">
        <f t="shared" si="18"/>
        <v>14149.298217937441</v>
      </c>
      <c r="H31" s="488">
        <f t="shared" si="18"/>
        <v>2906.1200128926407</v>
      </c>
      <c r="I31" s="488">
        <f t="shared" si="18"/>
        <v>0</v>
      </c>
      <c r="J31" s="488">
        <f t="shared" si="18"/>
        <v>67.604578708138249</v>
      </c>
      <c r="K31" s="488">
        <f t="shared" si="18"/>
        <v>0</v>
      </c>
      <c r="L31" s="488">
        <f t="shared" ca="1" si="18"/>
        <v>0</v>
      </c>
      <c r="M31" s="488">
        <f t="shared" si="18"/>
        <v>0</v>
      </c>
      <c r="N31" s="488">
        <f t="shared" ca="1" si="18"/>
        <v>0</v>
      </c>
      <c r="O31" s="488">
        <f t="shared" si="18"/>
        <v>0</v>
      </c>
      <c r="P31" s="489">
        <f t="shared" si="18"/>
        <v>0</v>
      </c>
      <c r="Q31" s="489">
        <f t="shared" ca="1" si="18"/>
        <v>64067.022645892452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0.20455554401343914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0.20455554401343914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0.20455554401343914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2019-01-01T21:21:02Z</dcterms:modified>
</cp:coreProperties>
</file>