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<sst xmlns="http://schemas.openxmlformats.org/spreadsheetml/2006/main" count="2099" uniqueCount="844">
  <si>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</si>
  <si>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</si>
  <si>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</si>
  <si>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</si>
  <si>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</si>
  <si>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</si>
  <si>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</si>
  <si>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</si>
  <si>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</si>
  <si>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</si>
  <si>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</si>
  <si>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</si>
  <si>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</si>
  <si>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</si>
  <si>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</si>
  <si>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</si>
  <si>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</si>
  <si>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</si>
  <si>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</si>
  <si>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</si>
  <si>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</si>
  <si>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</si>
  <si>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</si>
  <si>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</si>
  <si>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</si>
  <si>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</si>
  <si>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</si>
  <si>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</si>
  <si>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</si>
  <si>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</si>
  <si>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</si>
  <si>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</si>
  <si>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</si>
  <si>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</si>
  <si>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</si>
  <si>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</si>
  <si>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</si>
  <si>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</si>
  <si>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</si>
  <si>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</si>
  <si>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</si>
  <si>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</si>
  <si>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</si>
  <si>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</si>
  <si>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</si>
  <si>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</si>
  <si>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</si>
  <si>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</si>
  <si>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</si>
  <si>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</si>
  <si>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</si>
  <si>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</si>
  <si>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</si>
  <si>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</si>
  <si>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</si>
  <si>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</si>
  <si>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</si>
  <si>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</si>
  <si>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</si>
  <si>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</si>
  <si>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</si>
  <si>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</si>
  <si>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</si>
  <si>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</si>
  <si>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</si>
  <si>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</si>
  <si>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</si>
  <si>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</si>
  <si>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</si>
  <si>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</si>
  <si>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</si>
  <si>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</si>
  <si>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</si>
  <si>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</si>
  <si>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</si>
  <si>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</si>
  <si>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</si>
  <si>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</si>
  <si>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</si>
  <si>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</si>
  <si>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</si>
  <si>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</si>
  <si>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</si>
  <si>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</si>
  <si>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</si>
  <si>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</si>
  <si>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</si>
  <si>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</si>
  <si>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</si>
  <si>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</si>
  <si>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</si>
  <si>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</si>
  <si>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</si>
  <si>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</si>
  <si>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</si>
  <si>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</si>
  <si>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</si>
  <si>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</si>
  <si>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</si>
  <si>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</si>
  <si>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</si>
  <si>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</si>
  <si>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</si>
  <si>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</si>
  <si>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</si>
  <si>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</si>
  <si>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</si>
  <si>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</si>
  <si>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</si>
  <si>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</si>
  <si>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</si>
  <si>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</si>
  <si>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</si>
  <si>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</si>
  <si>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</si>
  <si>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</si>
  <si>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</si>
  <si>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</si>
  <si>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</si>
  <si>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</si>
  <si>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</si>
  <si>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</si>
  <si>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</si>
  <si>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</si>
  <si>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</si>
  <si>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</si>
  <si>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</si>
  <si>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</si>
  <si>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</si>
  <si>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</si>
  <si>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</si>
  <si>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</si>
  <si>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</si>
  <si>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</si>
  <si>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</si>
  <si>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</si>
  <si>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</si>
  <si>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</si>
  <si>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</si>
  <si>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</si>
  <si>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</si>
  <si>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</si>
  <si>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</si>
  <si>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</si>
  <si>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</si>
  <si>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</si>
  <si>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</si>
  <si>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</si>
  <si>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</si>
  <si>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</si>
  <si>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</si>
  <si>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</si>
  <si>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</si>
  <si>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</si>
  <si>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</si>
  <si>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</si>
  <si>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</si>
  <si>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</si>
  <si>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</si>
  <si>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</si>
  <si>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</si>
  <si>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</si>
  <si>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</si>
  <si>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</si>
  <si>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</si>
  <si>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</si>
  <si>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</si>
  <si>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</si>
  <si>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</si>
  <si>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</si>
  <si>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</si>
  <si>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</si>
  <si>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</si>
  <si>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</si>
  <si>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</si>
  <si>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</si>
  <si>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</si>
  <si>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</si>
  <si>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</si>
  <si>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</si>
  <si>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</si>
  <si>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</si>
  <si>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</si>
  <si>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</si>
  <si>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</si>
  <si>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</si>
  <si>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</si>
  <si>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</si>
  <si>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</si>
  <si>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</si>
  <si>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</si>
  <si>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</si>
  <si>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</si>
  <si>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</si>
  <si>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</si>
  <si>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</si>
  <si>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</si>
  <si>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</si>
  <si>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</si>
  <si>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</si>
  <si>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</si>
  <si>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</si>
  <si>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</si>
  <si>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</si>
  <si>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</si>
  <si>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</si>
  <si>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</si>
  <si>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</si>
  <si>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</si>
  <si>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</si>
  <si>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</si>
  <si>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</si>
  <si>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</si>
  <si>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</si>
  <si>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</si>
  <si>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</si>
  <si>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</si>
  <si>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</si>
  <si>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</si>
  <si>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</si>
  <si>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</si>
  <si>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</si>
  <si>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</si>
  <si>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</si>
  <si>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</si>
  <si>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</si>
  <si>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</si>
  <si>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</si>
  <si>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</si>
  <si>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</si>
  <si>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</si>
  <si>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</si>
  <si>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</si>
  <si>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</si>
  <si>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</si>
  <si>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</si>
  <si>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</si>
  <si>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</si>
  <si>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</si>
  <si>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</si>
  <si>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</si>
  <si>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</si>
  <si>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</si>
  <si>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</si>
  <si>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</si>
  <si>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</si>
  <si>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</si>
  <si>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</si>
  <si>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</si>
  <si>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</si>
  <si>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</si>
  <si>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</si>
  <si>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</si>
  <si>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</si>
  <si>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</si>
  <si>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</si>
  <si>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</si>
  <si>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</si>
  <si>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</si>
  <si>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</si>
  <si>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</si>
  <si>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</si>
  <si>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</si>
  <si>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</si>
  <si>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</si>
  <si>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</si>
  <si>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</si>
  <si>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</si>
  <si>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</si>
  <si>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</si>
  <si>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</si>
  <si>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</si>
  <si>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</si>
  <si>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</si>
  <si>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</si>
  <si>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</si>
  <si>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</si>
  <si>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</si>
  <si>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</si>
  <si>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</si>
  <si>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</si>
  <si>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</si>
  <si>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</si>
  <si>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</si>
  <si>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</si>
  <si>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</si>
  <si>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</si>
  <si>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</si>
  <si>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</si>
  <si>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</si>
  <si>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</si>
  <si>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</si>
  <si>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</si>
  <si>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</si>
  <si>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</si>
  <si>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</si>
  <si>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</si>
  <si>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</si>
  <si>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</si>
  <si>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</si>
  <si>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</si>
  <si>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</si>
  <si>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</si>
  <si>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</si>
  <si>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</si>
  <si>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</si>
  <si>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</si>
  <si>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</si>
  <si>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</si>
  <si>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</si>
  <si>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</si>
  <si>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</si>
  <si>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</si>
  <si>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</si>
  <si>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</si>
  <si>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</si>
  <si>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</si>
  <si>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</si>
  <si>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</si>
  <si>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</si>
  <si>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</si>
  <si>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</si>
  <si>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</si>
  <si>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</si>
  <si>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</si>
  <si>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</si>
  <si>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</si>
  <si>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</si>
  <si>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</si>
  <si>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</si>
  <si>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</si>
  <si>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</si>
  <si>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</si>
  <si>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</si>
  <si>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</si>
  <si>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</si>
  <si>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</si>
  <si>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</si>
  <si>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</si>
  <si>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</si>
  <si>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</si>
  <si>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</si>
  <si>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</si>
  <si>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</si>
  <si>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</si>
  <si>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</si>
  <si>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</si>
  <si>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</si>
  <si>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</si>
  <si>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</si>
  <si>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</si>
  <si>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</si>
  <si>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</si>
  <si>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</si>
  <si>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</si>
  <si>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</si>
  <si>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</si>
  <si>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</si>
  <si>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</si>
  <si>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</si>
  <si>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</si>
  <si>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</si>
  <si>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</si>
  <si>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</si>
  <si>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</si>
  <si>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</si>
  <si>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</si>
  <si>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</si>
  <si>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</si>
  <si>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</si>
  <si>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</si>
  <si>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</si>
  <si>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</si>
  <si>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</si>
  <si>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</si>
  <si>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</si>
  <si>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</si>
  <si>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</si>
  <si>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</si>
  <si>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</si>
  <si>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</si>
  <si>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</si>
  <si>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</si>
  <si>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</si>
  <si>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</si>
  <si>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</si>
  <si>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</si>
  <si>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</si>
  <si>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</si>
  <si>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</si>
  <si>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</si>
  <si>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</si>
  <si>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</si>
  <si>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</si>
  <si>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</si>
  <si>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</si>
  <si>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</si>
  <si>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</si>
  <si>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</si>
  <si>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</si>
  <si>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</si>
  <si>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</si>
  <si>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</si>
  <si>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</si>
  <si>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</si>
  <si>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</si>
  <si>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</si>
  <si>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</si>
  <si>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</si>
  <si>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</si>
  <si>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</si>
  <si>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</si>
  <si>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</si>
  <si>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</si>
  <si>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</si>
  <si>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</si>
  <si>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</si>
  <si>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</si>
  <si>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</si>
  <si>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</si>
  <si>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</si>
  <si>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</si>
  <si>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</si>
  <si>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</si>
  <si>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</si>
  <si>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</si>
  <si>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</si>
  <si>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</si>
  <si>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</si>
  <si>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</si>
  <si>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</si>
  <si>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</si>
  <si>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</si>
  <si>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</si>
  <si>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</si>
  <si>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</si>
  <si>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</si>
  <si>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</si>
  <si>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</si>
  <si>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</si>
  <si>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</si>
  <si>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</si>
  <si>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</si>
  <si>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</si>
  <si>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</si>
  <si>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</si>
  <si>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</si>
  <si>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</si>
  <si>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</si>
  <si>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</si>
  <si>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</si>
  <si>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</si>
  <si>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</si>
  <si>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</si>
  <si>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</si>
  <si>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</si>
  <si>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</si>
  <si>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</si>
  <si>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</si>
  <si>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</si>
  <si>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</si>
  <si>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</si>
  <si>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</si>
  <si>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</si>
  <si>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</si>
  <si>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</si>
  <si>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</si>
  <si>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</si>
  <si>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</si>
  <si>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</si>
  <si>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</si>
  <si>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</si>
  <si>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</si>
  <si>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</si>
  <si>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</si>
  <si>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</si>
  <si>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</si>
  <si>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</si>
  <si>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</si>
  <si>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</si>
  <si>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</si>
  <si>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</si>
  <si>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</si>
  <si>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</si>
  <si>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</si>
  <si>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</si>
  <si>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</si>
  <si>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</si>
  <si>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</si>
  <si>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</si>
  <si>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</si>
  <si>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</si>
  <si>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</si>
  <si>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</si>
  <si>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</si>
  <si>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</si>
  <si>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</si>
  <si>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</si>
  <si>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</si>
  <si>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</si>
  <si>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</si>
  <si>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</si>
  <si>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</si>
  <si>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</si>
  <si>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</si>
  <si>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</si>
  <si>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</si>
  <si>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</si>
  <si>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</si>
  <si>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</si>
  <si>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</si>
  <si>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</si>
  <si>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</si>
  <si>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</si>
  <si>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</si>
  <si>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</si>
  <si>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</si>
  <si>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</si>
  <si>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</si>
  <si>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</si>
  <si>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</si>
  <si>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</si>
  <si>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</si>
  <si>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</si>
  <si>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</si>
  <si>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</si>
  <si>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</si>
  <si>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</si>
  <si>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</si>
  <si>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</si>
  <si>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</si>
  <si>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</si>
  <si>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</si>
  <si>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</si>
  <si>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</si>
  <si>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</si>
  <si>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</si>
  <si>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</si>
  <si>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</si>
  <si>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</si>
  <si>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</si>
  <si>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</si>
  <si>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</si>
  <si>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</si>
  <si>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</si>
  <si>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</si>
  <si>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</si>
  <si>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</si>
  <si>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</si>
  <si>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</si>
  <si>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</si>
  <si>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</si>
  <si>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</si>
  <si>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</si>
  <si>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</si>
  <si>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</si>
  <si>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</si>
  <si>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</si>
  <si>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</si>
  <si>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</si>
  <si>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</si>
  <si>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</si>
  <si>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</si>
  <si>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</si>
  <si>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</si>
  <si>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</si>
  <si>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</si>
  <si>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</si>
  <si>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</si>
  <si>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</si>
  <si>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</si>
  <si>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</si>
  <si>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</si>
  <si>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</si>
  <si>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</si>
  <si>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</si>
  <si>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</si>
  <si>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</si>
  <si>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</si>
  <si>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</si>
  <si>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</si>
  <si>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</si>
  <si>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</si>
  <si>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</si>
  <si>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</si>
  <si>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</si>
  <si>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</si>
  <si>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</si>
  <si>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</si>
  <si>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</si>
  <si>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</si>
  <si>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</si>
  <si>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</si>
  <si>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</si>
  <si>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</si>
  <si>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</si>
  <si>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</si>
  <si>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</si>
  <si>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</si>
  <si>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</si>
  <si>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</si>
  <si>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</si>
  <si>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</si>
  <si>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</si>
  <si>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</si>
  <si>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</si>
  <si>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</si>
  <si>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</si>
  <si>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</si>
  <si>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</si>
  <si>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</si>
  <si>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</si>
  <si>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</si>
  <si>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</si>
  <si>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</si>
  <si>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</si>
  <si>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</si>
  <si>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</si>
  <si>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</si>
  <si>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</si>
  <si>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</si>
  <si>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</si>
  <si>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</si>
  <si>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</si>
  <si>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</si>
  <si>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</si>
  <si>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</si>
  <si>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</si>
  <si>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</si>
  <si>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</si>
  <si>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</si>
  <si>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</si>
  <si>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</si>
  <si>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</si>
  <si>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</si>
  <si>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</si>
  <si>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</si>
  <si>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</si>
  <si>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</si>
  <si>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</si>
  <si>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</si>
  <si>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</si>
  <si>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</si>
  <si>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</si>
  <si>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</si>
  <si>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</si>
  <si>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</si>
  <si>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</si>
  <si>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</si>
  <si>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</si>
  <si>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</si>
  <si>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</si>
  <si>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</si>
  <si>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</si>
  <si>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</si>
  <si>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</si>
  <si>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</si>
  <si>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</si>
  <si>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</si>
  <si>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</si>
  <si>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</si>
  <si>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</si>
  <si>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</si>
  <si>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</si>
  <si>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</si>
  <si>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</si>
  <si>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</si>
  <si>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</si>
  <si>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</si>
  <si>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</si>
  <si>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</si>
  <si>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</si>
  <si>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</si>
  <si>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</si>
  <si>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</si>
  <si>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</si>
  <si>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</si>
  <si>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</si>
  <si>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</si>
  <si>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</si>
  <si>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</si>
  <si>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</si>
  <si>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</si>
  <si>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</si>
  <si>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</si>
  <si>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</si>
  <si>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</si>
  <si>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</si>
  <si>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</si>
  <si>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</si>
  <si>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</si>
  <si>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</si>
  <si>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</si>
  <si>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</si>
  <si>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</si>
  <si>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</si>
  <si>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</si>
  <si>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</si>
  <si>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</si>
  <si>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</si>
  <si>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</si>
  <si>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</si>
  <si>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</si>
  <si>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</si>
  <si>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</si>
  <si>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</si>
  <si>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</si>
  <si>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</si>
  <si>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</si>
  <si>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</si>
  <si>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</si>
  <si>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</si>
  <si>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</si>
  <si>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</si>
  <si>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</si>
  <si>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</si>
  <si>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</si>
  <si>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</si>
  <si>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</si>
  <si>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</si>
  <si>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</si>
  <si>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</si>
  <si>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</si>
  <si>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</si>
  <si>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</si>
  <si>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</si>
  <si>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</si>
  <si>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</si>
  <si>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</si>
  <si>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</si>
  <si>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</si>
  <si>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</si>
  <si>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</si>
  <si>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</si>
  <si>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</si>
  <si>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</si>
  <si>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</si>
  <si>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</si>
  <si>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</si>
  <si>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</si>
  <si>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</si>
  <si>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</si>
  <si>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</si>
  <si>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</si>
  <si>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</si>
  <si>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</si>
  <si>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</si>
  <si>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</si>
  <si>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</si>
  <si>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</si>
  <si>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</si>
  <si>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</si>
  <si>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</si>
  <si>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</si>
  <si>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</si>
  <si>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</si>
  <si>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</si>
  <si>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</si>
  <si>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</si>
  <si>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</si>
  <si>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</si>
  <si>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</si>
  <si>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</si>
  <si>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</si>
  <si>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</si>
  <si>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</si>
  <si>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</si>
  <si>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</si>
  <si>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</si>
  <si>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</si>
  <si>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</si>
  <si>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</si>
  <si>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</si>
  <si>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</si>
  <si>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</si>
  <si>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</si>
  <si>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</si>
  <si>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</si>
  <si>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</si>
  <si>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</si>
  <si>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</si>
  <si>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</si>
  <si>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</si>
  <si>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</si>
  <si>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</si>
  <si>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</si>
  <si>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</si>
  <si>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</si>
  <si>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</si>
  <si>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</si>
  <si>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</si>
  <si>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</si>
  <si>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</si>
  <si>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</si>
  <si>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</si>
  <si>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</si>
  <si>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</si>
  <si>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</si>
  <si>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</si>
  <si>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</si>
  <si>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</si>
  <si>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</si>
  <si>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</si>
  <si>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</si>
  <si>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</si>
  <si>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</si>
  <si>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</si>
  <si>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</si>
  <si>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</si>
  <si>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</si>
  <si>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</si>
  <si>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</si>
  <si>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</si>
  <si>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</si>
  <si>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</si>
  <si>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</si>
  <si>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</si>
  <si>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</si>
  <si>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</si>
  <si>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</si>
  <si>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</si>
  <si>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</si>
  <si>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</si>
  <si>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</si>
  <si>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</si>
  <si>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</si>
  <si>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</si>
  <si>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</si>
  <si>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</si>
  <si>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</si>
  <si>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</si>
  <si>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</si>
  <si>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</si>
  <si>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</si>
  <si>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</si>
  <si>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</si>
  <si>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44064</t>
  </si>
  <si>
    <t>SINT-MARTENS-LATEM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</si>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</sst>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85899.024330680069</c:v>
                </c:pt>
                <c:pt idx="1">
                  <c:v>39793.654960276093</c:v>
                </c:pt>
                <c:pt idx="2">
                  <c:v>586.02700000000004</c:v>
                </c:pt>
                <c:pt idx="3">
                  <c:v>2226.3864749116506</c:v>
                </c:pt>
                <c:pt idx="4">
                  <c:v>6005.7401606319672</c:v>
                </c:pt>
                <c:pt idx="5">
                  <c:v>43965.152675718185</c:v>
                </c:pt>
                <c:pt idx="6">
                  <c:v>661.61380656242306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85899.024330680069</c:v>
                </c:pt>
                <c:pt idx="1">
                  <c:v>39793.654960276093</c:v>
                </c:pt>
                <c:pt idx="2">
                  <c:v>586.02700000000004</c:v>
                </c:pt>
                <c:pt idx="3">
                  <c:v>2226.3864749116506</c:v>
                </c:pt>
                <c:pt idx="4">
                  <c:v>6005.7401606319672</c:v>
                </c:pt>
                <c:pt idx="5">
                  <c:v>43965.152675718185</c:v>
                </c:pt>
                <c:pt idx="6">
                  <c:v>661.61380656242306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19208.649694995918</c:v>
                </c:pt>
                <c:pt idx="1">
                  <c:v>8265.7725034824307</c:v>
                </c:pt>
                <c:pt idx="2">
                  <c:v>126.11575829956317</c:v>
                </c:pt>
                <c:pt idx="3">
                  <c:v>512.48782631418442</c:v>
                </c:pt>
                <c:pt idx="4">
                  <c:v>1182.5678869739932</c:v>
                </c:pt>
                <c:pt idx="5">
                  <c:v>11008.007477660387</c:v>
                </c:pt>
                <c:pt idx="6">
                  <c:v>167.15710094621244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19208.649694995918</c:v>
                </c:pt>
                <c:pt idx="1">
                  <c:v>8265.7725034824307</c:v>
                </c:pt>
                <c:pt idx="2">
                  <c:v>126.11575829956317</c:v>
                </c:pt>
                <c:pt idx="3">
                  <c:v>512.48782631418442</c:v>
                </c:pt>
                <c:pt idx="4">
                  <c:v>1182.5678869739932</c:v>
                </c:pt>
                <c:pt idx="5">
                  <c:v>11008.007477660387</c:v>
                </c:pt>
                <c:pt idx="6">
                  <c:v>167.15710094621244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386.42</v>
      </c>
    </row>
    <row r="15" spans="1:6">
      <c r="A15" s="348" t="s">
        <v>184</v>
      </c>
      <c r="B15" s="334">
        <v>0</v>
      </c>
    </row>
    <row r="16" spans="1:6">
      <c r="A16" s="348" t="s">
        <v>6</v>
      </c>
      <c r="B16" s="334">
        <v>0</v>
      </c>
    </row>
    <row r="17" spans="1:6">
      <c r="A17" s="348" t="s">
        <v>7</v>
      </c>
      <c r="B17" s="334">
        <v>13</v>
      </c>
    </row>
    <row r="18" spans="1:6">
      <c r="A18" s="348" t="s">
        <v>8</v>
      </c>
      <c r="B18" s="334">
        <v>12</v>
      </c>
    </row>
    <row r="19" spans="1:6">
      <c r="A19" s="348" t="s">
        <v>9</v>
      </c>
      <c r="B19" s="334">
        <v>16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26</v>
      </c>
    </row>
    <row r="27" spans="1:6">
      <c r="A27" s="348" t="s">
        <v>17</v>
      </c>
      <c r="B27" s="334">
        <v>0</v>
      </c>
    </row>
    <row r="28" spans="1:6" s="356" customFormat="1">
      <c r="A28" s="355" t="s">
        <v>18</v>
      </c>
      <c r="B28" s="355">
        <v>0</v>
      </c>
    </row>
    <row r="29" spans="1:6">
      <c r="A29" s="355" t="s">
        <v>744</v>
      </c>
      <c r="B29" s="355">
        <v>88</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23261.746311941999</v>
      </c>
    </row>
    <row r="39" spans="1:6">
      <c r="A39" s="348" t="s">
        <v>30</v>
      </c>
      <c r="B39" s="348" t="s">
        <v>31</v>
      </c>
      <c r="C39" s="334">
        <v>1304</v>
      </c>
      <c r="D39" s="334">
        <v>30190890.900577899</v>
      </c>
      <c r="E39" s="334">
        <v>3107</v>
      </c>
      <c r="F39" s="334">
        <v>18942986.587678999</v>
      </c>
    </row>
    <row r="40" spans="1:6">
      <c r="A40" s="348" t="s">
        <v>30</v>
      </c>
      <c r="B40" s="348" t="s">
        <v>29</v>
      </c>
      <c r="C40" s="334">
        <v>0</v>
      </c>
      <c r="D40" s="334">
        <v>0</v>
      </c>
      <c r="E40" s="334">
        <v>0</v>
      </c>
      <c r="F40" s="334">
        <v>0</v>
      </c>
    </row>
    <row r="41" spans="1:6">
      <c r="A41" s="348" t="s">
        <v>32</v>
      </c>
      <c r="B41" s="348" t="s">
        <v>33</v>
      </c>
      <c r="C41" s="334">
        <v>26</v>
      </c>
      <c r="D41" s="334">
        <v>1119652.53974188</v>
      </c>
      <c r="E41" s="334">
        <v>76</v>
      </c>
      <c r="F41" s="334">
        <v>1136009.5689097799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55194.645771000804</v>
      </c>
    </row>
    <row r="48" spans="1:6">
      <c r="A48" s="348" t="s">
        <v>32</v>
      </c>
      <c r="B48" s="348" t="s">
        <v>29</v>
      </c>
      <c r="C48" s="334">
        <v>21</v>
      </c>
      <c r="D48" s="334">
        <v>517148.16197098402</v>
      </c>
      <c r="E48" s="334">
        <v>31</v>
      </c>
      <c r="F48" s="334">
        <v>473107.32133801002</v>
      </c>
    </row>
    <row r="49" spans="1:6">
      <c r="A49" s="348" t="s">
        <v>32</v>
      </c>
      <c r="B49" s="348" t="s">
        <v>40</v>
      </c>
      <c r="C49" s="334">
        <v>0</v>
      </c>
      <c r="D49" s="334">
        <v>0</v>
      </c>
      <c r="E49" s="334">
        <v>3</v>
      </c>
      <c r="F49" s="334">
        <v>90536.294996359997</v>
      </c>
    </row>
    <row r="50" spans="1:6">
      <c r="A50" s="348" t="s">
        <v>32</v>
      </c>
      <c r="B50" s="348" t="s">
        <v>41</v>
      </c>
      <c r="C50" s="334">
        <v>3</v>
      </c>
      <c r="D50" s="334">
        <v>255646.930484176</v>
      </c>
      <c r="E50" s="334">
        <v>7</v>
      </c>
      <c r="F50" s="334">
        <v>457977.84239005297</v>
      </c>
    </row>
    <row r="51" spans="1:6">
      <c r="A51" s="348" t="s">
        <v>42</v>
      </c>
      <c r="B51" s="348" t="s">
        <v>43</v>
      </c>
      <c r="C51" s="334">
        <v>0</v>
      </c>
      <c r="D51" s="334">
        <v>0</v>
      </c>
      <c r="E51" s="334">
        <v>11</v>
      </c>
      <c r="F51" s="334">
        <v>125224.959174937</v>
      </c>
    </row>
    <row r="52" spans="1:6">
      <c r="A52" s="348" t="s">
        <v>42</v>
      </c>
      <c r="B52" s="348" t="s">
        <v>29</v>
      </c>
      <c r="C52" s="334">
        <v>3</v>
      </c>
      <c r="D52" s="334">
        <v>59417.440622804097</v>
      </c>
      <c r="E52" s="334">
        <v>11</v>
      </c>
      <c r="F52" s="334">
        <v>79365.951774803601</v>
      </c>
    </row>
    <row r="53" spans="1:6">
      <c r="A53" s="348" t="s">
        <v>44</v>
      </c>
      <c r="B53" s="348" t="s">
        <v>45</v>
      </c>
      <c r="C53" s="334">
        <v>57</v>
      </c>
      <c r="D53" s="334">
        <v>1197596.4211684901</v>
      </c>
      <c r="E53" s="334">
        <v>162</v>
      </c>
      <c r="F53" s="334">
        <v>943481.64628906304</v>
      </c>
    </row>
    <row r="54" spans="1:6">
      <c r="A54" s="348" t="s">
        <v>46</v>
      </c>
      <c r="B54" s="348" t="s">
        <v>47</v>
      </c>
      <c r="C54" s="334">
        <v>0</v>
      </c>
      <c r="D54" s="334">
        <v>0</v>
      </c>
      <c r="E54" s="334">
        <v>2</v>
      </c>
      <c r="F54" s="334">
        <v>586027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249550.411028036</v>
      </c>
      <c r="E57" s="334">
        <v>35</v>
      </c>
      <c r="F57" s="334">
        <v>625234.26498495496</v>
      </c>
    </row>
    <row r="58" spans="1:6">
      <c r="A58" s="348" t="s">
        <v>49</v>
      </c>
      <c r="B58" s="348" t="s">
        <v>51</v>
      </c>
      <c r="C58" s="334">
        <v>23</v>
      </c>
      <c r="D58" s="334">
        <v>969983.41973412305</v>
      </c>
      <c r="E58" s="334">
        <v>63</v>
      </c>
      <c r="F58" s="334">
        <v>949868.94196333794</v>
      </c>
    </row>
    <row r="59" spans="1:6">
      <c r="A59" s="348" t="s">
        <v>49</v>
      </c>
      <c r="B59" s="348" t="s">
        <v>52</v>
      </c>
      <c r="C59" s="334">
        <v>60</v>
      </c>
      <c r="D59" s="334">
        <v>2972602.2842877898</v>
      </c>
      <c r="E59" s="334">
        <v>156</v>
      </c>
      <c r="F59" s="334">
        <v>3599989.1006026599</v>
      </c>
    </row>
    <row r="60" spans="1:6">
      <c r="A60" s="348" t="s">
        <v>49</v>
      </c>
      <c r="B60" s="348" t="s">
        <v>53</v>
      </c>
      <c r="C60" s="334">
        <v>37</v>
      </c>
      <c r="D60" s="334">
        <v>2956261.0543169701</v>
      </c>
      <c r="E60" s="334">
        <v>73</v>
      </c>
      <c r="F60" s="334">
        <v>2650165.39669907</v>
      </c>
    </row>
    <row r="61" spans="1:6">
      <c r="A61" s="348" t="s">
        <v>49</v>
      </c>
      <c r="B61" s="348" t="s">
        <v>54</v>
      </c>
      <c r="C61" s="334">
        <v>166</v>
      </c>
      <c r="D61" s="334">
        <v>6928356.7775514498</v>
      </c>
      <c r="E61" s="334">
        <v>449</v>
      </c>
      <c r="F61" s="334">
        <v>5700732.4059570599</v>
      </c>
    </row>
    <row r="62" spans="1:6">
      <c r="A62" s="348" t="s">
        <v>49</v>
      </c>
      <c r="B62" s="348" t="s">
        <v>55</v>
      </c>
      <c r="C62" s="334">
        <v>0</v>
      </c>
      <c r="D62" s="334">
        <v>0</v>
      </c>
      <c r="E62" s="334">
        <v>4</v>
      </c>
      <c r="F62" s="334">
        <v>103307.22488238</v>
      </c>
    </row>
    <row r="63" spans="1:6">
      <c r="A63" s="348" t="s">
        <v>49</v>
      </c>
      <c r="B63" s="348" t="s">
        <v>29</v>
      </c>
      <c r="C63" s="334">
        <v>138</v>
      </c>
      <c r="D63" s="334">
        <v>6100080.0555157997</v>
      </c>
      <c r="E63" s="334">
        <v>170</v>
      </c>
      <c r="F63" s="334">
        <v>3890773.6670347499</v>
      </c>
    </row>
    <row r="64" spans="1:6">
      <c r="A64" s="348" t="s">
        <v>56</v>
      </c>
      <c r="B64" s="348" t="s">
        <v>57</v>
      </c>
      <c r="C64" s="334">
        <v>0</v>
      </c>
      <c r="D64" s="334">
        <v>0</v>
      </c>
      <c r="E64" s="334">
        <v>0</v>
      </c>
      <c r="F64" s="334">
        <v>0</v>
      </c>
    </row>
    <row r="65" spans="1:6">
      <c r="A65" s="348" t="s">
        <v>56</v>
      </c>
      <c r="B65" s="348" t="s">
        <v>29</v>
      </c>
      <c r="C65" s="334">
        <v>1</v>
      </c>
      <c r="D65" s="334">
        <v>26236.714620305</v>
      </c>
      <c r="E65" s="334">
        <v>3</v>
      </c>
      <c r="F65" s="334">
        <v>160642.95110350699</v>
      </c>
    </row>
    <row r="66" spans="1:6">
      <c r="A66" s="348" t="s">
        <v>56</v>
      </c>
      <c r="B66" s="348" t="s">
        <v>58</v>
      </c>
      <c r="C66" s="334">
        <v>0</v>
      </c>
      <c r="D66" s="334">
        <v>0</v>
      </c>
      <c r="E66" s="334">
        <v>3</v>
      </c>
      <c r="F66" s="334">
        <v>18930.737646519901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38580716</v>
      </c>
      <c r="E73" s="476">
        <v>40411298.828270592</v>
      </c>
    </row>
    <row r="74" spans="1:6">
      <c r="A74" s="348" t="s">
        <v>64</v>
      </c>
      <c r="B74" s="348" t="s">
        <v>657</v>
      </c>
      <c r="C74" s="1272" t="s">
        <v>659</v>
      </c>
      <c r="D74" s="476">
        <v>4298508.6391351921</v>
      </c>
      <c r="E74" s="476">
        <v>4430404.8305597631</v>
      </c>
    </row>
    <row r="75" spans="1:6">
      <c r="A75" s="348" t="s">
        <v>65</v>
      </c>
      <c r="B75" s="348" t="s">
        <v>656</v>
      </c>
      <c r="C75" s="1272" t="s">
        <v>660</v>
      </c>
      <c r="D75" s="476">
        <v>8434488</v>
      </c>
      <c r="E75" s="476">
        <v>8829755.5214708634</v>
      </c>
    </row>
    <row r="76" spans="1:6">
      <c r="A76" s="348" t="s">
        <v>65</v>
      </c>
      <c r="B76" s="348" t="s">
        <v>657</v>
      </c>
      <c r="C76" s="1272" t="s">
        <v>661</v>
      </c>
      <c r="D76" s="476">
        <v>526232.6391351918</v>
      </c>
      <c r="E76" s="476">
        <v>539686.44980508601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179440.72172961649</v>
      </c>
      <c r="C83" s="476">
        <v>178751.71167409047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1000.8268153882176</v>
      </c>
    </row>
    <row r="92" spans="1:6">
      <c r="A92" s="341" t="s">
        <v>69</v>
      </c>
      <c r="B92" s="342">
        <v>60.838068937234183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59</v>
      </c>
      <c r="C123" s="334">
        <v>32</v>
      </c>
    </row>
    <row r="124" spans="1:6">
      <c r="A124" s="341" t="s">
        <v>89</v>
      </c>
      <c r="B124" s="334">
        <v>3</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40485.823926583471</v>
      </c>
      <c r="C3" s="43" t="s">
        <v>170</v>
      </c>
      <c r="D3" s="43"/>
      <c r="E3" s="154"/>
      <c r="F3" s="43"/>
      <c r="G3" s="43"/>
      <c r="H3" s="43"/>
      <c r="I3" s="43"/>
      <c r="J3" s="43"/>
      <c r="K3" s="96"/>
    </row>
    <row r="4" spans="1:11">
      <c r="A4" s="383" t="s">
        <v>171</v>
      </c>
      <c r="B4" s="49">
        <f>IF(ISERROR('SEAP template'!B69),0,'SEAP template'!B69)</f>
        <v>1061.6648843254518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0.21520468903235374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586.02700000000004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586.02700000000004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0.21520468903235374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126.11575829956317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18942.986587678999</v>
      </c>
      <c r="C5" s="17">
        <f>IF(ISERROR('Eigen informatie GS &amp; warmtenet'!B57),0,'Eigen informatie GS &amp; warmtenet'!B57)</f>
        <v>0</v>
      </c>
      <c r="D5" s="30">
        <f>(SUM(HH_hh_gas_kWh,HH_rest_gas_kWh)/1000)*0.902</f>
        <v>27232.183592321264</v>
      </c>
      <c r="E5" s="17">
        <f>B46*B57</f>
        <v>1607.6992631954004</v>
      </c>
      <c r="F5" s="17">
        <f>B51*B62</f>
        <v>33898.12252837191</v>
      </c>
      <c r="G5" s="18"/>
      <c r="H5" s="17"/>
      <c r="I5" s="17"/>
      <c r="J5" s="17">
        <f>B50*B61+C50*C61</f>
        <v>0</v>
      </c>
      <c r="K5" s="17"/>
      <c r="L5" s="17"/>
      <c r="M5" s="17"/>
      <c r="N5" s="17">
        <f>B48*B59+C48*C59</f>
        <v>1643.6855437242828</v>
      </c>
      <c r="O5" s="17">
        <f>B69*B70*B71</f>
        <v>162.58666666666667</v>
      </c>
      <c r="P5" s="17">
        <f>B77*B78*B79/1000-B77*B78*B79/1000/B80</f>
        <v>1410.9333333333334</v>
      </c>
    </row>
    <row r="6" spans="1:16">
      <c r="A6" s="16" t="s">
        <v>621</v>
      </c>
      <c r="B6" s="843">
        <f>kWh_PV_kleiner_dan_10kW</f>
        <v>1000.8268153882176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19943.813403067215</v>
      </c>
      <c r="C8" s="21">
        <f>C5</f>
        <v>0</v>
      </c>
      <c r="D8" s="21">
        <f>D5</f>
        <v>27232.183592321264</v>
      </c>
      <c r="E8" s="21">
        <f>E5</f>
        <v>1607.6992631954004</v>
      </c>
      <c r="F8" s="21">
        <f>F5</f>
        <v>33898.12252837191</v>
      </c>
      <c r="G8" s="21"/>
      <c r="H8" s="21"/>
      <c r="I8" s="21"/>
      <c r="J8" s="21">
        <f>J5</f>
        <v>0</v>
      </c>
      <c r="K8" s="21"/>
      <c r="L8" s="21">
        <f>L5</f>
        <v>0</v>
      </c>
      <c r="M8" s="21">
        <f>M5</f>
        <v>0</v>
      </c>
      <c r="N8" s="21">
        <f>N5</f>
        <v>1643.6855437242828</v>
      </c>
      <c r="O8" s="21">
        <f>O5</f>
        <v>162.58666666666667</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0.21520468903235374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4292.0021615263686</v>
      </c>
      <c r="C12" s="23">
        <f ca="1">C10*C8</f>
        <v>0</v>
      </c>
      <c r="D12" s="23">
        <f>D8*D10</f>
        <v>5500.9010856488958</v>
      </c>
      <c r="E12" s="23">
        <f>E10*E8</f>
        <v>364.94773274535589</v>
      </c>
      <c r="F12" s="23">
        <f>F10*F8</f>
        <v>9050.7987150752997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3512</v>
      </c>
      <c r="C28" s="36"/>
      <c r="D28" s="228"/>
    </row>
    <row r="29" spans="1:7" s="15" customFormat="1">
      <c r="A29" s="230" t="s">
        <v>795</v>
      </c>
      <c r="B29" s="37">
        <f>SUM(HH_hh_gas_aantal,HH_rest_gas_aantal)</f>
        <v>1304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1304</v>
      </c>
      <c r="C32" s="167">
        <f>IF(ISERROR(B32/SUM($B$32,$B$34,$B$35,$B$36,$B$38,$B$39)*100),0,B32/SUM($B$32,$B$34,$B$35,$B$36,$B$38,$B$39)*100)</f>
        <v>37.929028504944732</v>
      </c>
      <c r="D32" s="233"/>
      <c r="G32" s="15"/>
    </row>
    <row r="33" spans="1:7">
      <c r="A33" s="171" t="s">
        <v>72</v>
      </c>
      <c r="B33" s="34" t="s">
        <v>111</v>
      </c>
      <c r="C33" s="167"/>
      <c r="D33" s="233"/>
      <c r="G33" s="15"/>
    </row>
    <row r="34" spans="1:7">
      <c r="A34" s="171" t="s">
        <v>73</v>
      </c>
      <c r="B34" s="33">
        <f>IF((($B$28-$B$32-$B$39-$B$77-$B$38)*C20/100)&lt;0,0,($B$28-$B$32-$B$39-$B$77-$B$38)*C20/100)</f>
        <v>75.930018416206252</v>
      </c>
      <c r="C34" s="167">
        <f>IF(ISERROR(B34/SUM($B$32,$B$34,$B$35,$B$36,$B$38,$B$39)*100),0,B34/SUM($B$32,$B$34,$B$35,$B$36,$B$38,$B$39)*100)</f>
        <v>2.2085520190868602</v>
      </c>
      <c r="D34" s="233"/>
      <c r="G34" s="15"/>
    </row>
    <row r="35" spans="1:7">
      <c r="A35" s="171" t="s">
        <v>74</v>
      </c>
      <c r="B35" s="33">
        <f>IF((($B$28-$B$32-$B$39-$B$77-$B$38)*C21/100)&lt;0,0,($B$28-$B$32-$B$39-$B$77-$B$38)*C21/100)</f>
        <v>725.89097605893187</v>
      </c>
      <c r="C35" s="167">
        <f>IF(ISERROR(B35/SUM($B$32,$B$34,$B$35,$B$36,$B$38,$B$39)*100),0,B35/SUM($B$32,$B$34,$B$35,$B$36,$B$38,$B$39)*100)</f>
        <v>21.113757302470386</v>
      </c>
      <c r="D35" s="233"/>
      <c r="G35" s="15"/>
    </row>
    <row r="36" spans="1:7">
      <c r="A36" s="171" t="s">
        <v>75</v>
      </c>
      <c r="B36" s="33">
        <f>IF((($B$28-$B$32-$B$39-$B$77-$B$38)*C22/100)&lt;0,0,($B$28-$B$32-$B$39-$B$77-$B$38)*C22/100)</f>
        <v>22.779005524861876</v>
      </c>
      <c r="C36" s="167">
        <f>IF(ISERROR(B36/SUM($B$32,$B$34,$B$35,$B$36,$B$38,$B$39)*100),0,B36/SUM($B$32,$B$34,$B$35,$B$36,$B$38,$B$39)*100)</f>
        <v>0.66256560572605805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1309.4000000000001</v>
      </c>
      <c r="C39" s="167">
        <f>IF(ISERROR(B39/SUM($B$32,$B$34,$B$35,$B$36,$B$38,$B$39)*100),0,B39/SUM($B$32,$B$34,$B$35,$B$36,$B$38,$B$39)*100)</f>
        <v>38.086096567771968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1304</v>
      </c>
      <c r="C44" s="34" t="s">
        <v>111</v>
      </c>
      <c r="D44" s="174"/>
    </row>
    <row r="45" spans="1:7">
      <c r="A45" s="171" t="s">
        <v>72</v>
      </c>
      <c r="B45" s="33" t="str">
        <f t="shared" si="0"/>
        <v>-</v>
      </c>
      <c r="C45" s="34" t="s">
        <v>111</v>
      </c>
      <c r="D45" s="174"/>
    </row>
    <row r="46" spans="1:7">
      <c r="A46" s="171" t="s">
        <v>73</v>
      </c>
      <c r="B46" s="33">
        <f t="shared" si="0"/>
        <v>75.930018416206252</v>
      </c>
      <c r="C46" s="34" t="s">
        <v>111</v>
      </c>
      <c r="D46" s="174"/>
    </row>
    <row r="47" spans="1:7">
      <c r="A47" s="171" t="s">
        <v>74</v>
      </c>
      <c r="B47" s="33">
        <f t="shared" si="0"/>
        <v>725.89097605893187</v>
      </c>
      <c r="C47" s="34" t="s">
        <v>111</v>
      </c>
      <c r="D47" s="174"/>
    </row>
    <row r="48" spans="1:7">
      <c r="A48" s="171" t="s">
        <v>75</v>
      </c>
      <c r="B48" s="33">
        <f t="shared" si="0"/>
        <v>22.779005524861876</v>
      </c>
      <c r="C48" s="33">
        <f>B48*10</f>
        <v>227.79005524861876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1309.4000000000001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17520.071002124212</v>
      </c>
      <c r="C5" s="17">
        <f>IF(ISERROR('Eigen informatie GS &amp; warmtenet'!B58),0,'Eigen informatie GS &amp; warmtenet'!B58)</f>
        <v>0</v>
      </c>
      <c r="D5" s="30">
        <f>SUM(D6:D12)</f>
        <v>18199.504270195619</v>
      </c>
      <c r="E5" s="17">
        <f>SUM(E6:E12)</f>
        <v>219.23584457385405</v>
      </c>
      <c r="F5" s="17">
        <f>SUM(F6:F12)</f>
        <v>2881.2604225794048</v>
      </c>
      <c r="G5" s="18"/>
      <c r="H5" s="17"/>
      <c r="I5" s="17"/>
      <c r="J5" s="17">
        <f>SUM(J6:J12)</f>
        <v>2.2992991666482269E-2</v>
      </c>
      <c r="K5" s="17"/>
      <c r="L5" s="17"/>
      <c r="M5" s="17"/>
      <c r="N5" s="17">
        <f>SUM(N6:N12)</f>
        <v>933.86376114466555</v>
      </c>
      <c r="O5" s="17">
        <f>B38*B39*B40</f>
        <v>1.5633333333333335</v>
      </c>
      <c r="P5" s="17">
        <f>B46*B47*B48/1000-B46*B47*B48/1000/B49</f>
        <v>38.133333333333333</v>
      </c>
      <c r="R5" s="32"/>
    </row>
    <row r="6" spans="1:18">
      <c r="A6" s="32" t="s">
        <v>54</v>
      </c>
      <c r="B6" s="37">
        <f>B26</f>
        <v>5700.7324059570601</v>
      </c>
      <c r="C6" s="33"/>
      <c r="D6" s="37">
        <f>IF(ISERROR(TER_kantoor_gas_kWh/1000),0,TER_kantoor_gas_kWh/1000)*0.902</f>
        <v>6249.3778133514079</v>
      </c>
      <c r="E6" s="33">
        <f>$C$26*'E Balans VL '!I12/100/3.6*1000000</f>
        <v>3.5730294686644674E-2</v>
      </c>
      <c r="F6" s="33">
        <f>$C$26*('E Balans VL '!L12+'E Balans VL '!N12)/100/3.6*1000000</f>
        <v>856.66078695948829</v>
      </c>
      <c r="G6" s="34"/>
      <c r="H6" s="33"/>
      <c r="I6" s="33"/>
      <c r="J6" s="33">
        <f>$C$26*('E Balans VL '!D12+'E Balans VL '!E12)/100/3.6*1000000</f>
        <v>0</v>
      </c>
      <c r="K6" s="33"/>
      <c r="L6" s="33"/>
      <c r="M6" s="33"/>
      <c r="N6" s="33">
        <f>$C$26*'E Balans VL '!Y12/100/3.6*1000000</f>
        <v>5.4519053199600842</v>
      </c>
      <c r="O6" s="33"/>
      <c r="P6" s="33"/>
      <c r="R6" s="32"/>
    </row>
    <row r="7" spans="1:18">
      <c r="A7" s="32" t="s">
        <v>53</v>
      </c>
      <c r="B7" s="37">
        <f t="shared" ref="B7:B12" si="0">B27</f>
        <v>2650.1653966990698</v>
      </c>
      <c r="C7" s="33"/>
      <c r="D7" s="37">
        <f>IF(ISERROR(TER_horeca_gas_kWh/1000),0,TER_horeca_gas_kWh/1000)*0.902</f>
        <v>2666.5474709939067</v>
      </c>
      <c r="E7" s="33">
        <f>$C$27*'E Balans VL '!I9/100/3.6*1000000</f>
        <v>37.949927047444362</v>
      </c>
      <c r="F7" s="33">
        <f>$C$27*('E Balans VL '!L9+'E Balans VL '!N9)/100/3.6*1000000</f>
        <v>335.59834504427016</v>
      </c>
      <c r="G7" s="34"/>
      <c r="H7" s="33"/>
      <c r="I7" s="33"/>
      <c r="J7" s="33">
        <f>$C$27*('E Balans VL '!D9+'E Balans VL '!E9)/100/3.6*1000000</f>
        <v>0</v>
      </c>
      <c r="K7" s="33"/>
      <c r="L7" s="33"/>
      <c r="M7" s="33"/>
      <c r="N7" s="33">
        <f>$C$27*'E Balans VL '!Y9/100/3.6*1000000</f>
        <v>0.76186412041969409</v>
      </c>
      <c r="O7" s="33"/>
      <c r="P7" s="33"/>
      <c r="R7" s="32"/>
    </row>
    <row r="8" spans="1:18">
      <c r="A8" s="6" t="s">
        <v>52</v>
      </c>
      <c r="B8" s="37">
        <f t="shared" si="0"/>
        <v>3599.9891006026601</v>
      </c>
      <c r="C8" s="33"/>
      <c r="D8" s="37">
        <f>IF(ISERROR(TER_handel_gas_kWh/1000),0,TER_handel_gas_kWh/1000)*0.902</f>
        <v>2681.2872604275863</v>
      </c>
      <c r="E8" s="33">
        <f>$C$28*'E Balans VL '!I13/100/3.6*1000000</f>
        <v>130.57116074809136</v>
      </c>
      <c r="F8" s="33">
        <f>$C$28*('E Balans VL '!L13+'E Balans VL '!N13)/100/3.6*1000000</f>
        <v>693.39435298327487</v>
      </c>
      <c r="G8" s="34"/>
      <c r="H8" s="33"/>
      <c r="I8" s="33"/>
      <c r="J8" s="33">
        <f>$C$28*('E Balans VL '!D13+'E Balans VL '!E13)/100/3.6*1000000</f>
        <v>0</v>
      </c>
      <c r="K8" s="33"/>
      <c r="L8" s="33"/>
      <c r="M8" s="33"/>
      <c r="N8" s="33">
        <f>$C$28*'E Balans VL '!Y13/100/3.6*1000000</f>
        <v>4.9868132248847425</v>
      </c>
      <c r="O8" s="33"/>
      <c r="P8" s="33"/>
      <c r="R8" s="32"/>
    </row>
    <row r="9" spans="1:18">
      <c r="A9" s="32" t="s">
        <v>51</v>
      </c>
      <c r="B9" s="37">
        <f t="shared" si="0"/>
        <v>949.86894196333799</v>
      </c>
      <c r="C9" s="33"/>
      <c r="D9" s="37">
        <f>IF(ISERROR(TER_gezond_gas_kWh/1000),0,TER_gezond_gas_kWh/1000)*0.902</f>
        <v>874.92504460017892</v>
      </c>
      <c r="E9" s="33">
        <f>$C$29*'E Balans VL '!I10/100/3.6*1000000</f>
        <v>5.947117402842593E-2</v>
      </c>
      <c r="F9" s="33">
        <f>$C$29*('E Balans VL '!L10+'E Balans VL '!N10)/100/3.6*1000000</f>
        <v>141.10592340415539</v>
      </c>
      <c r="G9" s="34"/>
      <c r="H9" s="33"/>
      <c r="I9" s="33"/>
      <c r="J9" s="33">
        <f>$C$29*('E Balans VL '!D10+'E Balans VL '!E10)/100/3.6*1000000</f>
        <v>0</v>
      </c>
      <c r="K9" s="33"/>
      <c r="L9" s="33"/>
      <c r="M9" s="33"/>
      <c r="N9" s="33">
        <f>$C$29*'E Balans VL '!Y10/100/3.6*1000000</f>
        <v>14.692664448807166</v>
      </c>
      <c r="O9" s="33"/>
      <c r="P9" s="33"/>
      <c r="R9" s="32"/>
    </row>
    <row r="10" spans="1:18">
      <c r="A10" s="32" t="s">
        <v>50</v>
      </c>
      <c r="B10" s="37">
        <f t="shared" si="0"/>
        <v>625.23426498495496</v>
      </c>
      <c r="C10" s="33"/>
      <c r="D10" s="37">
        <f>IF(ISERROR(TER_ander_gas_kWh/1000),0,TER_ander_gas_kWh/1000)*0.902</f>
        <v>225.09447074728848</v>
      </c>
      <c r="E10" s="33">
        <f>$C$30*'E Balans VL '!I14/100/3.6*1000000</f>
        <v>0.74525690176458681</v>
      </c>
      <c r="F10" s="33">
        <f>$C$30*('E Balans VL '!L14+'E Balans VL '!N14)/100/3.6*1000000</f>
        <v>163.5890794523213</v>
      </c>
      <c r="G10" s="34"/>
      <c r="H10" s="33"/>
      <c r="I10" s="33"/>
      <c r="J10" s="33">
        <f>$C$30*('E Balans VL '!D14+'E Balans VL '!E14)/100/3.6*1000000</f>
        <v>1.357138504217742E-2</v>
      </c>
      <c r="K10" s="33"/>
      <c r="L10" s="33"/>
      <c r="M10" s="33"/>
      <c r="N10" s="33">
        <f>$C$30*'E Balans VL '!Y14/100/3.6*1000000</f>
        <v>530.93363855811208</v>
      </c>
      <c r="O10" s="33"/>
      <c r="P10" s="33"/>
      <c r="R10" s="32"/>
    </row>
    <row r="11" spans="1:18">
      <c r="A11" s="32" t="s">
        <v>55</v>
      </c>
      <c r="B11" s="37">
        <f t="shared" si="0"/>
        <v>103.30722488238</v>
      </c>
      <c r="C11" s="33"/>
      <c r="D11" s="37">
        <f>IF(ISERROR(TER_onderwijs_gas_kWh/1000),0,TER_onderwijs_gas_kWh/1000)*0.902</f>
        <v>0</v>
      </c>
      <c r="E11" s="33">
        <f>$C$31*'E Balans VL '!I11/100/3.6*1000000</f>
        <v>1.5587396313672666</v>
      </c>
      <c r="F11" s="33">
        <f>$C$31*('E Balans VL '!L11+'E Balans VL '!N11)/100/3.6*1000000</f>
        <v>18.101076181408789</v>
      </c>
      <c r="G11" s="34"/>
      <c r="H11" s="33"/>
      <c r="I11" s="33"/>
      <c r="J11" s="33">
        <f>$C$31*('E Balans VL '!D11+'E Balans VL '!E11)/100/3.6*1000000</f>
        <v>0</v>
      </c>
      <c r="K11" s="33"/>
      <c r="L11" s="33"/>
      <c r="M11" s="33"/>
      <c r="N11" s="33">
        <f>$C$31*'E Balans VL '!Y11/100/3.6*1000000</f>
        <v>0.29071438453333703</v>
      </c>
      <c r="O11" s="33"/>
      <c r="P11" s="33"/>
      <c r="R11" s="32"/>
    </row>
    <row r="12" spans="1:18">
      <c r="A12" s="32" t="s">
        <v>260</v>
      </c>
      <c r="B12" s="37">
        <f t="shared" si="0"/>
        <v>3890.7736670347499</v>
      </c>
      <c r="C12" s="33"/>
      <c r="D12" s="37">
        <f>IF(ISERROR(TER_rest_gas_kWh/1000),0,TER_rest_gas_kWh/1000)*0.902</f>
        <v>5502.2722100752508</v>
      </c>
      <c r="E12" s="33">
        <f>$C$32*'E Balans VL '!I8/100/3.6*1000000</f>
        <v>48.315558776471413</v>
      </c>
      <c r="F12" s="33">
        <f>$C$32*('E Balans VL '!L8+'E Balans VL '!N8)/100/3.6*1000000</f>
        <v>672.81085855448646</v>
      </c>
      <c r="G12" s="34"/>
      <c r="H12" s="33"/>
      <c r="I12" s="33"/>
      <c r="J12" s="33">
        <f>$C$32*('E Balans VL '!D8+'E Balans VL '!E8)/100/3.6*1000000</f>
        <v>9.4216066243048482E-3</v>
      </c>
      <c r="K12" s="33"/>
      <c r="L12" s="33"/>
      <c r="M12" s="33"/>
      <c r="N12" s="33">
        <f>$C$32*'E Balans VL '!Y8/100/3.6*1000000</f>
        <v>376.74616108794851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17520.071002124212</v>
      </c>
      <c r="C16" s="21">
        <f t="shared" ca="1" si="1"/>
        <v>0</v>
      </c>
      <c r="D16" s="21">
        <f t="shared" ca="1" si="1"/>
        <v>18199.504270195619</v>
      </c>
      <c r="E16" s="21">
        <f t="shared" si="1"/>
        <v>219.23584457385405</v>
      </c>
      <c r="F16" s="21">
        <f t="shared" ca="1" si="1"/>
        <v>2881.2604225794048</v>
      </c>
      <c r="G16" s="21">
        <f t="shared" si="1"/>
        <v>0</v>
      </c>
      <c r="H16" s="21">
        <f t="shared" si="1"/>
        <v>0</v>
      </c>
      <c r="I16" s="21">
        <f t="shared" si="1"/>
        <v>0</v>
      </c>
      <c r="J16" s="21">
        <f t="shared" si="1"/>
        <v>2.2992991666482269E-2</v>
      </c>
      <c r="K16" s="21">
        <f t="shared" si="1"/>
        <v>0</v>
      </c>
      <c r="L16" s="21">
        <f t="shared" ca="1" si="1"/>
        <v>0</v>
      </c>
      <c r="M16" s="21">
        <f t="shared" si="1"/>
        <v>0</v>
      </c>
      <c r="N16" s="21">
        <f t="shared" ca="1" si="1"/>
        <v>933.86376114466555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0.21520468903235374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3770.4014318368991</v>
      </c>
      <c r="C20" s="23">
        <f t="shared" ref="C20:P20" ca="1" si="2">C16*C18</f>
        <v>0</v>
      </c>
      <c r="D20" s="23">
        <f t="shared" ca="1" si="2"/>
        <v>3676.2998625795153</v>
      </c>
      <c r="E20" s="23">
        <f t="shared" si="2"/>
        <v>49.766536718264874</v>
      </c>
      <c r="F20" s="23">
        <f t="shared" ca="1" si="2"/>
        <v>769.29653282870117</v>
      </c>
      <c r="G20" s="23">
        <f t="shared" si="2"/>
        <v>0</v>
      </c>
      <c r="H20" s="23">
        <f t="shared" si="2"/>
        <v>0</v>
      </c>
      <c r="I20" s="23">
        <f t="shared" si="2"/>
        <v>0</v>
      </c>
      <c r="J20" s="23">
        <f t="shared" si="2"/>
        <v>8.1395190499347226E-3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5700.7324059570601</v>
      </c>
      <c r="C26" s="39">
        <f>IF(ISERROR(B26*3.6/1000000/'E Balans VL '!Z12*100),0,B26*3.6/1000000/'E Balans VL '!Z12*100)</f>
        <v>0.12050445237234662</v>
      </c>
      <c r="D26" s="237" t="s">
        <v>754</v>
      </c>
      <c r="F26" s="6"/>
    </row>
    <row r="27" spans="1:18">
      <c r="A27" s="231" t="s">
        <v>53</v>
      </c>
      <c r="B27" s="33">
        <f>IF(ISERROR(TER_horeca_ele_kWh/1000),0,TER_horeca_ele_kWh/1000)</f>
        <v>2650.1653966990698</v>
      </c>
      <c r="C27" s="39">
        <f>IF(ISERROR(B27*3.6/1000000/'E Balans VL '!Z9*100),0,B27*3.6/1000000/'E Balans VL '!Z9*100)</f>
        <v>0.20891155045471699</v>
      </c>
      <c r="D27" s="237" t="s">
        <v>754</v>
      </c>
      <c r="F27" s="6"/>
    </row>
    <row r="28" spans="1:18">
      <c r="A28" s="171" t="s">
        <v>52</v>
      </c>
      <c r="B28" s="33">
        <f>IF(ISERROR(TER_handel_ele_kWh/1000),0,TER_handel_ele_kWh/1000)</f>
        <v>3599.9891006026601</v>
      </c>
      <c r="C28" s="39">
        <f>IF(ISERROR(B28*3.6/1000000/'E Balans VL '!Z13*100),0,B28*3.6/1000000/'E Balans VL '!Z13*100)</f>
        <v>0.10448622928537731</v>
      </c>
      <c r="D28" s="237" t="s">
        <v>754</v>
      </c>
      <c r="F28" s="6"/>
    </row>
    <row r="29" spans="1:18">
      <c r="A29" s="231" t="s">
        <v>51</v>
      </c>
      <c r="B29" s="33">
        <f>IF(ISERROR(TER_gezond_ele_kWh/1000),0,TER_gezond_ele_kWh/1000)</f>
        <v>949.86894196333799</v>
      </c>
      <c r="C29" s="39">
        <f>IF(ISERROR(B29*3.6/1000000/'E Balans VL '!Z10*100),0,B29*3.6/1000000/'E Balans VL '!Z10*100)</f>
        <v>0.10003679684847389</v>
      </c>
      <c r="D29" s="237" t="s">
        <v>754</v>
      </c>
      <c r="F29" s="6"/>
    </row>
    <row r="30" spans="1:18">
      <c r="A30" s="231" t="s">
        <v>50</v>
      </c>
      <c r="B30" s="33">
        <f>IF(ISERROR(TER_ander_ele_kWh/1000),0,TER_ander_ele_kWh/1000)</f>
        <v>625.23426498495496</v>
      </c>
      <c r="C30" s="39">
        <f>IF(ISERROR(B30*3.6/1000000/'E Balans VL '!Z14*100),0,B30*3.6/1000000/'E Balans VL '!Z14*100)</f>
        <v>4.6117415185497113E-2</v>
      </c>
      <c r="D30" s="237" t="s">
        <v>754</v>
      </c>
      <c r="F30" s="6"/>
    </row>
    <row r="31" spans="1:18">
      <c r="A31" s="231" t="s">
        <v>55</v>
      </c>
      <c r="B31" s="33">
        <f>IF(ISERROR(TER_onderwijs_ele_kWh/1000),0,TER_onderwijs_ele_kWh/1000)</f>
        <v>103.30722488238</v>
      </c>
      <c r="C31" s="39">
        <f>IF(ISERROR(B31*3.6/1000000/'E Balans VL '!Z11*100),0,B31*3.6/1000000/'E Balans VL '!Z11*100)</f>
        <v>2.5656023133698632E-2</v>
      </c>
      <c r="D31" s="237" t="s">
        <v>754</v>
      </c>
    </row>
    <row r="32" spans="1:18">
      <c r="A32" s="231" t="s">
        <v>260</v>
      </c>
      <c r="B32" s="33">
        <f>IF(ISERROR(TER_rest_ele_kWh/1000),0,TER_rest_ele_kWh/1000)</f>
        <v>3890.7736670347499</v>
      </c>
      <c r="C32" s="39">
        <f>IF(ISERROR(B32*3.6/1000000/'E Balans VL '!Z8*100),0,B32*3.6/1000000/'E Balans VL '!Z8*100)</f>
        <v>3.2015902802635721E-2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2212.8256734052038</v>
      </c>
      <c r="C5" s="17">
        <f>IF(ISERROR('Eigen informatie GS &amp; warmtenet'!B59),0,'Eigen informatie GS &amp; warmtenet'!B59)</f>
        <v>0</v>
      </c>
      <c r="D5" s="30">
        <f>SUM(D6:D15)</f>
        <v>1706.9877642417302</v>
      </c>
      <c r="E5" s="17">
        <f>SUM(E6:E15)</f>
        <v>359.51683135302943</v>
      </c>
      <c r="F5" s="17">
        <f>SUM(F6:F15)</f>
        <v>1046.1909359223591</v>
      </c>
      <c r="G5" s="18"/>
      <c r="H5" s="17"/>
      <c r="I5" s="17"/>
      <c r="J5" s="17">
        <f>SUM(J6:J15)</f>
        <v>1.7022515841247576</v>
      </c>
      <c r="K5" s="17"/>
      <c r="L5" s="17"/>
      <c r="M5" s="17"/>
      <c r="N5" s="17">
        <f>SUM(N6:N15)</f>
        <v>678.51670412551971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1136.00956890978</v>
      </c>
      <c r="C9" s="33"/>
      <c r="D9" s="37">
        <f>IF( ISERROR(IND_andere_gas_kWh/1000),0,IND_andere_gas_kWh/1000)*0.902</f>
        <v>1009.9265908471758</v>
      </c>
      <c r="E9" s="33">
        <f>C31*'E Balans VL '!I19/100/3.6*1000000</f>
        <v>332.07771249012745</v>
      </c>
      <c r="F9" s="33">
        <f>C31*'E Balans VL '!L19/100/3.6*1000000+C31*'E Balans VL '!N19/100/3.6*1000000</f>
        <v>912.86967664228598</v>
      </c>
      <c r="G9" s="34"/>
      <c r="H9" s="33"/>
      <c r="I9" s="33"/>
      <c r="J9" s="40">
        <f>C31*'E Balans VL '!D19/100/3.6*1000000+C31*'E Balans VL '!E19/100/3.6*1000000</f>
        <v>0</v>
      </c>
      <c r="K9" s="33"/>
      <c r="L9" s="33"/>
      <c r="M9" s="33"/>
      <c r="N9" s="33">
        <f>C31*'E Balans VL '!Y19/100/3.6*1000000</f>
        <v>375.35517982706955</v>
      </c>
      <c r="O9" s="33"/>
      <c r="P9" s="33"/>
      <c r="R9" s="32"/>
    </row>
    <row r="10" spans="1:18">
      <c r="A10" s="6" t="s">
        <v>41</v>
      </c>
      <c r="B10" s="37">
        <f t="shared" si="0"/>
        <v>457.97784239005296</v>
      </c>
      <c r="C10" s="33"/>
      <c r="D10" s="37">
        <f>IF( ISERROR(IND_voed_gas_kWh/1000),0,IND_voed_gas_kWh/1000)*0.902</f>
        <v>230.59353129672678</v>
      </c>
      <c r="E10" s="33">
        <f>C32*'E Balans VL '!I20/100/3.6*1000000</f>
        <v>0.96885922660670709</v>
      </c>
      <c r="F10" s="33">
        <f>C32*'E Balans VL '!L20/100/3.6*1000000+C32*'E Balans VL '!N20/100/3.6*1000000</f>
        <v>29.118699029807232</v>
      </c>
      <c r="G10" s="34"/>
      <c r="H10" s="33"/>
      <c r="I10" s="33"/>
      <c r="J10" s="40">
        <f>C32*'E Balans VL '!D20/100/3.6*1000000+C32*'E Balans VL '!E20/100/3.6*1000000</f>
        <v>0</v>
      </c>
      <c r="K10" s="33"/>
      <c r="L10" s="33"/>
      <c r="M10" s="33"/>
      <c r="N10" s="33">
        <f>C32*'E Balans VL '!Y20/100/3.6*1000000</f>
        <v>31.60499056069289</v>
      </c>
      <c r="O10" s="33"/>
      <c r="P10" s="33"/>
      <c r="R10" s="32"/>
    </row>
    <row r="11" spans="1:18">
      <c r="A11" s="6" t="s">
        <v>40</v>
      </c>
      <c r="B11" s="37">
        <f t="shared" si="0"/>
        <v>90.536294996359999</v>
      </c>
      <c r="C11" s="33"/>
      <c r="D11" s="37">
        <f>IF( ISERROR(IND_textiel_gas_kWh/1000),0,IND_textiel_gas_kWh/1000)*0.902</f>
        <v>0</v>
      </c>
      <c r="E11" s="33">
        <f>C33*'E Balans VL '!I21/100/3.6*1000000</f>
        <v>0.26888499040996705</v>
      </c>
      <c r="F11" s="33">
        <f>C33*'E Balans VL '!L21/100/3.6*1000000+C33*'E Balans VL '!N21/100/3.6*1000000</f>
        <v>9.1466513886328933</v>
      </c>
      <c r="G11" s="34"/>
      <c r="H11" s="33"/>
      <c r="I11" s="33"/>
      <c r="J11" s="40">
        <f>C33*'E Balans VL '!D21/100/3.6*1000000+C33*'E Balans VL '!E21/100/3.6*1000000</f>
        <v>0</v>
      </c>
      <c r="K11" s="33"/>
      <c r="L11" s="33"/>
      <c r="M11" s="33"/>
      <c r="N11" s="33">
        <f>C33*'E Balans VL '!Y21/100/3.6*1000000</f>
        <v>4.9933656024391855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55.1946457710008</v>
      </c>
      <c r="C13" s="33"/>
      <c r="D13" s="37">
        <f>IF( ISERROR(IND_papier_gas_kWh/1000),0,IND_papier_gas_kWh/1000)*0.902</f>
        <v>0</v>
      </c>
      <c r="E13" s="33">
        <f>C35*'E Balans VL '!I23/100/3.6*1000000</f>
        <v>7.8308579431553768E-2</v>
      </c>
      <c r="F13" s="33">
        <f>C35*'E Balans VL '!L23/100/3.6*1000000+C35*'E Balans VL '!N23/100/3.6*1000000</f>
        <v>1.3475088485195861</v>
      </c>
      <c r="G13" s="34"/>
      <c r="H13" s="33"/>
      <c r="I13" s="33"/>
      <c r="J13" s="40">
        <f>C35*'E Balans VL '!D23/100/3.6*1000000+C35*'E Balans VL '!E23/100/3.6*1000000</f>
        <v>8.5363701673974949E-3</v>
      </c>
      <c r="K13" s="33"/>
      <c r="L13" s="33"/>
      <c r="M13" s="33"/>
      <c r="N13" s="33">
        <f>C35*'E Balans VL '!Y23/100/3.6*1000000</f>
        <v>160.43776978622316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473.10732133801002</v>
      </c>
      <c r="C15" s="33"/>
      <c r="D15" s="37">
        <f>IF( ISERROR(IND_rest_gas_kWh/1000),0,IND_rest_gas_kWh/1000)*0.902</f>
        <v>466.46764209782759</v>
      </c>
      <c r="E15" s="33">
        <f>C37*'E Balans VL '!I15/100/3.6*1000000</f>
        <v>26.123066066453756</v>
      </c>
      <c r="F15" s="33">
        <f>C37*'E Balans VL '!L15/100/3.6*1000000+C37*'E Balans VL '!N15/100/3.6*1000000</f>
        <v>93.708400013113348</v>
      </c>
      <c r="G15" s="34"/>
      <c r="H15" s="33"/>
      <c r="I15" s="33"/>
      <c r="J15" s="40">
        <f>C37*'E Balans VL '!D15/100/3.6*1000000+C37*'E Balans VL '!E15/100/3.6*1000000</f>
        <v>1.6937152139573601</v>
      </c>
      <c r="K15" s="33"/>
      <c r="L15" s="33"/>
      <c r="M15" s="33"/>
      <c r="N15" s="33">
        <f>C37*'E Balans VL '!Y15/100/3.6*1000000</f>
        <v>106.12539834909495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2212.8256734052038</v>
      </c>
      <c r="C18" s="21">
        <f>C5+C16</f>
        <v>0</v>
      </c>
      <c r="D18" s="21">
        <f>MAX((D5+D16),0)</f>
        <v>1706.9877642417302</v>
      </c>
      <c r="E18" s="21">
        <f>MAX((E5+E16),0)</f>
        <v>359.51683135302943</v>
      </c>
      <c r="F18" s="21">
        <f>MAX((F5+F16),0)</f>
        <v>1046.1909359223591</v>
      </c>
      <c r="G18" s="21"/>
      <c r="H18" s="21"/>
      <c r="I18" s="21"/>
      <c r="J18" s="21">
        <f>MAX((J5+J16),0)</f>
        <v>1.7022515841247576</v>
      </c>
      <c r="K18" s="21"/>
      <c r="L18" s="21">
        <f>MAX((L5+L16),0)</f>
        <v>0</v>
      </c>
      <c r="M18" s="21"/>
      <c r="N18" s="21">
        <f>MAX((N5+N16),0)</f>
        <v>678.51670412551971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0.21520468903235374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476.21046092797565</v>
      </c>
      <c r="C22" s="23">
        <f ca="1">C18*C20</f>
        <v>0</v>
      </c>
      <c r="D22" s="23">
        <f>D18*D20</f>
        <v>344.81152837682953</v>
      </c>
      <c r="E22" s="23">
        <f>E18*E20</f>
        <v>81.610320717137682</v>
      </c>
      <c r="F22" s="23">
        <f>F18*F20</f>
        <v>279.33297989126993</v>
      </c>
      <c r="G22" s="23"/>
      <c r="H22" s="23"/>
      <c r="I22" s="23"/>
      <c r="J22" s="23">
        <f>J18*J20</f>
        <v>0.60259706078016417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1136.00956890978</v>
      </c>
      <c r="C31" s="39">
        <f>IF(ISERROR(B31*3.6/1000000/'E Balans VL '!Z19*100),0,B31*3.6/1000000/'E Balans VL '!Z19*100)</f>
        <v>5.1524663784231435E-2</v>
      </c>
      <c r="D31" s="237" t="s">
        <v>754</v>
      </c>
    </row>
    <row r="32" spans="1:18">
      <c r="A32" s="171" t="s">
        <v>41</v>
      </c>
      <c r="B32" s="37">
        <f>IF( ISERROR(IND_voed_ele_kWh/1000),0,IND_voed_ele_kWh/1000)</f>
        <v>457.97784239005296</v>
      </c>
      <c r="C32" s="39">
        <f>IF(ISERROR(B32*3.6/1000000/'E Balans VL '!Z20*100),0,B32*3.6/1000000/'E Balans VL '!Z20*100)</f>
        <v>1.4167333708983695E-2</v>
      </c>
      <c r="D32" s="237" t="s">
        <v>754</v>
      </c>
    </row>
    <row r="33" spans="1:5">
      <c r="A33" s="171" t="s">
        <v>40</v>
      </c>
      <c r="B33" s="37">
        <f>IF( ISERROR(IND_textiel_ele_kWh/1000),0,IND_textiel_ele_kWh/1000)</f>
        <v>90.536294996359999</v>
      </c>
      <c r="C33" s="39">
        <f>IF(ISERROR(B33*3.6/1000000/'E Balans VL '!Z21*100),0,B33*3.6/1000000/'E Balans VL '!Z21*100)</f>
        <v>1.1804926505362362E-2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55.1946457710008</v>
      </c>
      <c r="C35" s="39">
        <f>IF(ISERROR(B35*3.6/1000000/'E Balans VL '!Z22*100),0,B35*3.6/1000000/'E Balans VL '!Z22*100)</f>
        <v>9.9277947210877297E-3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473.10732133801002</v>
      </c>
      <c r="C37" s="39">
        <f>IF(ISERROR(B37*3.6/1000000/'E Balans VL '!Z15*100),0,B37*3.6/1000000/'E Balans VL '!Z15*100)</f>
        <v>3.7499565526531819E-3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204.59091094974062</v>
      </c>
      <c r="C5" s="17">
        <f>'Eigen informatie GS &amp; warmtenet'!B60</f>
        <v>0</v>
      </c>
      <c r="D5" s="30">
        <f>IF(ISERROR(SUM(LB_lb_gas_kWh,LB_rest_gas_kWh,onbekend_gas_kWh)/1000),0,SUM(LB_lb_gas_kWh,LB_rest_gas_kWh,onbekend_gas_kWh)/1000)*0.902</f>
        <v>1133.8265033357475</v>
      </c>
      <c r="E5" s="17">
        <f>B17*'E Balans VL '!I25/3.6*1000000/100</f>
        <v>6.0135517655809769</v>
      </c>
      <c r="F5" s="17">
        <f>B17*('E Balans VL '!L25/3.6*1000000+'E Balans VL '!N25/3.6*1000000)/100</f>
        <v>852.31467950406989</v>
      </c>
      <c r="G5" s="18"/>
      <c r="H5" s="17"/>
      <c r="I5" s="17"/>
      <c r="J5" s="17">
        <f>('E Balans VL '!D25+'E Balans VL '!E25)/3.6*1000000*landbouw!B17/100</f>
        <v>29.640829356511272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204.59091094974062</v>
      </c>
      <c r="C8" s="21">
        <f>C5+C6</f>
        <v>0</v>
      </c>
      <c r="D8" s="21">
        <f>MAX((D5+D6),0)</f>
        <v>1133.8265033357475</v>
      </c>
      <c r="E8" s="21">
        <f>MAX((E5+E6),0)</f>
        <v>6.0135517655809769</v>
      </c>
      <c r="F8" s="21">
        <f>MAX((F5+F6),0)</f>
        <v>852.31467950406989</v>
      </c>
      <c r="G8" s="21"/>
      <c r="H8" s="21"/>
      <c r="I8" s="21"/>
      <c r="J8" s="21">
        <f>MAX((J5+J6),0)</f>
        <v>29.640829356511272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0.21520468903235374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44.028923369784906</v>
      </c>
      <c r="C12" s="23">
        <f ca="1">C8*C10</f>
        <v>0</v>
      </c>
      <c r="D12" s="23">
        <f>D8*D10</f>
        <v>229.032953673821</v>
      </c>
      <c r="E12" s="23">
        <f>E8*E10</f>
        <v>1.3650762507868819</v>
      </c>
      <c r="F12" s="23">
        <f>F8*F10</f>
        <v>227.56801942758668</v>
      </c>
      <c r="G12" s="23"/>
      <c r="H12" s="23"/>
      <c r="I12" s="23"/>
      <c r="J12" s="23">
        <f>J8*J10</f>
        <v>10.492853592204989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2.9032092148175825E-2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5.4857279917337776</v>
      </c>
      <c r="C26" s="247">
        <f>B26*'GWP N2O_CH4'!B5</f>
        <v>115.20028782640932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0.3778833045650154</v>
      </c>
      <c r="C27" s="247">
        <f>B27*'GWP N2O_CH4'!B5</f>
        <v>7.9355493958653236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6.7841614862612351E-2</v>
      </c>
      <c r="C28" s="247">
        <f>B28*'GWP N2O_CH4'!B4</f>
        <v>21.03090060740983</v>
      </c>
      <c r="D28" s="50"/>
    </row>
    <row r="29" spans="1:4">
      <c r="A29" s="41" t="s">
        <v>277</v>
      </c>
      <c r="B29" s="247">
        <f>B34*'ha_N2O bodem landbouw'!B4</f>
        <v>2.5141414095791386</v>
      </c>
      <c r="C29" s="247">
        <f>B29*'GWP N2O_CH4'!B4</f>
        <v>779.38383696953292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5.737184055492208E-4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6.6585373333567674E-5</v>
      </c>
      <c r="C5" s="463" t="s">
        <v>211</v>
      </c>
      <c r="D5" s="448">
        <f>SUM(D6:D11)</f>
        <v>2.2759344086333797E-4</v>
      </c>
      <c r="E5" s="448">
        <f>SUM(E6:E11)</f>
        <v>3.0449499879460691E-4</v>
      </c>
      <c r="F5" s="461" t="s">
        <v>211</v>
      </c>
      <c r="G5" s="448">
        <f>SUM(G6:G11)</f>
        <v>0.12397855105286523</v>
      </c>
      <c r="H5" s="448">
        <f>SUM(H6:H11)</f>
        <v>2.5691285398069308E-2</v>
      </c>
      <c r="I5" s="463" t="s">
        <v>211</v>
      </c>
      <c r="J5" s="463" t="s">
        <v>211</v>
      </c>
      <c r="K5" s="463" t="s">
        <v>211</v>
      </c>
      <c r="L5" s="463" t="s">
        <v>211</v>
      </c>
      <c r="M5" s="448">
        <f>SUM(M6:M11)</f>
        <v>8.0060393686594167E-3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5.4640013437702996E-5</v>
      </c>
      <c r="C6" s="449"/>
      <c r="D6" s="962">
        <f>vkm_2011_GW_PW*SUMIFS(TableVerdeelsleutelVkm[CNG],TableVerdeelsleutelVkm[Voertuigtype],"Lichte voertuigen")*SUMIFS(TableECFTransport[EnergieConsumptieFactor (PJ per km)],TableECFTransport[Index],CONCATENATE($A6,"_CNG_CNG"))</f>
        <v>1.6388867979797917E-4</v>
      </c>
      <c r="E6" s="962">
        <f>vkm_2011_GW_PW*SUMIFS(TableVerdeelsleutelVkm[LPG],TableVerdeelsleutelVkm[Voertuigtype],"Lichte voertuigen")*SUMIFS(TableECFTransport[EnergieConsumptieFactor (PJ per km)],TableECFTransport[Index],CONCATENATE($A6,"_LPG_LPG"))</f>
        <v>2.2389547805271682E-4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5.7889107096195845E-2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1.8637191203478058E-2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3.9352928989455404E-3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4.0337416073050983E-2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1.2291874456110903E-5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2.3571846548944815E-3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1.1945359895864677E-5</v>
      </c>
      <c r="C8" s="449"/>
      <c r="D8" s="451">
        <f>vkm_2011_NGW_PW*SUMIFS(TableVerdeelsleutelVkm[CNG],TableVerdeelsleutelVkm[Voertuigtype],"Lichte voertuigen")*SUMIFS(TableECFTransport[EnergieConsumptieFactor (PJ per km)],TableECFTransport[Index],CONCATENATE($A8,"_CNG_CNG"))</f>
        <v>6.3704761065358818E-5</v>
      </c>
      <c r="E8" s="451">
        <f>vkm_2011_NGW_PW*SUMIFS(TableVerdeelsleutelVkm[LPG],TableVerdeelsleutelVkm[Voertuigtype],"Lichte voertuigen")*SUMIFS(TableECFTransport[EnergieConsumptieFactor (PJ per km)],TableECFTransport[Index],CONCATENATE($A8,"_LPG_LPG"))</f>
        <v>8.0599520741890098E-5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1.942006113268286E-2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7.039985846416871E-3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1.3435460572179454E-3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6.3319667509355573E-3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1.8164737182688227E-6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3.7001575760144947E-4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18.495937037102134</v>
      </c>
      <c r="C14" s="21"/>
      <c r="D14" s="21">
        <f t="shared" ref="D14:M14" si="0">((D5)*10^9/3600)+D12</f>
        <v>63.220400239816108</v>
      </c>
      <c r="E14" s="21">
        <f t="shared" si="0"/>
        <v>84.581944109613019</v>
      </c>
      <c r="F14" s="21"/>
      <c r="G14" s="21">
        <f t="shared" si="0"/>
        <v>34438.486403573675</v>
      </c>
      <c r="H14" s="21">
        <f t="shared" si="0"/>
        <v>7136.468166130363</v>
      </c>
      <c r="I14" s="21"/>
      <c r="J14" s="21"/>
      <c r="K14" s="21"/>
      <c r="L14" s="21"/>
      <c r="M14" s="21">
        <f t="shared" si="0"/>
        <v>2223.899824627616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0.21520468903235374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3.9804123784315588</v>
      </c>
      <c r="C18" s="23"/>
      <c r="D18" s="23">
        <f t="shared" ref="D18:M18" si="1">D14*D16</f>
        <v>12.770520848442855</v>
      </c>
      <c r="E18" s="23">
        <f t="shared" si="1"/>
        <v>19.200101312882158</v>
      </c>
      <c r="F18" s="23"/>
      <c r="G18" s="23">
        <f t="shared" si="1"/>
        <v>9195.0758697541714</v>
      </c>
      <c r="H18" s="23">
        <f t="shared" si="1"/>
        <v>1776.9805733664605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2.2538036082635389E-3</v>
      </c>
      <c r="H50" s="321">
        <f t="shared" si="2"/>
        <v>0</v>
      </c>
      <c r="I50" s="321">
        <f t="shared" si="2"/>
        <v>0</v>
      </c>
      <c r="J50" s="321">
        <f t="shared" si="2"/>
        <v>0</v>
      </c>
      <c r="K50" s="321">
        <f t="shared" si="2"/>
        <v>0</v>
      </c>
      <c r="L50" s="321">
        <f t="shared" si="2"/>
        <v>0</v>
      </c>
      <c r="M50" s="321">
        <f t="shared" si="2"/>
        <v>1.2800609536118453E-4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2.2538036082635389E-3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1.2800609536118453E-4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626.05655785098293</v>
      </c>
      <c r="H54" s="21">
        <f t="shared" si="3"/>
        <v>0</v>
      </c>
      <c r="I54" s="21">
        <f t="shared" si="3"/>
        <v>0</v>
      </c>
      <c r="J54" s="21">
        <f t="shared" si="3"/>
        <v>0</v>
      </c>
      <c r="K54" s="21">
        <f t="shared" si="3"/>
        <v>0</v>
      </c>
      <c r="L54" s="21">
        <f t="shared" si="3"/>
        <v>0</v>
      </c>
      <c r="M54" s="21">
        <f t="shared" si="3"/>
        <v>35.557248711440145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0.21520468903235374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167.15710094621244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1061.6648843254518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1061.6648843254518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18106.098002124214</v>
      </c>
      <c r="D10" s="718">
        <f ca="1">tertiair!C16</f>
        <v>0</v>
      </c>
      <c r="E10" s="718">
        <f ca="1">tertiair!D16</f>
        <v>18199.504270195619</v>
      </c>
      <c r="F10" s="718">
        <f>tertiair!E16</f>
        <v>219.23584457385405</v>
      </c>
      <c r="G10" s="718">
        <f ca="1">tertiair!F16</f>
        <v>2881.2604225794048</v>
      </c>
      <c r="H10" s="718">
        <f>tertiair!G16</f>
        <v>0</v>
      </c>
      <c r="I10" s="718">
        <f>tertiair!H16</f>
        <v>0</v>
      </c>
      <c r="J10" s="718">
        <f>tertiair!I16</f>
        <v>0</v>
      </c>
      <c r="K10" s="718">
        <f>tertiair!J16</f>
        <v>2.2992991666482269E-2</v>
      </c>
      <c r="L10" s="718">
        <f>tertiair!K16</f>
        <v>0</v>
      </c>
      <c r="M10" s="718">
        <f ca="1">tertiair!L16</f>
        <v>0</v>
      </c>
      <c r="N10" s="718">
        <f>tertiair!M16</f>
        <v>0</v>
      </c>
      <c r="O10" s="718">
        <f ca="1">tertiair!N16</f>
        <v>933.86376114466555</v>
      </c>
      <c r="P10" s="718">
        <f>tertiair!O16</f>
        <v>1.5633333333333335</v>
      </c>
      <c r="Q10" s="719">
        <f>tertiair!P16</f>
        <v>38.133333333333333</v>
      </c>
      <c r="R10" s="721">
        <f ca="1">SUM(C10:Q10)</f>
        <v>40379.681960276095</v>
      </c>
      <c r="S10" s="67"/>
    </row>
    <row r="11" spans="1:19" s="474" customFormat="1">
      <c r="A11" s="870" t="s">
        <v>225</v>
      </c>
      <c r="B11" s="875"/>
      <c r="C11" s="718">
        <f>huishoudens!B8</f>
        <v>19943.813403067215</v>
      </c>
      <c r="D11" s="718">
        <f>huishoudens!C8</f>
        <v>0</v>
      </c>
      <c r="E11" s="718">
        <f>huishoudens!D8</f>
        <v>27232.183592321264</v>
      </c>
      <c r="F11" s="718">
        <f>huishoudens!E8</f>
        <v>1607.6992631954004</v>
      </c>
      <c r="G11" s="718">
        <f>huishoudens!F8</f>
        <v>33898.12252837191</v>
      </c>
      <c r="H11" s="718">
        <f>huishoudens!G8</f>
        <v>0</v>
      </c>
      <c r="I11" s="718">
        <f>huishoudens!H8</f>
        <v>0</v>
      </c>
      <c r="J11" s="718">
        <f>huishoudens!I8</f>
        <v>0</v>
      </c>
      <c r="K11" s="718">
        <f>huishoudens!J8</f>
        <v>0</v>
      </c>
      <c r="L11" s="718">
        <f>huishoudens!K8</f>
        <v>0</v>
      </c>
      <c r="M11" s="718">
        <f>huishoudens!L8</f>
        <v>0</v>
      </c>
      <c r="N11" s="718">
        <f>huishoudens!M8</f>
        <v>0</v>
      </c>
      <c r="O11" s="718">
        <f>huishoudens!N8</f>
        <v>1643.6855437242828</v>
      </c>
      <c r="P11" s="718">
        <f>huishoudens!O8</f>
        <v>162.58666666666667</v>
      </c>
      <c r="Q11" s="719">
        <f>huishoudens!P8</f>
        <v>1410.9333333333334</v>
      </c>
      <c r="R11" s="721">
        <f>SUM(C11:Q11)</f>
        <v>85899.024330680069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2212.8256734052038</v>
      </c>
      <c r="D13" s="718">
        <f>industrie!C18</f>
        <v>0</v>
      </c>
      <c r="E13" s="718">
        <f>industrie!D18</f>
        <v>1706.9877642417302</v>
      </c>
      <c r="F13" s="718">
        <f>industrie!E18</f>
        <v>359.51683135302943</v>
      </c>
      <c r="G13" s="718">
        <f>industrie!F18</f>
        <v>1046.1909359223591</v>
      </c>
      <c r="H13" s="718">
        <f>industrie!G18</f>
        <v>0</v>
      </c>
      <c r="I13" s="718">
        <f>industrie!H18</f>
        <v>0</v>
      </c>
      <c r="J13" s="718">
        <f>industrie!I18</f>
        <v>0</v>
      </c>
      <c r="K13" s="718">
        <f>industrie!J18</f>
        <v>1.7022515841247576</v>
      </c>
      <c r="L13" s="718">
        <f>industrie!K18</f>
        <v>0</v>
      </c>
      <c r="M13" s="718">
        <f>industrie!L18</f>
        <v>0</v>
      </c>
      <c r="N13" s="718">
        <f>industrie!M18</f>
        <v>0</v>
      </c>
      <c r="O13" s="718">
        <f>industrie!N18</f>
        <v>678.51670412551971</v>
      </c>
      <c r="P13" s="718">
        <f>industrie!O18</f>
        <v>0</v>
      </c>
      <c r="Q13" s="719">
        <f>industrie!P18</f>
        <v>0</v>
      </c>
      <c r="R13" s="721">
        <f>SUM(C13:Q13)</f>
        <v>6005.7401606319672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40262.737078596634</v>
      </c>
      <c r="D15" s="723">
        <f t="shared" ref="D15:Q15" ca="1" si="0">SUM(D9:D14)</f>
        <v>0</v>
      </c>
      <c r="E15" s="723">
        <f t="shared" ca="1" si="0"/>
        <v>47138.67562675861</v>
      </c>
      <c r="F15" s="723">
        <f t="shared" si="0"/>
        <v>2186.4519391222839</v>
      </c>
      <c r="G15" s="723">
        <f t="shared" ca="1" si="0"/>
        <v>37825.573886873673</v>
      </c>
      <c r="H15" s="723">
        <f t="shared" si="0"/>
        <v>0</v>
      </c>
      <c r="I15" s="723">
        <f t="shared" si="0"/>
        <v>0</v>
      </c>
      <c r="J15" s="723">
        <f t="shared" si="0"/>
        <v>0</v>
      </c>
      <c r="K15" s="723">
        <f t="shared" si="0"/>
        <v>1.7252445757912398</v>
      </c>
      <c r="L15" s="723">
        <f t="shared" si="0"/>
        <v>0</v>
      </c>
      <c r="M15" s="723">
        <f t="shared" ca="1" si="0"/>
        <v>0</v>
      </c>
      <c r="N15" s="723">
        <f t="shared" si="0"/>
        <v>0</v>
      </c>
      <c r="O15" s="723">
        <f t="shared" ca="1" si="0"/>
        <v>3256.0660089944677</v>
      </c>
      <c r="P15" s="723">
        <f t="shared" si="0"/>
        <v>164.15</v>
      </c>
      <c r="Q15" s="724">
        <f t="shared" si="0"/>
        <v>1449.0666666666668</v>
      </c>
      <c r="R15" s="725">
        <f ca="1">SUM(R9:R14)</f>
        <v>132284.44645158813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626.05655785098293</v>
      </c>
      <c r="I18" s="718">
        <f>transport!H54</f>
        <v>0</v>
      </c>
      <c r="J18" s="718">
        <f>transport!I54</f>
        <v>0</v>
      </c>
      <c r="K18" s="718">
        <f>transport!J54</f>
        <v>0</v>
      </c>
      <c r="L18" s="718">
        <f>transport!K54</f>
        <v>0</v>
      </c>
      <c r="M18" s="718">
        <f>transport!L54</f>
        <v>0</v>
      </c>
      <c r="N18" s="718">
        <f>transport!M54</f>
        <v>35.557248711440145</v>
      </c>
      <c r="O18" s="718">
        <f>transport!N54</f>
        <v>0</v>
      </c>
      <c r="P18" s="718">
        <f>transport!O54</f>
        <v>0</v>
      </c>
      <c r="Q18" s="719">
        <f>transport!P54</f>
        <v>0</v>
      </c>
      <c r="R18" s="721">
        <f>SUM(C18:Q18)</f>
        <v>661.61380656242306</v>
      </c>
      <c r="S18" s="67"/>
    </row>
    <row r="19" spans="1:19" s="474" customFormat="1" ht="15" thickBot="1">
      <c r="A19" s="870" t="s">
        <v>307</v>
      </c>
      <c r="B19" s="875"/>
      <c r="C19" s="727">
        <f>transport!B14</f>
        <v>18.495937037102134</v>
      </c>
      <c r="D19" s="727">
        <f>transport!C14</f>
        <v>0</v>
      </c>
      <c r="E19" s="727">
        <f>transport!D14</f>
        <v>63.220400239816108</v>
      </c>
      <c r="F19" s="727">
        <f>transport!E14</f>
        <v>84.581944109613019</v>
      </c>
      <c r="G19" s="727">
        <f>transport!F14</f>
        <v>0</v>
      </c>
      <c r="H19" s="727">
        <f>transport!G14</f>
        <v>34438.486403573675</v>
      </c>
      <c r="I19" s="727">
        <f>transport!H14</f>
        <v>7136.468166130363</v>
      </c>
      <c r="J19" s="727">
        <f>transport!I14</f>
        <v>0</v>
      </c>
      <c r="K19" s="727">
        <f>transport!J14</f>
        <v>0</v>
      </c>
      <c r="L19" s="727">
        <f>transport!K14</f>
        <v>0</v>
      </c>
      <c r="M19" s="727">
        <f>transport!L14</f>
        <v>0</v>
      </c>
      <c r="N19" s="727">
        <f>transport!M14</f>
        <v>2223.899824627616</v>
      </c>
      <c r="O19" s="727">
        <f>transport!N14</f>
        <v>0</v>
      </c>
      <c r="P19" s="727">
        <f>transport!O14</f>
        <v>0</v>
      </c>
      <c r="Q19" s="728">
        <f>transport!P14</f>
        <v>0</v>
      </c>
      <c r="R19" s="729">
        <f>SUM(C19:Q19)</f>
        <v>43965.152675718185</v>
      </c>
      <c r="S19" s="67"/>
    </row>
    <row r="20" spans="1:19" s="474" customFormat="1" ht="15.75" thickBot="1">
      <c r="A20" s="730" t="s">
        <v>230</v>
      </c>
      <c r="B20" s="878"/>
      <c r="C20" s="873">
        <f>SUM(C17:C19)</f>
        <v>18.495937037102134</v>
      </c>
      <c r="D20" s="731">
        <f t="shared" ref="D20:R20" si="1">SUM(D17:D19)</f>
        <v>0</v>
      </c>
      <c r="E20" s="731">
        <f t="shared" si="1"/>
        <v>63.220400239816108</v>
      </c>
      <c r="F20" s="731">
        <f t="shared" si="1"/>
        <v>84.581944109613019</v>
      </c>
      <c r="G20" s="731">
        <f t="shared" si="1"/>
        <v>0</v>
      </c>
      <c r="H20" s="731">
        <f t="shared" si="1"/>
        <v>35064.54296142466</v>
      </c>
      <c r="I20" s="731">
        <f t="shared" si="1"/>
        <v>7136.468166130363</v>
      </c>
      <c r="J20" s="731">
        <f t="shared" si="1"/>
        <v>0</v>
      </c>
      <c r="K20" s="731">
        <f t="shared" si="1"/>
        <v>0</v>
      </c>
      <c r="L20" s="731">
        <f t="shared" si="1"/>
        <v>0</v>
      </c>
      <c r="M20" s="731">
        <f t="shared" si="1"/>
        <v>0</v>
      </c>
      <c r="N20" s="731">
        <f t="shared" si="1"/>
        <v>2259.457073339056</v>
      </c>
      <c r="O20" s="731">
        <f t="shared" si="1"/>
        <v>0</v>
      </c>
      <c r="P20" s="731">
        <f t="shared" si="1"/>
        <v>0</v>
      </c>
      <c r="Q20" s="732">
        <f t="shared" si="1"/>
        <v>0</v>
      </c>
      <c r="R20" s="733">
        <f t="shared" si="1"/>
        <v>44626.766482280611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204.59091094974062</v>
      </c>
      <c r="D22" s="727">
        <f>+landbouw!C8</f>
        <v>0</v>
      </c>
      <c r="E22" s="727">
        <f>+landbouw!D8</f>
        <v>1133.8265033357475</v>
      </c>
      <c r="F22" s="727">
        <f>+landbouw!E8</f>
        <v>6.0135517655809769</v>
      </c>
      <c r="G22" s="727">
        <f>+landbouw!F8</f>
        <v>852.31467950406989</v>
      </c>
      <c r="H22" s="727">
        <f>+landbouw!G8</f>
        <v>0</v>
      </c>
      <c r="I22" s="727">
        <f>+landbouw!H8</f>
        <v>0</v>
      </c>
      <c r="J22" s="727">
        <f>+landbouw!I8</f>
        <v>0</v>
      </c>
      <c r="K22" s="727">
        <f>+landbouw!J8</f>
        <v>29.640829356511272</v>
      </c>
      <c r="L22" s="727">
        <f>+landbouw!K8</f>
        <v>0</v>
      </c>
      <c r="M22" s="727">
        <f>+landbouw!L8</f>
        <v>0</v>
      </c>
      <c r="N22" s="727">
        <f>+landbouw!M8</f>
        <v>0</v>
      </c>
      <c r="O22" s="727">
        <f>+landbouw!N8</f>
        <v>0</v>
      </c>
      <c r="P22" s="727">
        <f>+landbouw!O8</f>
        <v>0</v>
      </c>
      <c r="Q22" s="728">
        <f>+landbouw!P8</f>
        <v>0</v>
      </c>
      <c r="R22" s="729">
        <f>SUM(C22:Q22)</f>
        <v>2226.3864749116506</v>
      </c>
      <c r="S22" s="67"/>
    </row>
    <row r="23" spans="1:19" s="474" customFormat="1" ht="17.25" thickTop="1" thickBot="1">
      <c r="A23" s="734" t="s">
        <v>116</v>
      </c>
      <c r="B23" s="864"/>
      <c r="C23" s="735">
        <f ca="1">C20+C15+C22</f>
        <v>40485.823926583471</v>
      </c>
      <c r="D23" s="735">
        <f t="shared" ref="D23:Q23" ca="1" si="2">D20+D15+D22</f>
        <v>0</v>
      </c>
      <c r="E23" s="735">
        <f t="shared" ca="1" si="2"/>
        <v>48335.722530334169</v>
      </c>
      <c r="F23" s="735">
        <f t="shared" si="2"/>
        <v>2277.0474349974779</v>
      </c>
      <c r="G23" s="735">
        <f t="shared" ca="1" si="2"/>
        <v>38677.88856637774</v>
      </c>
      <c r="H23" s="735">
        <f t="shared" si="2"/>
        <v>35064.54296142466</v>
      </c>
      <c r="I23" s="735">
        <f t="shared" si="2"/>
        <v>7136.468166130363</v>
      </c>
      <c r="J23" s="735">
        <f t="shared" si="2"/>
        <v>0</v>
      </c>
      <c r="K23" s="735">
        <f t="shared" si="2"/>
        <v>31.366073932302513</v>
      </c>
      <c r="L23" s="735">
        <f t="shared" si="2"/>
        <v>0</v>
      </c>
      <c r="M23" s="735">
        <f t="shared" ca="1" si="2"/>
        <v>0</v>
      </c>
      <c r="N23" s="735">
        <f t="shared" si="2"/>
        <v>2259.457073339056</v>
      </c>
      <c r="O23" s="735">
        <f t="shared" ca="1" si="2"/>
        <v>3256.0660089944677</v>
      </c>
      <c r="P23" s="735">
        <f t="shared" si="2"/>
        <v>164.15</v>
      </c>
      <c r="Q23" s="736">
        <f t="shared" si="2"/>
        <v>1449.0666666666668</v>
      </c>
      <c r="R23" s="737">
        <f ca="1">R20+R15+R22</f>
        <v>179137.5994087804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3896.5171901364624</v>
      </c>
      <c r="D36" s="718">
        <f ca="1">tertiair!C20</f>
        <v>0</v>
      </c>
      <c r="E36" s="718">
        <f ca="1">tertiair!D20</f>
        <v>3676.2998625795153</v>
      </c>
      <c r="F36" s="718">
        <f>tertiair!E20</f>
        <v>49.766536718264874</v>
      </c>
      <c r="G36" s="718">
        <f ca="1">tertiair!F20</f>
        <v>769.29653282870117</v>
      </c>
      <c r="H36" s="718">
        <f>tertiair!G20</f>
        <v>0</v>
      </c>
      <c r="I36" s="718">
        <f>tertiair!H20</f>
        <v>0</v>
      </c>
      <c r="J36" s="718">
        <f>tertiair!I20</f>
        <v>0</v>
      </c>
      <c r="K36" s="718">
        <f>tertiair!J20</f>
        <v>8.1395190499347226E-3</v>
      </c>
      <c r="L36" s="718">
        <f>tertiair!K20</f>
        <v>0</v>
      </c>
      <c r="M36" s="718">
        <f ca="1">tertiair!L20</f>
        <v>0</v>
      </c>
      <c r="N36" s="718">
        <f>tertiair!M20</f>
        <v>0</v>
      </c>
      <c r="O36" s="718">
        <f ca="1">tertiair!N20</f>
        <v>0</v>
      </c>
      <c r="P36" s="718">
        <f>tertiair!O20</f>
        <v>0</v>
      </c>
      <c r="Q36" s="828">
        <f>tertiair!P20</f>
        <v>0</v>
      </c>
      <c r="R36" s="917">
        <f ca="1">SUM(C36:Q36)</f>
        <v>8391.8882617819945</v>
      </c>
    </row>
    <row r="37" spans="1:18">
      <c r="A37" s="885" t="s">
        <v>225</v>
      </c>
      <c r="B37" s="892"/>
      <c r="C37" s="718">
        <f ca="1">huishoudens!B12</f>
        <v>4292.0021615263686</v>
      </c>
      <c r="D37" s="718">
        <f ca="1">huishoudens!C12</f>
        <v>0</v>
      </c>
      <c r="E37" s="718">
        <f>huishoudens!D12</f>
        <v>5500.9010856488958</v>
      </c>
      <c r="F37" s="718">
        <f>huishoudens!E12</f>
        <v>364.94773274535589</v>
      </c>
      <c r="G37" s="718">
        <f>huishoudens!F12</f>
        <v>9050.7987150752997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19208.649694995918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476.21046092797565</v>
      </c>
      <c r="D39" s="718">
        <f ca="1">industrie!C22</f>
        <v>0</v>
      </c>
      <c r="E39" s="718">
        <f>industrie!D22</f>
        <v>344.81152837682953</v>
      </c>
      <c r="F39" s="718">
        <f>industrie!E22</f>
        <v>81.610320717137682</v>
      </c>
      <c r="G39" s="718">
        <f>industrie!F22</f>
        <v>279.33297989126993</v>
      </c>
      <c r="H39" s="718">
        <f>industrie!G22</f>
        <v>0</v>
      </c>
      <c r="I39" s="718">
        <f>industrie!H22</f>
        <v>0</v>
      </c>
      <c r="J39" s="718">
        <f>industrie!I22</f>
        <v>0</v>
      </c>
      <c r="K39" s="718">
        <f>industrie!J22</f>
        <v>0.60259706078016417</v>
      </c>
      <c r="L39" s="718">
        <f>industrie!K22</f>
        <v>0</v>
      </c>
      <c r="M39" s="718">
        <f>industrie!L22</f>
        <v>0</v>
      </c>
      <c r="N39" s="718">
        <f>industrie!M22</f>
        <v>0</v>
      </c>
      <c r="O39" s="718">
        <f>industrie!N22</f>
        <v>0</v>
      </c>
      <c r="P39" s="718">
        <f>industrie!O22</f>
        <v>0</v>
      </c>
      <c r="Q39" s="828">
        <f>industrie!P22</f>
        <v>0</v>
      </c>
      <c r="R39" s="918">
        <f ca="1">SUM(C39:Q39)</f>
        <v>1182.5678869739932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8664.7298125908073</v>
      </c>
      <c r="D41" s="763">
        <f t="shared" ref="D41:R41" ca="1" si="4">SUM(D35:D40)</f>
        <v>0</v>
      </c>
      <c r="E41" s="763">
        <f t="shared" ca="1" si="4"/>
        <v>9522.0124766052413</v>
      </c>
      <c r="F41" s="763">
        <f t="shared" si="4"/>
        <v>496.32459018075849</v>
      </c>
      <c r="G41" s="763">
        <f t="shared" ca="1" si="4"/>
        <v>10099.42822779527</v>
      </c>
      <c r="H41" s="763">
        <f t="shared" si="4"/>
        <v>0</v>
      </c>
      <c r="I41" s="763">
        <f t="shared" si="4"/>
        <v>0</v>
      </c>
      <c r="J41" s="763">
        <f t="shared" si="4"/>
        <v>0</v>
      </c>
      <c r="K41" s="763">
        <f t="shared" si="4"/>
        <v>0.61073657983009888</v>
      </c>
      <c r="L41" s="763">
        <f t="shared" si="4"/>
        <v>0</v>
      </c>
      <c r="M41" s="763">
        <f t="shared" ca="1" si="4"/>
        <v>0</v>
      </c>
      <c r="N41" s="763">
        <f t="shared" si="4"/>
        <v>0</v>
      </c>
      <c r="O41" s="763">
        <f t="shared" ca="1" si="4"/>
        <v>0</v>
      </c>
      <c r="P41" s="763">
        <f t="shared" si="4"/>
        <v>0</v>
      </c>
      <c r="Q41" s="764">
        <f t="shared" si="4"/>
        <v>0</v>
      </c>
      <c r="R41" s="765">
        <f t="shared" ca="1" si="4"/>
        <v>28783.105843751906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167.15710094621244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167.15710094621244</v>
      </c>
    </row>
    <row r="45" spans="1:18" ht="15" thickBot="1">
      <c r="A45" s="888" t="s">
        <v>307</v>
      </c>
      <c r="B45" s="898"/>
      <c r="C45" s="727">
        <f ca="1">transport!B18</f>
        <v>3.9804123784315588</v>
      </c>
      <c r="D45" s="727">
        <f>transport!C18</f>
        <v>0</v>
      </c>
      <c r="E45" s="727">
        <f>transport!D18</f>
        <v>12.770520848442855</v>
      </c>
      <c r="F45" s="727">
        <f>transport!E18</f>
        <v>19.200101312882158</v>
      </c>
      <c r="G45" s="727">
        <f>transport!F18</f>
        <v>0</v>
      </c>
      <c r="H45" s="727">
        <f>transport!G18</f>
        <v>9195.0758697541714</v>
      </c>
      <c r="I45" s="727">
        <f>transport!H18</f>
        <v>1776.9805733664605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11008.007477660387</v>
      </c>
    </row>
    <row r="46" spans="1:18" ht="15.75" thickBot="1">
      <c r="A46" s="886" t="s">
        <v>230</v>
      </c>
      <c r="B46" s="899"/>
      <c r="C46" s="763">
        <f t="shared" ref="C46:R46" ca="1" si="5">SUM(C43:C45)</f>
        <v>3.9804123784315588</v>
      </c>
      <c r="D46" s="763">
        <f t="shared" ca="1" si="5"/>
        <v>0</v>
      </c>
      <c r="E46" s="763">
        <f t="shared" si="5"/>
        <v>12.770520848442855</v>
      </c>
      <c r="F46" s="763">
        <f t="shared" si="5"/>
        <v>19.200101312882158</v>
      </c>
      <c r="G46" s="763">
        <f t="shared" si="5"/>
        <v>0</v>
      </c>
      <c r="H46" s="763">
        <f t="shared" si="5"/>
        <v>9362.2329707003846</v>
      </c>
      <c r="I46" s="763">
        <f t="shared" si="5"/>
        <v>1776.9805733664605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11175.1645786066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44.028923369784906</v>
      </c>
      <c r="D48" s="718">
        <f ca="1">+landbouw!C12</f>
        <v>0</v>
      </c>
      <c r="E48" s="718">
        <f>+landbouw!D12</f>
        <v>229.032953673821</v>
      </c>
      <c r="F48" s="718">
        <f>+landbouw!E12</f>
        <v>1.3650762507868819</v>
      </c>
      <c r="G48" s="718">
        <f>+landbouw!F12</f>
        <v>227.56801942758668</v>
      </c>
      <c r="H48" s="718">
        <f>+landbouw!G12</f>
        <v>0</v>
      </c>
      <c r="I48" s="718">
        <f>+landbouw!H12</f>
        <v>0</v>
      </c>
      <c r="J48" s="718">
        <f>+landbouw!I12</f>
        <v>0</v>
      </c>
      <c r="K48" s="718">
        <f>+landbouw!J12</f>
        <v>10.492853592204989</v>
      </c>
      <c r="L48" s="718">
        <f>+landbouw!K12</f>
        <v>0</v>
      </c>
      <c r="M48" s="718">
        <f>+landbouw!L12</f>
        <v>0</v>
      </c>
      <c r="N48" s="718">
        <f>+landbouw!M12</f>
        <v>0</v>
      </c>
      <c r="O48" s="718">
        <f>+landbouw!N12</f>
        <v>0</v>
      </c>
      <c r="P48" s="718">
        <f>+landbouw!O12</f>
        <v>0</v>
      </c>
      <c r="Q48" s="719">
        <f>+landbouw!P12</f>
        <v>0</v>
      </c>
      <c r="R48" s="761">
        <f ca="1">SUM(C48:Q48)</f>
        <v>512.48782631418442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8712.7391483390238</v>
      </c>
      <c r="D53" s="773">
        <f t="shared" ref="D53:Q53" ca="1" si="6">D41+D46+D48</f>
        <v>0</v>
      </c>
      <c r="E53" s="773">
        <f t="shared" ca="1" si="6"/>
        <v>9763.8159511275044</v>
      </c>
      <c r="F53" s="773">
        <f t="shared" si="6"/>
        <v>516.88976774442744</v>
      </c>
      <c r="G53" s="773">
        <f t="shared" ca="1" si="6"/>
        <v>10326.996247222856</v>
      </c>
      <c r="H53" s="773">
        <f t="shared" si="6"/>
        <v>9362.2329707003846</v>
      </c>
      <c r="I53" s="773">
        <f t="shared" si="6"/>
        <v>1776.9805733664605</v>
      </c>
      <c r="J53" s="773">
        <f t="shared" si="6"/>
        <v>0</v>
      </c>
      <c r="K53" s="773">
        <f t="shared" si="6"/>
        <v>11.103590172035089</v>
      </c>
      <c r="L53" s="773">
        <f t="shared" si="6"/>
        <v>0</v>
      </c>
      <c r="M53" s="773">
        <f t="shared" ca="1" si="6"/>
        <v>0</v>
      </c>
      <c r="N53" s="773">
        <f t="shared" si="6"/>
        <v>0</v>
      </c>
      <c r="O53" s="773">
        <f t="shared" ca="1" si="6"/>
        <v>0</v>
      </c>
      <c r="P53" s="773">
        <f>P41+P46+P48</f>
        <v>0</v>
      </c>
      <c r="Q53" s="774">
        <f t="shared" si="6"/>
        <v>0</v>
      </c>
      <c r="R53" s="775">
        <f ca="1">R41+R46+R48</f>
        <v>40470.75824867269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0.21520468903235376</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1061.6648843254518</v>
      </c>
      <c r="C66" s="795">
        <f>'lokale energieproductie'!B6</f>
        <v>1061.6648843254518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1061.6648843254518</v>
      </c>
      <c r="C69" s="803">
        <f>SUM(C64:C68)</f>
        <v>1061.6648843254518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19943.813403067215</v>
      </c>
      <c r="C4" s="478">
        <f>huishoudens!C8</f>
        <v>0</v>
      </c>
      <c r="D4" s="478">
        <f>huishoudens!D8</f>
        <v>27232.183592321264</v>
      </c>
      <c r="E4" s="478">
        <f>huishoudens!E8</f>
        <v>1607.6992631954004</v>
      </c>
      <c r="F4" s="478">
        <f>huishoudens!F8</f>
        <v>33898.12252837191</v>
      </c>
      <c r="G4" s="478">
        <f>huishoudens!G8</f>
        <v>0</v>
      </c>
      <c r="H4" s="478">
        <f>huishoudens!H8</f>
        <v>0</v>
      </c>
      <c r="I4" s="478">
        <f>huishoudens!I8</f>
        <v>0</v>
      </c>
      <c r="J4" s="478">
        <f>huishoudens!J8</f>
        <v>0</v>
      </c>
      <c r="K4" s="478">
        <f>huishoudens!K8</f>
        <v>0</v>
      </c>
      <c r="L4" s="478">
        <f>huishoudens!L8</f>
        <v>0</v>
      </c>
      <c r="M4" s="478">
        <f>huishoudens!M8</f>
        <v>0</v>
      </c>
      <c r="N4" s="478">
        <f>huishoudens!N8</f>
        <v>1643.6855437242828</v>
      </c>
      <c r="O4" s="478">
        <f>huishoudens!O8</f>
        <v>162.58666666666667</v>
      </c>
      <c r="P4" s="479">
        <f>huishoudens!P8</f>
        <v>1410.9333333333334</v>
      </c>
      <c r="Q4" s="480">
        <f>SUM(B4:P4)</f>
        <v>85899.024330680069</v>
      </c>
    </row>
    <row r="5" spans="1:17">
      <c r="A5" s="477" t="s">
        <v>156</v>
      </c>
      <c r="B5" s="478">
        <f ca="1">tertiair!B16</f>
        <v>17520.071002124212</v>
      </c>
      <c r="C5" s="478">
        <f ca="1">tertiair!C16</f>
        <v>0</v>
      </c>
      <c r="D5" s="478">
        <f ca="1">tertiair!D16</f>
        <v>18199.504270195619</v>
      </c>
      <c r="E5" s="478">
        <f>tertiair!E16</f>
        <v>219.23584457385405</v>
      </c>
      <c r="F5" s="478">
        <f ca="1">tertiair!F16</f>
        <v>2881.2604225794048</v>
      </c>
      <c r="G5" s="478">
        <f>tertiair!G16</f>
        <v>0</v>
      </c>
      <c r="H5" s="478">
        <f>tertiair!H16</f>
        <v>0</v>
      </c>
      <c r="I5" s="478">
        <f>tertiair!I16</f>
        <v>0</v>
      </c>
      <c r="J5" s="478">
        <f>tertiair!J16</f>
        <v>2.2992991666482269E-2</v>
      </c>
      <c r="K5" s="478">
        <f>tertiair!K16</f>
        <v>0</v>
      </c>
      <c r="L5" s="478">
        <f ca="1">tertiair!L16</f>
        <v>0</v>
      </c>
      <c r="M5" s="478">
        <f>tertiair!M16</f>
        <v>0</v>
      </c>
      <c r="N5" s="478">
        <f ca="1">tertiair!N16</f>
        <v>933.86376114466555</v>
      </c>
      <c r="O5" s="478">
        <f>tertiair!O16</f>
        <v>1.5633333333333335</v>
      </c>
      <c r="P5" s="479">
        <f>tertiair!P16</f>
        <v>38.133333333333333</v>
      </c>
      <c r="Q5" s="477">
        <f t="shared" ref="Q5:Q13" ca="1" si="0">SUM(B5:P5)</f>
        <v>39793.654960276093</v>
      </c>
    </row>
    <row r="6" spans="1:17">
      <c r="A6" s="477" t="s">
        <v>194</v>
      </c>
      <c r="B6" s="478">
        <f>'openbare verlichting'!B8</f>
        <v>586.02700000000004</v>
      </c>
      <c r="C6" s="478"/>
      <c r="D6" s="478"/>
      <c r="E6" s="478"/>
      <c r="F6" s="478"/>
      <c r="G6" s="478"/>
      <c r="H6" s="478"/>
      <c r="I6" s="478"/>
      <c r="J6" s="478"/>
      <c r="K6" s="478"/>
      <c r="L6" s="478"/>
      <c r="M6" s="478"/>
      <c r="N6" s="478"/>
      <c r="O6" s="478"/>
      <c r="P6" s="479"/>
      <c r="Q6" s="477">
        <f t="shared" si="0"/>
        <v>586.02700000000004</v>
      </c>
    </row>
    <row r="7" spans="1:17">
      <c r="A7" s="477" t="s">
        <v>112</v>
      </c>
      <c r="B7" s="478">
        <f>landbouw!B8</f>
        <v>204.59091094974062</v>
      </c>
      <c r="C7" s="478">
        <f>landbouw!C8</f>
        <v>0</v>
      </c>
      <c r="D7" s="478">
        <f>landbouw!D8</f>
        <v>1133.8265033357475</v>
      </c>
      <c r="E7" s="478">
        <f>landbouw!E8</f>
        <v>6.0135517655809769</v>
      </c>
      <c r="F7" s="478">
        <f>landbouw!F8</f>
        <v>852.31467950406989</v>
      </c>
      <c r="G7" s="478">
        <f>landbouw!G8</f>
        <v>0</v>
      </c>
      <c r="H7" s="478">
        <f>landbouw!H8</f>
        <v>0</v>
      </c>
      <c r="I7" s="478">
        <f>landbouw!I8</f>
        <v>0</v>
      </c>
      <c r="J7" s="478">
        <f>landbouw!J8</f>
        <v>29.640829356511272</v>
      </c>
      <c r="K7" s="478">
        <f>landbouw!K8</f>
        <v>0</v>
      </c>
      <c r="L7" s="478">
        <f>landbouw!L8</f>
        <v>0</v>
      </c>
      <c r="M7" s="478">
        <f>landbouw!M8</f>
        <v>0</v>
      </c>
      <c r="N7" s="478">
        <f>landbouw!N8</f>
        <v>0</v>
      </c>
      <c r="O7" s="478">
        <f>landbouw!O8</f>
        <v>0</v>
      </c>
      <c r="P7" s="479">
        <f>landbouw!P8</f>
        <v>0</v>
      </c>
      <c r="Q7" s="477">
        <f t="shared" si="0"/>
        <v>2226.3864749116506</v>
      </c>
    </row>
    <row r="8" spans="1:17">
      <c r="A8" s="477" t="s">
        <v>635</v>
      </c>
      <c r="B8" s="478">
        <f>industrie!B18</f>
        <v>2212.8256734052038</v>
      </c>
      <c r="C8" s="478">
        <f>industrie!C18</f>
        <v>0</v>
      </c>
      <c r="D8" s="478">
        <f>industrie!D18</f>
        <v>1706.9877642417302</v>
      </c>
      <c r="E8" s="478">
        <f>industrie!E18</f>
        <v>359.51683135302943</v>
      </c>
      <c r="F8" s="478">
        <f>industrie!F18</f>
        <v>1046.1909359223591</v>
      </c>
      <c r="G8" s="478">
        <f>industrie!G18</f>
        <v>0</v>
      </c>
      <c r="H8" s="478">
        <f>industrie!H18</f>
        <v>0</v>
      </c>
      <c r="I8" s="478">
        <f>industrie!I18</f>
        <v>0</v>
      </c>
      <c r="J8" s="478">
        <f>industrie!J18</f>
        <v>1.7022515841247576</v>
      </c>
      <c r="K8" s="478">
        <f>industrie!K18</f>
        <v>0</v>
      </c>
      <c r="L8" s="478">
        <f>industrie!L18</f>
        <v>0</v>
      </c>
      <c r="M8" s="478">
        <f>industrie!M18</f>
        <v>0</v>
      </c>
      <c r="N8" s="478">
        <f>industrie!N18</f>
        <v>678.51670412551971</v>
      </c>
      <c r="O8" s="478">
        <f>industrie!O18</f>
        <v>0</v>
      </c>
      <c r="P8" s="479">
        <f>industrie!P18</f>
        <v>0</v>
      </c>
      <c r="Q8" s="477">
        <f t="shared" si="0"/>
        <v>6005.7401606319672</v>
      </c>
    </row>
    <row r="9" spans="1:17" s="483" customFormat="1">
      <c r="A9" s="481" t="s">
        <v>561</v>
      </c>
      <c r="B9" s="482">
        <f>transport!B14</f>
        <v>18.495937037102134</v>
      </c>
      <c r="C9" s="482"/>
      <c r="D9" s="482">
        <f>transport!D14</f>
        <v>63.220400239816108</v>
      </c>
      <c r="E9" s="482">
        <f>transport!E14</f>
        <v>84.581944109613019</v>
      </c>
      <c r="F9" s="482"/>
      <c r="G9" s="482">
        <f>transport!G14</f>
        <v>34438.486403573675</v>
      </c>
      <c r="H9" s="482">
        <f>transport!H14</f>
        <v>7136.468166130363</v>
      </c>
      <c r="I9" s="482"/>
      <c r="J9" s="482"/>
      <c r="K9" s="482"/>
      <c r="L9" s="482"/>
      <c r="M9" s="482">
        <f>transport!M14</f>
        <v>2223.899824627616</v>
      </c>
      <c r="N9" s="482"/>
      <c r="O9" s="482"/>
      <c r="P9" s="482"/>
      <c r="Q9" s="481">
        <f>SUM(B9:P9)</f>
        <v>43965.152675718185</v>
      </c>
    </row>
    <row r="10" spans="1:17">
      <c r="A10" s="477" t="s">
        <v>551</v>
      </c>
      <c r="B10" s="478">
        <f>transport!B54</f>
        <v>0</v>
      </c>
      <c r="C10" s="478"/>
      <c r="D10" s="478">
        <f>transport!D54</f>
        <v>0</v>
      </c>
      <c r="E10" s="478"/>
      <c r="F10" s="478"/>
      <c r="G10" s="478">
        <f>transport!G54</f>
        <v>626.05655785098293</v>
      </c>
      <c r="H10" s="478"/>
      <c r="I10" s="478"/>
      <c r="J10" s="478"/>
      <c r="K10" s="478"/>
      <c r="L10" s="478"/>
      <c r="M10" s="478">
        <f>transport!M54</f>
        <v>35.557248711440145</v>
      </c>
      <c r="N10" s="478"/>
      <c r="O10" s="478"/>
      <c r="P10" s="479"/>
      <c r="Q10" s="477">
        <f t="shared" si="0"/>
        <v>661.61380656242306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40485.823926583471</v>
      </c>
      <c r="C14" s="488">
        <f t="shared" ref="C14:Q14" ca="1" si="1">SUM(C4:C13)</f>
        <v>0</v>
      </c>
      <c r="D14" s="488">
        <f t="shared" ca="1" si="1"/>
        <v>48335.722530334169</v>
      </c>
      <c r="E14" s="488">
        <f t="shared" si="1"/>
        <v>2277.0474349974784</v>
      </c>
      <c r="F14" s="488">
        <f t="shared" ca="1" si="1"/>
        <v>38677.88856637774</v>
      </c>
      <c r="G14" s="488">
        <f t="shared" si="1"/>
        <v>35064.54296142466</v>
      </c>
      <c r="H14" s="488">
        <f t="shared" si="1"/>
        <v>7136.468166130363</v>
      </c>
      <c r="I14" s="488">
        <f t="shared" si="1"/>
        <v>0</v>
      </c>
      <c r="J14" s="488">
        <f t="shared" si="1"/>
        <v>31.366073932302509</v>
      </c>
      <c r="K14" s="488">
        <f t="shared" si="1"/>
        <v>0</v>
      </c>
      <c r="L14" s="488">
        <f t="shared" ca="1" si="1"/>
        <v>0</v>
      </c>
      <c r="M14" s="488">
        <f t="shared" si="1"/>
        <v>2259.457073339056</v>
      </c>
      <c r="N14" s="488">
        <f t="shared" ca="1" si="1"/>
        <v>3256.0660089944677</v>
      </c>
      <c r="O14" s="488">
        <f t="shared" si="1"/>
        <v>164.15</v>
      </c>
      <c r="P14" s="489">
        <f t="shared" si="1"/>
        <v>1449.0666666666668</v>
      </c>
      <c r="Q14" s="489">
        <f t="shared" ca="1" si="1"/>
        <v>179137.59940878037</v>
      </c>
    </row>
    <row r="16" spans="1:17">
      <c r="A16" s="491" t="s">
        <v>556</v>
      </c>
      <c r="B16" s="841">
        <f ca="1">huishoudens!B10</f>
        <v>0.21520468903235374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4292.0021615263686</v>
      </c>
      <c r="C21" s="478">
        <f t="shared" ref="C21:C28" ca="1" si="3">C4*$C$16</f>
        <v>0</v>
      </c>
      <c r="D21" s="478">
        <f t="shared" ref="D21:D30" si="4">D4*$D$16</f>
        <v>5500.9010856488958</v>
      </c>
      <c r="E21" s="478">
        <f t="shared" ref="E21:E30" si="5">E4*$E$16</f>
        <v>364.94773274535589</v>
      </c>
      <c r="F21" s="478">
        <f t="shared" ref="F21:F28" si="6">F4*$F$16</f>
        <v>9050.7987150752997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19208.649694995918</v>
      </c>
    </row>
    <row r="22" spans="1:17">
      <c r="A22" s="477" t="s">
        <v>156</v>
      </c>
      <c r="B22" s="478">
        <f t="shared" ca="1" si="2"/>
        <v>3770.4014318368991</v>
      </c>
      <c r="C22" s="478">
        <f t="shared" ca="1" si="3"/>
        <v>0</v>
      </c>
      <c r="D22" s="478">
        <f t="shared" ca="1" si="4"/>
        <v>3676.2998625795153</v>
      </c>
      <c r="E22" s="478">
        <f t="shared" si="5"/>
        <v>49.766536718264874</v>
      </c>
      <c r="F22" s="478">
        <f t="shared" ca="1" si="6"/>
        <v>769.29653282870117</v>
      </c>
      <c r="G22" s="478">
        <f t="shared" si="7"/>
        <v>0</v>
      </c>
      <c r="H22" s="478">
        <f t="shared" si="8"/>
        <v>0</v>
      </c>
      <c r="I22" s="478">
        <f t="shared" si="9"/>
        <v>0</v>
      </c>
      <c r="J22" s="478">
        <f t="shared" si="10"/>
        <v>8.1395190499347226E-3</v>
      </c>
      <c r="K22" s="478">
        <f t="shared" si="11"/>
        <v>0</v>
      </c>
      <c r="L22" s="478">
        <f t="shared" ca="1" si="12"/>
        <v>0</v>
      </c>
      <c r="M22" s="478">
        <f t="shared" si="13"/>
        <v>0</v>
      </c>
      <c r="N22" s="478">
        <f t="shared" ca="1" si="14"/>
        <v>0</v>
      </c>
      <c r="O22" s="478">
        <f t="shared" si="15"/>
        <v>0</v>
      </c>
      <c r="P22" s="479">
        <f t="shared" si="16"/>
        <v>0</v>
      </c>
      <c r="Q22" s="477">
        <f t="shared" ref="Q22:Q30" ca="1" si="17">SUM(B22:P22)</f>
        <v>8265.7725034824307</v>
      </c>
    </row>
    <row r="23" spans="1:17">
      <c r="A23" s="477" t="s">
        <v>194</v>
      </c>
      <c r="B23" s="478">
        <f t="shared" ca="1" si="2"/>
        <v>126.11575829956317</v>
      </c>
      <c r="C23" s="478"/>
      <c r="D23" s="478"/>
      <c r="E23" s="478"/>
      <c r="F23" s="478"/>
      <c r="G23" s="478"/>
      <c r="H23" s="478"/>
      <c r="I23" s="478"/>
      <c r="J23" s="478"/>
      <c r="K23" s="478"/>
      <c r="L23" s="478"/>
      <c r="M23" s="478"/>
      <c r="N23" s="478"/>
      <c r="O23" s="478"/>
      <c r="P23" s="479"/>
      <c r="Q23" s="477">
        <f t="shared" ca="1" si="17"/>
        <v>126.11575829956317</v>
      </c>
    </row>
    <row r="24" spans="1:17">
      <c r="A24" s="477" t="s">
        <v>112</v>
      </c>
      <c r="B24" s="478">
        <f t="shared" ca="1" si="2"/>
        <v>44.028923369784906</v>
      </c>
      <c r="C24" s="478">
        <f t="shared" ca="1" si="3"/>
        <v>0</v>
      </c>
      <c r="D24" s="478">
        <f t="shared" si="4"/>
        <v>229.032953673821</v>
      </c>
      <c r="E24" s="478">
        <f t="shared" si="5"/>
        <v>1.3650762507868819</v>
      </c>
      <c r="F24" s="478">
        <f t="shared" si="6"/>
        <v>227.56801942758668</v>
      </c>
      <c r="G24" s="478">
        <f t="shared" si="7"/>
        <v>0</v>
      </c>
      <c r="H24" s="478">
        <f t="shared" si="8"/>
        <v>0</v>
      </c>
      <c r="I24" s="478">
        <f t="shared" si="9"/>
        <v>0</v>
      </c>
      <c r="J24" s="478">
        <f t="shared" si="10"/>
        <v>10.492853592204989</v>
      </c>
      <c r="K24" s="478">
        <f t="shared" si="11"/>
        <v>0</v>
      </c>
      <c r="L24" s="478">
        <f t="shared" si="12"/>
        <v>0</v>
      </c>
      <c r="M24" s="478">
        <f t="shared" si="13"/>
        <v>0</v>
      </c>
      <c r="N24" s="478">
        <f t="shared" si="14"/>
        <v>0</v>
      </c>
      <c r="O24" s="478">
        <f t="shared" si="15"/>
        <v>0</v>
      </c>
      <c r="P24" s="479">
        <f t="shared" si="16"/>
        <v>0</v>
      </c>
      <c r="Q24" s="477">
        <f t="shared" ca="1" si="17"/>
        <v>512.48782631418442</v>
      </c>
    </row>
    <row r="25" spans="1:17">
      <c r="A25" s="477" t="s">
        <v>635</v>
      </c>
      <c r="B25" s="478">
        <f t="shared" ca="1" si="2"/>
        <v>476.21046092797565</v>
      </c>
      <c r="C25" s="478">
        <f t="shared" ca="1" si="3"/>
        <v>0</v>
      </c>
      <c r="D25" s="478">
        <f t="shared" si="4"/>
        <v>344.81152837682953</v>
      </c>
      <c r="E25" s="478">
        <f t="shared" si="5"/>
        <v>81.610320717137682</v>
      </c>
      <c r="F25" s="478">
        <f t="shared" si="6"/>
        <v>279.33297989126993</v>
      </c>
      <c r="G25" s="478">
        <f t="shared" si="7"/>
        <v>0</v>
      </c>
      <c r="H25" s="478">
        <f t="shared" si="8"/>
        <v>0</v>
      </c>
      <c r="I25" s="478">
        <f t="shared" si="9"/>
        <v>0</v>
      </c>
      <c r="J25" s="478">
        <f t="shared" si="10"/>
        <v>0.60259706078016417</v>
      </c>
      <c r="K25" s="478">
        <f t="shared" si="11"/>
        <v>0</v>
      </c>
      <c r="L25" s="478">
        <f t="shared" si="12"/>
        <v>0</v>
      </c>
      <c r="M25" s="478">
        <f t="shared" si="13"/>
        <v>0</v>
      </c>
      <c r="N25" s="478">
        <f t="shared" si="14"/>
        <v>0</v>
      </c>
      <c r="O25" s="478">
        <f t="shared" si="15"/>
        <v>0</v>
      </c>
      <c r="P25" s="479">
        <f t="shared" si="16"/>
        <v>0</v>
      </c>
      <c r="Q25" s="477">
        <f t="shared" ca="1" si="17"/>
        <v>1182.5678869739932</v>
      </c>
    </row>
    <row r="26" spans="1:17" s="483" customFormat="1">
      <c r="A26" s="481" t="s">
        <v>561</v>
      </c>
      <c r="B26" s="835">
        <f t="shared" ca="1" si="2"/>
        <v>3.9804123784315588</v>
      </c>
      <c r="C26" s="482"/>
      <c r="D26" s="482">
        <f t="shared" si="4"/>
        <v>12.770520848442855</v>
      </c>
      <c r="E26" s="482">
        <f t="shared" si="5"/>
        <v>19.200101312882158</v>
      </c>
      <c r="F26" s="482"/>
      <c r="G26" s="482">
        <f t="shared" si="7"/>
        <v>9195.0758697541714</v>
      </c>
      <c r="H26" s="482">
        <f t="shared" si="8"/>
        <v>1776.9805733664605</v>
      </c>
      <c r="I26" s="482"/>
      <c r="J26" s="482"/>
      <c r="K26" s="482"/>
      <c r="L26" s="482"/>
      <c r="M26" s="482">
        <f t="shared" si="13"/>
        <v>0</v>
      </c>
      <c r="N26" s="482"/>
      <c r="O26" s="482"/>
      <c r="P26" s="493"/>
      <c r="Q26" s="481">
        <f t="shared" ca="1" si="17"/>
        <v>11008.007477660387</v>
      </c>
    </row>
    <row r="27" spans="1:17">
      <c r="A27" s="477" t="s">
        <v>551</v>
      </c>
      <c r="B27" s="478">
        <f t="shared" ca="1" si="2"/>
        <v>0</v>
      </c>
      <c r="C27" s="478"/>
      <c r="D27" s="482">
        <f t="shared" si="4"/>
        <v>0</v>
      </c>
      <c r="E27" s="478"/>
      <c r="F27" s="478"/>
      <c r="G27" s="478">
        <f t="shared" si="7"/>
        <v>167.15710094621244</v>
      </c>
      <c r="H27" s="478"/>
      <c r="I27" s="478"/>
      <c r="J27" s="478"/>
      <c r="K27" s="478"/>
      <c r="L27" s="478"/>
      <c r="M27" s="478">
        <f t="shared" si="13"/>
        <v>0</v>
      </c>
      <c r="N27" s="478"/>
      <c r="O27" s="478"/>
      <c r="P27" s="479"/>
      <c r="Q27" s="477">
        <f t="shared" ca="1" si="17"/>
        <v>167.15710094621244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8712.7391483390238</v>
      </c>
      <c r="C31" s="488">
        <f t="shared" ca="1" si="18"/>
        <v>0</v>
      </c>
      <c r="D31" s="488">
        <f t="shared" ca="1" si="18"/>
        <v>9763.8159511275044</v>
      </c>
      <c r="E31" s="488">
        <f t="shared" si="18"/>
        <v>516.88976774442744</v>
      </c>
      <c r="F31" s="488">
        <f t="shared" ca="1" si="18"/>
        <v>10326.996247222856</v>
      </c>
      <c r="G31" s="488">
        <f t="shared" si="18"/>
        <v>9362.2329707003846</v>
      </c>
      <c r="H31" s="488">
        <f t="shared" si="18"/>
        <v>1776.9805733664605</v>
      </c>
      <c r="I31" s="488">
        <f t="shared" si="18"/>
        <v>0</v>
      </c>
      <c r="J31" s="488">
        <f t="shared" si="18"/>
        <v>11.103590172035089</v>
      </c>
      <c r="K31" s="488">
        <f t="shared" si="18"/>
        <v>0</v>
      </c>
      <c r="L31" s="488">
        <f t="shared" ca="1" si="18"/>
        <v>0</v>
      </c>
      <c r="M31" s="488">
        <f t="shared" si="18"/>
        <v>0</v>
      </c>
      <c r="N31" s="488">
        <f t="shared" ca="1" si="18"/>
        <v>0</v>
      </c>
      <c r="O31" s="488">
        <f t="shared" si="18"/>
        <v>0</v>
      </c>
      <c r="P31" s="489">
        <f t="shared" si="18"/>
        <v>0</v>
      </c>
      <c r="Q31" s="489">
        <f t="shared" ca="1" si="18"/>
        <v>40470.75824867269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0.21520468903235374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0.21520468903235374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0.21520468903235374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2019-01-01T21:20:58Z</dcterms:modified>
</cp:coreProperties>
</file>