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J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17" i="19"/>
  <c r="C19" s="1"/>
  <c r="D35" i="14" s="1"/>
  <c r="C10" i="13"/>
  <c r="C12" s="1"/>
  <c r="D37" i="14" s="1"/>
  <c r="D41" s="1"/>
  <c r="C29" i="20"/>
  <c r="C20" i="16"/>
  <c r="C22" s="1"/>
  <c r="D39" i="14" s="1"/>
  <c r="C18" i="15"/>
  <c r="C20" s="1"/>
  <c r="D36" i="14" s="1"/>
  <c r="C16" i="22"/>
  <c r="C10" i="17"/>
  <c r="C12" s="1"/>
  <c r="D48" i="14" s="1"/>
  <c r="C56" i="22"/>
  <c r="C58" s="1"/>
  <c r="D44" i="14" s="1"/>
  <c r="D46"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<sst xmlns="http://schemas.openxmlformats.org/spreadsheetml/2006/main" count="2222" uniqueCount="899">
  <si>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</si>
  <si>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</si>
  <si>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</si>
  <si>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</si>
  <si>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</si>
  <si>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</si>
  <si>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</si>
  <si>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</si>
  <si>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</si>
  <si>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</si>
  <si>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</si>
  <si>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</si>
  <si>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</si>
  <si>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</si>
  <si>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</si>
  <si>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</si>
  <si>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</si>
  <si>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</si>
  <si>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</si>
  <si>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</si>
  <si>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</si>
  <si>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</si>
  <si>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</si>
  <si>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</si>
  <si>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</si>
  <si>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</si>
  <si>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</si>
  <si>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</si>
  <si>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</si>
  <si>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</si>
  <si>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</si>
  <si>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</si>
  <si>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</si>
  <si>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</si>
  <si>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</si>
  <si>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</si>
  <si>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</si>
  <si>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</si>
  <si>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</si>
  <si>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</si>
  <si>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</si>
  <si>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</si>
  <si>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</si>
  <si>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</si>
  <si>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</si>
  <si>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</si>
  <si>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</si>
  <si>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</si>
  <si>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</si>
  <si>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</si>
  <si>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</si>
  <si>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</si>
  <si>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</si>
  <si>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</si>
  <si>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</si>
  <si>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</si>
  <si>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</si>
  <si>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</si>
  <si>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</si>
  <si>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</si>
  <si>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</si>
  <si>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</si>
  <si>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</si>
  <si>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</si>
  <si>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</si>
  <si>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</si>
  <si>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</si>
  <si>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</si>
  <si>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</si>
  <si>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</si>
  <si>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</si>
  <si>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</si>
  <si>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</si>
  <si>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</si>
  <si>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</si>
  <si>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</si>
  <si>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</si>
  <si>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</si>
  <si>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</si>
  <si>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</si>
  <si>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</si>
  <si>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</si>
  <si>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</si>
  <si>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</si>
  <si>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</si>
  <si>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</si>
  <si>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</si>
  <si>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</si>
  <si>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</si>
  <si>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</si>
  <si>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</si>
  <si>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</si>
  <si>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</si>
  <si>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</si>
  <si>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</si>
  <si>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</si>
  <si>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</si>
  <si>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</si>
  <si>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</si>
  <si>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</si>
  <si>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</si>
  <si>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</si>
  <si>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</si>
  <si>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</si>
  <si>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</si>
  <si>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</si>
  <si>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</si>
  <si>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</si>
  <si>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</si>
  <si>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</si>
  <si>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</si>
  <si>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</si>
  <si>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</si>
  <si>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</si>
  <si>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</si>
  <si>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</si>
  <si>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</si>
  <si>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</si>
  <si>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</si>
  <si>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</si>
  <si>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</si>
  <si>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</si>
  <si>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</si>
  <si>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</si>
  <si>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</si>
  <si>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</si>
  <si>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</si>
  <si>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</si>
  <si>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</si>
  <si>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</si>
  <si>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</si>
  <si>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</si>
  <si>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</si>
  <si>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</si>
  <si>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</si>
  <si>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</si>
  <si>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</si>
  <si>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</si>
  <si>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</si>
  <si>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</si>
  <si>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</si>
  <si>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</si>
  <si>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</si>
  <si>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</si>
  <si>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</si>
  <si>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</si>
  <si>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</si>
  <si>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</si>
  <si>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</si>
  <si>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</si>
  <si>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</si>
  <si>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</si>
  <si>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</si>
  <si>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</si>
  <si>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</si>
  <si>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</si>
  <si>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</si>
  <si>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</si>
  <si>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</si>
  <si>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</si>
  <si>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</si>
  <si>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</si>
  <si>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</si>
  <si>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</si>
  <si>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</si>
  <si>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</si>
  <si>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</si>
  <si>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</si>
  <si>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</si>
  <si>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</si>
  <si>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</si>
  <si>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</si>
  <si>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</si>
  <si>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</si>
  <si>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</si>
  <si>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</si>
  <si>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</si>
  <si>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</si>
  <si>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</si>
  <si>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</si>
  <si>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</si>
  <si>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</si>
  <si>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</si>
  <si>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</si>
  <si>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</si>
  <si>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</si>
  <si>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</si>
  <si>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</si>
  <si>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</si>
  <si>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</si>
  <si>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</si>
  <si>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</si>
  <si>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</si>
  <si>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</si>
  <si>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</si>
  <si>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</si>
  <si>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</si>
  <si>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</si>
  <si>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</si>
  <si>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</si>
  <si>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</si>
  <si>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</si>
  <si>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</si>
  <si>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</si>
  <si>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</si>
  <si>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</si>
  <si>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</si>
  <si>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</si>
  <si>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</si>
  <si>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</si>
  <si>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</si>
  <si>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</si>
  <si>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</si>
  <si>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</si>
  <si>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</si>
  <si>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</si>
  <si>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</si>
  <si>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</si>
  <si>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</si>
  <si>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</si>
  <si>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</si>
  <si>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</si>
  <si>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</si>
  <si>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</si>
  <si>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</si>
  <si>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</si>
  <si>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</si>
  <si>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</si>
  <si>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</si>
  <si>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</si>
  <si>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</si>
  <si>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</si>
  <si>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</si>
  <si>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</si>
  <si>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</si>
  <si>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</si>
  <si>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</si>
  <si>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</si>
  <si>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</si>
  <si>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</si>
  <si>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</si>
  <si>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</si>
  <si>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</si>
  <si>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</si>
  <si>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</si>
  <si>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</si>
  <si>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</si>
  <si>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</si>
  <si>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</si>
  <si>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</si>
  <si>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</si>
  <si>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</si>
  <si>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</si>
  <si>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</si>
  <si>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</si>
  <si>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</si>
  <si>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</si>
  <si>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</si>
  <si>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</si>
  <si>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</si>
  <si>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</si>
  <si>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</si>
  <si>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</si>
  <si>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</si>
  <si>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</si>
  <si>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</si>
  <si>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</si>
  <si>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</si>
  <si>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</si>
  <si>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</si>
  <si>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</si>
  <si>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</si>
  <si>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</si>
  <si>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</si>
  <si>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</si>
  <si>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</si>
  <si>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</si>
  <si>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</si>
  <si>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</si>
  <si>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</si>
  <si>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</si>
  <si>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</si>
  <si>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</si>
  <si>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</si>
  <si>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</si>
  <si>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</si>
  <si>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</si>
  <si>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</si>
  <si>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</si>
  <si>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</si>
  <si>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</si>
  <si>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</si>
  <si>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</si>
  <si>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</si>
  <si>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</si>
  <si>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</si>
  <si>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</si>
  <si>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</si>
  <si>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</si>
  <si>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</si>
  <si>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</si>
  <si>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</si>
  <si>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</si>
  <si>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</si>
  <si>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</si>
  <si>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</si>
  <si>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</si>
  <si>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</si>
  <si>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</si>
  <si>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</si>
  <si>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</si>
  <si>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</si>
  <si>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</si>
  <si>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</si>
  <si>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</si>
  <si>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</si>
  <si>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</si>
  <si>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</si>
  <si>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</si>
  <si>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</si>
  <si>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</si>
  <si>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</si>
  <si>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</si>
  <si>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</si>
  <si>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</si>
  <si>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</si>
  <si>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</si>
  <si>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</si>
  <si>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</si>
  <si>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</si>
  <si>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</si>
  <si>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</si>
  <si>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</si>
  <si>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</si>
  <si>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</si>
  <si>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</si>
  <si>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</si>
  <si>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</si>
  <si>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</si>
  <si>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</si>
  <si>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</si>
  <si>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</si>
  <si>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</si>
  <si>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</si>
  <si>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</si>
  <si>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</si>
  <si>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</si>
  <si>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</si>
  <si>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</si>
  <si>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</si>
  <si>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</si>
  <si>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</si>
  <si>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</si>
  <si>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</si>
  <si>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</si>
  <si>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</si>
  <si>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</si>
  <si>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</si>
  <si>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</si>
  <si>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</si>
  <si>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</si>
  <si>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</si>
  <si>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</si>
  <si>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</si>
  <si>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</si>
  <si>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</si>
  <si>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</si>
  <si>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</si>
  <si>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</si>
  <si>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</si>
  <si>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</si>
  <si>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</si>
  <si>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</si>
  <si>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</si>
  <si>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</si>
  <si>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</si>
  <si>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</si>
  <si>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</si>
  <si>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</si>
  <si>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</si>
  <si>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</si>
  <si>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</si>
  <si>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</si>
  <si>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</si>
  <si>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</si>
  <si>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</si>
  <si>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</si>
  <si>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</si>
  <si>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</si>
  <si>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</si>
  <si>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</si>
  <si>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</si>
  <si>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</si>
  <si>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</si>
  <si>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</si>
  <si>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</si>
  <si>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</si>
  <si>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</si>
  <si>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</si>
  <si>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</si>
  <si>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</si>
  <si>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</si>
  <si>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</si>
  <si>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</si>
  <si>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</si>
  <si>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</si>
  <si>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</si>
  <si>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</si>
  <si>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</si>
  <si>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</si>
  <si>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</si>
  <si>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</si>
  <si>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</si>
  <si>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</si>
  <si>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</si>
  <si>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</si>
  <si>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</si>
  <si>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</si>
  <si>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</si>
  <si>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</si>
  <si>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</si>
  <si>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</si>
  <si>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</si>
  <si>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</si>
  <si>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</si>
  <si>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</si>
  <si>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</si>
  <si>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</si>
  <si>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</si>
  <si>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</si>
  <si>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</si>
  <si>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</si>
  <si>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</si>
  <si>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</si>
  <si>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</si>
  <si>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</si>
  <si>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</si>
  <si>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</si>
  <si>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</si>
  <si>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</si>
  <si>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</si>
  <si>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</si>
  <si>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</si>
  <si>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</si>
  <si>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</si>
  <si>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</si>
  <si>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</si>
  <si>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</si>
  <si>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</si>
  <si>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</si>
  <si>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</si>
  <si>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</si>
  <si>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</si>
  <si>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</si>
  <si>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</si>
  <si>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</si>
  <si>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</si>
  <si>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</si>
  <si>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</si>
  <si>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</si>
  <si>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</si>
  <si>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</si>
  <si>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</si>
  <si>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</si>
  <si>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</si>
  <si>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</si>
  <si>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</si>
  <si>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</si>
  <si>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</si>
  <si>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</si>
  <si>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</si>
  <si>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</si>
  <si>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</si>
  <si>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</si>
  <si>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</si>
  <si>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</si>
  <si>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</si>
  <si>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</si>
  <si>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</si>
  <si>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</si>
  <si>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</si>
  <si>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</si>
  <si>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</si>
  <si>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</si>
  <si>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</si>
  <si>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</si>
  <si>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</si>
  <si>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</si>
  <si>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</si>
  <si>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</si>
  <si>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</si>
  <si>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</si>
  <si>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</si>
  <si>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</si>
  <si>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</si>
  <si>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</si>
  <si>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</si>
  <si>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</si>
  <si>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</si>
  <si>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</si>
  <si>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</si>
  <si>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</si>
  <si>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</si>
  <si>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</si>
  <si>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</si>
  <si>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</si>
  <si>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</si>
  <si>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</si>
  <si>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</si>
  <si>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</si>
  <si>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</si>
  <si>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</si>
  <si>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</si>
  <si>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</si>
  <si>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</si>
  <si>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</si>
  <si>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</si>
  <si>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</si>
  <si>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</si>
  <si>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</si>
  <si>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</si>
  <si>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</si>
  <si>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</si>
  <si>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</si>
  <si>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</si>
  <si>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</si>
  <si>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</si>
  <si>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</si>
  <si>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</si>
  <si>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</si>
  <si>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</si>
  <si>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</si>
  <si>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</si>
  <si>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</si>
  <si>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</si>
  <si>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</si>
  <si>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</si>
  <si>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</si>
  <si>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</si>
  <si>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</si>
  <si>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</si>
  <si>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</si>
  <si>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</si>
  <si>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</si>
  <si>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</si>
  <si>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</si>
  <si>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</si>
  <si>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</si>
  <si>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</si>
  <si>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</si>
  <si>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</si>
  <si>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</si>
  <si>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</si>
  <si>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</si>
  <si>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</si>
  <si>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</si>
  <si>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</si>
  <si>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</si>
  <si>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</si>
  <si>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</si>
  <si>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</si>
  <si>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</si>
  <si>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</si>
  <si>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</si>
  <si>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</si>
  <si>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</si>
  <si>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</si>
  <si>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</si>
  <si>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</si>
  <si>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</si>
  <si>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</si>
  <si>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</si>
  <si>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</si>
  <si>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</si>
  <si>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</si>
  <si>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</si>
  <si>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</si>
  <si>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</si>
  <si>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</si>
  <si>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</si>
  <si>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</si>
  <si>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</si>
  <si>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</si>
  <si>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</si>
  <si>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</si>
  <si>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</si>
  <si>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</si>
  <si>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</si>
  <si>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</si>
  <si>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</si>
  <si>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</si>
  <si>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</si>
  <si>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</si>
  <si>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</si>
  <si>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</si>
  <si>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</si>
  <si>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</si>
  <si>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</si>
  <si>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</si>
  <si>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</si>
  <si>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</si>
  <si>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</si>
  <si>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</si>
  <si>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</si>
  <si>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</si>
  <si>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</si>
  <si>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</si>
  <si>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</si>
  <si>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</si>
  <si>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</si>
  <si>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</si>
  <si>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</si>
  <si>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</si>
  <si>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</si>
  <si>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</si>
  <si>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</si>
  <si>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</si>
  <si>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</si>
  <si>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</si>
  <si>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</si>
  <si>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</si>
  <si>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</si>
  <si>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</si>
  <si>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</si>
  <si>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</si>
  <si>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</si>
  <si>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</si>
  <si>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</si>
  <si>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</si>
  <si>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</si>
  <si>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</si>
  <si>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</si>
  <si>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</si>
  <si>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</si>
  <si>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</si>
  <si>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</si>
  <si>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</si>
  <si>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</si>
  <si>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</si>
  <si>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</si>
  <si>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</si>
  <si>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</si>
  <si>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</si>
  <si>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</si>
  <si>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</si>
  <si>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</si>
  <si>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</si>
  <si>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</si>
  <si>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</si>
  <si>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</si>
  <si>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</si>
  <si>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</si>
  <si>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</si>
  <si>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</si>
  <si>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</si>
  <si>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</si>
  <si>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</si>
  <si>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</si>
  <si>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</si>
  <si>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</si>
  <si>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</si>
  <si>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</si>
  <si>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</si>
  <si>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</si>
  <si>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</si>
  <si>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</si>
  <si>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</si>
  <si>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</si>
  <si>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</si>
  <si>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</si>
  <si>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</si>
  <si>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</si>
  <si>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</si>
  <si>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</si>
  <si>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</si>
  <si>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</si>
  <si>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</si>
  <si>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</si>
  <si>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</si>
  <si>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</si>
  <si>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</si>
  <si>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</si>
  <si>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</si>
  <si>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</si>
  <si>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</si>
  <si>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</si>
  <si>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</si>
  <si>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</si>
  <si>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</si>
  <si>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</si>
  <si>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</si>
  <si>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</si>
  <si>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</si>
  <si>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</si>
  <si>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</si>
  <si>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</si>
  <si>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</si>
  <si>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</si>
  <si>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</si>
  <si>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</si>
  <si>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</si>
  <si>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</si>
  <si>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</si>
  <si>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</si>
  <si>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</si>
  <si>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</si>
  <si>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</si>
  <si>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</si>
  <si>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</si>
  <si>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</si>
  <si>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</si>
  <si>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</si>
  <si>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</si>
  <si>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</si>
  <si>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</si>
  <si>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</si>
  <si>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</si>
  <si>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</si>
  <si>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</si>
  <si>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</si>
  <si>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</si>
  <si>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</si>
  <si>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</si>
  <si>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</si>
  <si>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</si>
  <si>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</si>
  <si>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</si>
  <si>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</si>
  <si>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</si>
  <si>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</si>
  <si>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</si>
  <si>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</si>
  <si>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</si>
  <si>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</si>
  <si>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</si>
  <si>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</si>
  <si>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</si>
  <si>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</si>
  <si>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</si>
  <si>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</si>
  <si>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</si>
  <si>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</si>
  <si>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</si>
  <si>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</si>
  <si>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</si>
  <si>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</si>
  <si>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</si>
  <si>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</si>
  <si>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</si>
  <si>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</si>
  <si>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</si>
  <si>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</si>
  <si>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</si>
  <si>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</si>
  <si>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</si>
  <si>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</si>
  <si>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</si>
  <si>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</si>
  <si>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</si>
  <si>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</si>
  <si>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</si>
  <si>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</si>
  <si>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</si>
  <si>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</si>
  <si>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</si>
  <si>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</si>
  <si>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</si>
  <si>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</si>
  <si>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</si>
  <si>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</si>
  <si>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</si>
  <si>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</si>
  <si>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</si>
  <si>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</si>
  <si>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</si>
  <si>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</si>
  <si>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</si>
  <si>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</si>
  <si>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</si>
  <si>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</si>
  <si>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</si>
  <si>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</si>
  <si>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</si>
  <si>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</si>
  <si>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</si>
  <si>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</si>
  <si>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</si>
  <si>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</si>
  <si>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</si>
  <si>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</si>
  <si>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</si>
  <si>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</si>
  <si>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</si>
  <si>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</si>
  <si>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</si>
  <si>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</si>
  <si>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</si>
  <si>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</si>
  <si>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</si>
  <si>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</si>
  <si>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</si>
  <si>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</si>
  <si>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</si>
  <si>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</si>
  <si>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</si>
  <si>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</si>
  <si>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</si>
  <si>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</si>
  <si>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</si>
  <si>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</si>
  <si>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</si>
  <si>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</si>
  <si>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</si>
  <si>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</si>
  <si>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</si>
  <si>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</si>
  <si>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</si>
  <si>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</si>
  <si>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</si>
  <si>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</si>
  <si>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</si>
  <si>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</si>
  <si>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</si>
  <si>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</si>
  <si>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</si>
  <si>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</si>
  <si>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</si>
  <si>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</si>
  <si>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</si>
  <si>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</si>
  <si>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</si>
  <si>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</si>
  <si>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</si>
  <si>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</si>
  <si>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</si>
  <si>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</si>
  <si>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44021</t>
  </si>
  <si>
    <t>GENT</t>
  </si>
  <si>
    <t>Eandis (januari 2018); Infrax (juni 2018)</t>
  </si>
  <si>
    <t>MOW (september 2017)</t>
  </si>
  <si>
    <t>referentietaak LNE (2017); Jaarverslag De Lijn (2016)</t>
  </si>
  <si>
    <t>VEA (april 2018)</t>
  </si>
  <si>
    <t>VEA (januari 2017)</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</si>
  <si>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</si>
  <si>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</si>
  <si>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</si>
  <si>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</si>
  <si>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</si>
  <si>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</si>
  <si>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</si>
  <si>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</si>
  <si>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</si>
  <si>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</si>
  <si>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</si>
  <si>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S&amp;R Gent nv</t>
  </si>
  <si>
    <t>Victor Braeckmanlaan 180 , 9040 Sint-Amandsberg</t>
  </si>
  <si>
    <t>WKK-0417 SR Gent</t>
  </si>
  <si>
    <t>WKK interne verbrandinsgmotor (gas)</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</si>
  <si>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</si>
  <si>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</si>
  <si>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</si>
  <si>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</si>
  <si>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</si>
  <si>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</si>
  <si>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</si>
  <si>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</si>
  <si>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</si>
  <si>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</si>
  <si>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</si>
  <si>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</si>
  <si>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</si>
  <si>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WKK-0616 Sofa Invest</t>
  </si>
  <si>
    <t>Koningin Maria Hendrikaplein 70 , 9000 Gent</t>
  </si>
  <si>
    <t>Universiteit Gent</t>
  </si>
  <si>
    <t>Sint-Pietersnieuwstraat 25 , 9000 Gent</t>
  </si>
  <si>
    <t>WKK-0653 Universiteit Gent II</t>
  </si>
  <si>
    <t>Karel Lodewijk Ledeganckstraat 25 , 9000 Gent</t>
  </si>
  <si>
    <t>WKK-0625 Universiteit Gent</t>
  </si>
  <si>
    <t>coupure links 653 , 9000 Gent</t>
  </si>
  <si>
    <t>Trianon NV</t>
  </si>
  <si>
    <t>Sint-Denijslaan 203 , 9000 Gent</t>
  </si>
  <si>
    <t>WKK-0659 Trianon</t>
  </si>
  <si>
    <t>hotels</t>
  </si>
  <si>
    <t>E. Van Wingen nv</t>
  </si>
  <si>
    <t>Durmakker 27 , 9940 Evergem</t>
  </si>
  <si>
    <t>WKK-0639 Mahy</t>
  </si>
  <si>
    <t>Zeeschipstraat 107 B, 9000 Gent</t>
  </si>
  <si>
    <t>Bayer CropScience</t>
  </si>
  <si>
    <t>WKK-0776</t>
  </si>
  <si>
    <t>Interne verbrandingsmotor</t>
  </si>
  <si>
    <t>Technologiepark 38, 9052 Zwijnaarde, BE</t>
  </si>
  <si>
    <t>IMEWO (via EANDIS)</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</si>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</sst>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1608826.8860476406</c:v>
                </c:pt>
                <c:pt idx="1">
                  <c:v>1720341.9294423813</c:v>
                </c:pt>
                <c:pt idx="2">
                  <c:v>13783.724</c:v>
                </c:pt>
                <c:pt idx="3">
                  <c:v>109401.12555227439</c:v>
                </c:pt>
                <c:pt idx="4">
                  <c:v>824924.31780282059</c:v>
                </c:pt>
                <c:pt idx="5">
                  <c:v>2056744.9226937559</c:v>
                </c:pt>
                <c:pt idx="6">
                  <c:v>47303.223471168851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1608826.8860476406</c:v>
                </c:pt>
                <c:pt idx="1">
                  <c:v>1720341.9294423813</c:v>
                </c:pt>
                <c:pt idx="2">
                  <c:v>13783.724</c:v>
                </c:pt>
                <c:pt idx="3">
                  <c:v>109401.12555227439</c:v>
                </c:pt>
                <c:pt idx="4">
                  <c:v>824924.31780282059</c:v>
                </c:pt>
                <c:pt idx="5">
                  <c:v>2056744.9226937559</c:v>
                </c:pt>
                <c:pt idx="6">
                  <c:v>47303.223471168851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303706.11977765337</c:v>
                </c:pt>
                <c:pt idx="1">
                  <c:v>340553.29193905077</c:v>
                </c:pt>
                <c:pt idx="2">
                  <c:v>2698.6195947573015</c:v>
                </c:pt>
                <c:pt idx="3">
                  <c:v>23101.345525440622</c:v>
                </c:pt>
                <c:pt idx="4">
                  <c:v>148938.08635838478</c:v>
                </c:pt>
                <c:pt idx="5">
                  <c:v>515330.78586001671</c:v>
                </c:pt>
                <c:pt idx="6">
                  <c:v>11434.516738362352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303706.11977765337</c:v>
                </c:pt>
                <c:pt idx="1">
                  <c:v>340553.29193905077</c:v>
                </c:pt>
                <c:pt idx="2">
                  <c:v>2698.6195947573015</c:v>
                </c:pt>
                <c:pt idx="3">
                  <c:v>23101.345525440622</c:v>
                </c:pt>
                <c:pt idx="4">
                  <c:v>148938.08635838478</c:v>
                </c:pt>
                <c:pt idx="5">
                  <c:v>515330.78586001671</c:v>
                </c:pt>
                <c:pt idx="6">
                  <c:v>11434.516738362352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44021</v>
      </c>
      <c r="B6" s="415"/>
      <c r="C6" s="416"/>
    </row>
    <row r="7" spans="1:7" s="413" customFormat="1" ht="15.75" customHeight="1">
      <c r="A7" s="417" t="str">
        <f>txtMunicipality</f>
        <v>GENT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118811</v>
      </c>
      <c r="C9" s="342">
        <v>123757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3123.46</v>
      </c>
    </row>
    <row r="15" spans="1:6">
      <c r="A15" s="348" t="s">
        <v>184</v>
      </c>
      <c r="B15" s="334">
        <v>39</v>
      </c>
    </row>
    <row r="16" spans="1:6">
      <c r="A16" s="348" t="s">
        <v>6</v>
      </c>
      <c r="B16" s="334">
        <v>1445</v>
      </c>
    </row>
    <row r="17" spans="1:6">
      <c r="A17" s="348" t="s">
        <v>7</v>
      </c>
      <c r="B17" s="334">
        <v>867</v>
      </c>
    </row>
    <row r="18" spans="1:6">
      <c r="A18" s="348" t="s">
        <v>8</v>
      </c>
      <c r="B18" s="334">
        <v>1383</v>
      </c>
    </row>
    <row r="19" spans="1:6">
      <c r="A19" s="348" t="s">
        <v>9</v>
      </c>
      <c r="B19" s="334">
        <v>1189</v>
      </c>
    </row>
    <row r="20" spans="1:6">
      <c r="A20" s="348" t="s">
        <v>10</v>
      </c>
      <c r="B20" s="334">
        <v>895</v>
      </c>
    </row>
    <row r="21" spans="1:6">
      <c r="A21" s="348" t="s">
        <v>11</v>
      </c>
      <c r="B21" s="334">
        <v>868</v>
      </c>
    </row>
    <row r="22" spans="1:6">
      <c r="A22" s="348" t="s">
        <v>12</v>
      </c>
      <c r="B22" s="334">
        <v>3077</v>
      </c>
    </row>
    <row r="23" spans="1:6">
      <c r="A23" s="348" t="s">
        <v>13</v>
      </c>
      <c r="B23" s="334">
        <v>37</v>
      </c>
    </row>
    <row r="24" spans="1:6">
      <c r="A24" s="348" t="s">
        <v>14</v>
      </c>
      <c r="B24" s="334">
        <v>4</v>
      </c>
    </row>
    <row r="25" spans="1:6">
      <c r="A25" s="348" t="s">
        <v>15</v>
      </c>
      <c r="B25" s="334">
        <v>259</v>
      </c>
    </row>
    <row r="26" spans="1:6">
      <c r="A26" s="348" t="s">
        <v>16</v>
      </c>
      <c r="B26" s="334">
        <v>393</v>
      </c>
    </row>
    <row r="27" spans="1:6">
      <c r="A27" s="348" t="s">
        <v>17</v>
      </c>
      <c r="B27" s="334">
        <v>11</v>
      </c>
    </row>
    <row r="28" spans="1:6" s="356" customFormat="1">
      <c r="A28" s="355" t="s">
        <v>18</v>
      </c>
      <c r="B28" s="355">
        <v>6</v>
      </c>
    </row>
    <row r="29" spans="1:6">
      <c r="A29" s="355" t="s">
        <v>744</v>
      </c>
      <c r="B29" s="355">
        <v>437</v>
      </c>
      <c r="C29" s="356"/>
      <c r="D29" s="356"/>
      <c r="E29" s="356"/>
      <c r="F29" s="356"/>
    </row>
    <row r="30" spans="1:6">
      <c r="A30" s="341" t="s">
        <v>745</v>
      </c>
      <c r="B30" s="341">
        <v>97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7</v>
      </c>
      <c r="F35" s="334">
        <v>95508.814932596302</v>
      </c>
    </row>
    <row r="36" spans="1:6">
      <c r="A36" s="348" t="s">
        <v>25</v>
      </c>
      <c r="B36" s="348" t="s">
        <v>27</v>
      </c>
      <c r="C36" s="334">
        <v>13</v>
      </c>
      <c r="D36" s="334">
        <v>1598657.6673121301</v>
      </c>
      <c r="E36" s="334">
        <v>49</v>
      </c>
      <c r="F36" s="334">
        <v>1243891.06832056</v>
      </c>
    </row>
    <row r="37" spans="1:6">
      <c r="A37" s="348" t="s">
        <v>25</v>
      </c>
      <c r="B37" s="348" t="s">
        <v>28</v>
      </c>
      <c r="C37" s="334">
        <v>0</v>
      </c>
      <c r="D37" s="334">
        <v>0</v>
      </c>
      <c r="E37" s="334">
        <v>0</v>
      </c>
      <c r="F37" s="334">
        <v>0</v>
      </c>
    </row>
    <row r="38" spans="1:6">
      <c r="A38" s="348" t="s">
        <v>25</v>
      </c>
      <c r="B38" s="348" t="s">
        <v>29</v>
      </c>
      <c r="C38" s="334">
        <v>2</v>
      </c>
      <c r="D38" s="334">
        <v>3671339.6950372402</v>
      </c>
      <c r="E38" s="334">
        <v>18</v>
      </c>
      <c r="F38" s="334">
        <v>2766301.2824636302</v>
      </c>
    </row>
    <row r="39" spans="1:6">
      <c r="A39" s="348" t="s">
        <v>30</v>
      </c>
      <c r="B39" s="348" t="s">
        <v>31</v>
      </c>
      <c r="C39" s="334">
        <v>89503</v>
      </c>
      <c r="D39" s="334">
        <v>1240920155.6840441</v>
      </c>
      <c r="E39" s="334">
        <v>116777</v>
      </c>
      <c r="F39" s="334">
        <v>346996146.27158058</v>
      </c>
    </row>
    <row r="40" spans="1:6">
      <c r="A40" s="348" t="s">
        <v>30</v>
      </c>
      <c r="B40" s="348" t="s">
        <v>29</v>
      </c>
      <c r="C40" s="334">
        <v>2</v>
      </c>
      <c r="D40" s="334">
        <v>90673.021673082301</v>
      </c>
      <c r="E40" s="334">
        <v>3</v>
      </c>
      <c r="F40" s="334">
        <v>40747.3548869308</v>
      </c>
    </row>
    <row r="41" spans="1:6">
      <c r="A41" s="348" t="s">
        <v>32</v>
      </c>
      <c r="B41" s="348" t="s">
        <v>33</v>
      </c>
      <c r="C41" s="334">
        <v>961</v>
      </c>
      <c r="D41" s="334">
        <v>25619848.280666899</v>
      </c>
      <c r="E41" s="334">
        <v>1733</v>
      </c>
      <c r="F41" s="334">
        <v>23778670.2879535</v>
      </c>
    </row>
    <row r="42" spans="1:6">
      <c r="A42" s="348" t="s">
        <v>32</v>
      </c>
      <c r="B42" s="348" t="s">
        <v>34</v>
      </c>
      <c r="C42" s="334">
        <v>13</v>
      </c>
      <c r="D42" s="334">
        <v>45002341.4280551</v>
      </c>
      <c r="E42" s="334">
        <v>26</v>
      </c>
      <c r="F42" s="334">
        <v>40578042.855426997</v>
      </c>
    </row>
    <row r="43" spans="1:6">
      <c r="A43" s="348" t="s">
        <v>32</v>
      </c>
      <c r="B43" s="348" t="s">
        <v>35</v>
      </c>
      <c r="C43" s="334">
        <v>0</v>
      </c>
      <c r="D43" s="334">
        <v>0</v>
      </c>
      <c r="E43" s="334">
        <v>0</v>
      </c>
      <c r="F43" s="334">
        <v>0</v>
      </c>
    </row>
    <row r="44" spans="1:6">
      <c r="A44" s="348" t="s">
        <v>32</v>
      </c>
      <c r="B44" s="348" t="s">
        <v>36</v>
      </c>
      <c r="C44" s="334">
        <v>40</v>
      </c>
      <c r="D44" s="334">
        <v>16050059.7448075</v>
      </c>
      <c r="E44" s="334">
        <v>174</v>
      </c>
      <c r="F44" s="334">
        <v>26828313.432765</v>
      </c>
    </row>
    <row r="45" spans="1:6">
      <c r="A45" s="348" t="s">
        <v>32</v>
      </c>
      <c r="B45" s="348" t="s">
        <v>37</v>
      </c>
      <c r="C45" s="334">
        <v>6</v>
      </c>
      <c r="D45" s="334">
        <v>207576.94073885799</v>
      </c>
      <c r="E45" s="334">
        <v>36</v>
      </c>
      <c r="F45" s="334">
        <v>41855213.405825898</v>
      </c>
    </row>
    <row r="46" spans="1:6">
      <c r="A46" s="348" t="s">
        <v>32</v>
      </c>
      <c r="B46" s="348" t="s">
        <v>38</v>
      </c>
      <c r="C46" s="334">
        <v>0</v>
      </c>
      <c r="D46" s="334">
        <v>0</v>
      </c>
      <c r="E46" s="334">
        <v>0</v>
      </c>
      <c r="F46" s="334">
        <v>0</v>
      </c>
    </row>
    <row r="47" spans="1:6">
      <c r="A47" s="348" t="s">
        <v>32</v>
      </c>
      <c r="B47" s="348" t="s">
        <v>39</v>
      </c>
      <c r="C47" s="334">
        <v>77</v>
      </c>
      <c r="D47" s="334">
        <v>3185761.02946305</v>
      </c>
      <c r="E47" s="334">
        <v>114</v>
      </c>
      <c r="F47" s="334">
        <v>14995670.356626101</v>
      </c>
    </row>
    <row r="48" spans="1:6">
      <c r="A48" s="348" t="s">
        <v>32</v>
      </c>
      <c r="B48" s="348" t="s">
        <v>29</v>
      </c>
      <c r="C48" s="334">
        <v>305</v>
      </c>
      <c r="D48" s="334">
        <v>212024627.10410801</v>
      </c>
      <c r="E48" s="334">
        <v>367</v>
      </c>
      <c r="F48" s="334">
        <v>123039309.359456</v>
      </c>
    </row>
    <row r="49" spans="1:6">
      <c r="A49" s="348" t="s">
        <v>32</v>
      </c>
      <c r="B49" s="348" t="s">
        <v>40</v>
      </c>
      <c r="C49" s="334">
        <v>20</v>
      </c>
      <c r="D49" s="334">
        <v>505996.53883286298</v>
      </c>
      <c r="E49" s="334">
        <v>29</v>
      </c>
      <c r="F49" s="334">
        <v>328172.75788908103</v>
      </c>
    </row>
    <row r="50" spans="1:6">
      <c r="A50" s="348" t="s">
        <v>32</v>
      </c>
      <c r="B50" s="348" t="s">
        <v>41</v>
      </c>
      <c r="C50" s="334">
        <v>131</v>
      </c>
      <c r="D50" s="334">
        <v>27840684.613056101</v>
      </c>
      <c r="E50" s="334">
        <v>209</v>
      </c>
      <c r="F50" s="334">
        <v>65679954.889549702</v>
      </c>
    </row>
    <row r="51" spans="1:6">
      <c r="A51" s="348" t="s">
        <v>42</v>
      </c>
      <c r="B51" s="348" t="s">
        <v>43</v>
      </c>
      <c r="C51" s="334">
        <v>63</v>
      </c>
      <c r="D51" s="334">
        <v>3000944.40980337</v>
      </c>
      <c r="E51" s="334">
        <v>240</v>
      </c>
      <c r="F51" s="334">
        <v>2038450.42551795</v>
      </c>
    </row>
    <row r="52" spans="1:6">
      <c r="A52" s="348" t="s">
        <v>42</v>
      </c>
      <c r="B52" s="348" t="s">
        <v>29</v>
      </c>
      <c r="C52" s="334">
        <v>34</v>
      </c>
      <c r="D52" s="334">
        <v>2712117.7346491902</v>
      </c>
      <c r="E52" s="334">
        <v>65</v>
      </c>
      <c r="F52" s="334">
        <v>1449986.04078328</v>
      </c>
    </row>
    <row r="53" spans="1:6">
      <c r="A53" s="348" t="s">
        <v>44</v>
      </c>
      <c r="B53" s="348" t="s">
        <v>45</v>
      </c>
      <c r="C53" s="334">
        <v>3950</v>
      </c>
      <c r="D53" s="334">
        <v>94921212.734681502</v>
      </c>
      <c r="E53" s="334">
        <v>7012</v>
      </c>
      <c r="F53" s="334">
        <v>26433966.9893107</v>
      </c>
    </row>
    <row r="54" spans="1:6">
      <c r="A54" s="348" t="s">
        <v>46</v>
      </c>
      <c r="B54" s="348" t="s">
        <v>47</v>
      </c>
      <c r="C54" s="334">
        <v>0</v>
      </c>
      <c r="D54" s="334">
        <v>0</v>
      </c>
      <c r="E54" s="334">
        <v>13</v>
      </c>
      <c r="F54" s="334">
        <v>13783724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926</v>
      </c>
      <c r="D57" s="334">
        <v>64890015.770419501</v>
      </c>
      <c r="E57" s="334">
        <v>1431</v>
      </c>
      <c r="F57" s="334">
        <v>52869832.658602901</v>
      </c>
    </row>
    <row r="58" spans="1:6">
      <c r="A58" s="348" t="s">
        <v>49</v>
      </c>
      <c r="B58" s="348" t="s">
        <v>51</v>
      </c>
      <c r="C58" s="334">
        <v>830</v>
      </c>
      <c r="D58" s="334">
        <v>91821660.613135993</v>
      </c>
      <c r="E58" s="334">
        <v>1141</v>
      </c>
      <c r="F58" s="334">
        <v>97005130.361188307</v>
      </c>
    </row>
    <row r="59" spans="1:6">
      <c r="A59" s="348" t="s">
        <v>49</v>
      </c>
      <c r="B59" s="348" t="s">
        <v>52</v>
      </c>
      <c r="C59" s="334">
        <v>2000</v>
      </c>
      <c r="D59" s="334">
        <v>85204745.737467602</v>
      </c>
      <c r="E59" s="334">
        <v>3498</v>
      </c>
      <c r="F59" s="334">
        <v>158456865.68645799</v>
      </c>
    </row>
    <row r="60" spans="1:6">
      <c r="A60" s="348" t="s">
        <v>49</v>
      </c>
      <c r="B60" s="348" t="s">
        <v>53</v>
      </c>
      <c r="C60" s="334">
        <v>1678</v>
      </c>
      <c r="D60" s="334">
        <v>169876444.03409401</v>
      </c>
      <c r="E60" s="334">
        <v>2359</v>
      </c>
      <c r="F60" s="334">
        <v>79972341.937194407</v>
      </c>
    </row>
    <row r="61" spans="1:6">
      <c r="A61" s="348" t="s">
        <v>49</v>
      </c>
      <c r="B61" s="348" t="s">
        <v>54</v>
      </c>
      <c r="C61" s="334">
        <v>5072</v>
      </c>
      <c r="D61" s="334">
        <v>315545965.85424</v>
      </c>
      <c r="E61" s="334">
        <v>9067</v>
      </c>
      <c r="F61" s="334">
        <v>178121299.41934699</v>
      </c>
    </row>
    <row r="62" spans="1:6">
      <c r="A62" s="348" t="s">
        <v>49</v>
      </c>
      <c r="B62" s="348" t="s">
        <v>55</v>
      </c>
      <c r="C62" s="334">
        <v>282</v>
      </c>
      <c r="D62" s="334">
        <v>97407237.038345501</v>
      </c>
      <c r="E62" s="334">
        <v>288</v>
      </c>
      <c r="F62" s="334">
        <v>53681464.5681694</v>
      </c>
    </row>
    <row r="63" spans="1:6">
      <c r="A63" s="348" t="s">
        <v>49</v>
      </c>
      <c r="B63" s="348" t="s">
        <v>29</v>
      </c>
      <c r="C63" s="334">
        <v>829</v>
      </c>
      <c r="D63" s="334">
        <v>100446292.235525</v>
      </c>
      <c r="E63" s="334">
        <v>888</v>
      </c>
      <c r="F63" s="334">
        <v>86134158.765702605</v>
      </c>
    </row>
    <row r="64" spans="1:6">
      <c r="A64" s="348" t="s">
        <v>56</v>
      </c>
      <c r="B64" s="348" t="s">
        <v>57</v>
      </c>
      <c r="C64" s="334">
        <v>0</v>
      </c>
      <c r="D64" s="334">
        <v>0</v>
      </c>
      <c r="E64" s="334">
        <v>0</v>
      </c>
      <c r="F64" s="334">
        <v>0</v>
      </c>
    </row>
    <row r="65" spans="1:6">
      <c r="A65" s="348" t="s">
        <v>56</v>
      </c>
      <c r="B65" s="348" t="s">
        <v>29</v>
      </c>
      <c r="C65" s="334">
        <v>29</v>
      </c>
      <c r="D65" s="334">
        <v>3501283.23877365</v>
      </c>
      <c r="E65" s="334">
        <v>25</v>
      </c>
      <c r="F65" s="334">
        <v>1601673.91056261</v>
      </c>
    </row>
    <row r="66" spans="1:6">
      <c r="A66" s="348" t="s">
        <v>56</v>
      </c>
      <c r="B66" s="348" t="s">
        <v>58</v>
      </c>
      <c r="C66" s="334">
        <v>0</v>
      </c>
      <c r="D66" s="334">
        <v>0</v>
      </c>
      <c r="E66" s="334">
        <v>148</v>
      </c>
      <c r="F66" s="334">
        <v>8212709.2558334796</v>
      </c>
    </row>
    <row r="67" spans="1:6">
      <c r="A67" s="355" t="s">
        <v>56</v>
      </c>
      <c r="B67" s="355" t="s">
        <v>59</v>
      </c>
      <c r="C67" s="334">
        <v>0</v>
      </c>
      <c r="D67" s="334">
        <v>0</v>
      </c>
      <c r="E67" s="334">
        <v>0</v>
      </c>
      <c r="F67" s="334">
        <v>0</v>
      </c>
    </row>
    <row r="68" spans="1:6">
      <c r="A68" s="341" t="s">
        <v>56</v>
      </c>
      <c r="B68" s="341" t="s">
        <v>60</v>
      </c>
      <c r="C68" s="334">
        <v>48</v>
      </c>
      <c r="D68" s="334">
        <v>3296242.2767316401</v>
      </c>
      <c r="E68" s="334">
        <v>140</v>
      </c>
      <c r="F68" s="334">
        <v>13997204.358342201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556593838</v>
      </c>
      <c r="E73" s="476">
        <v>578079962.54652369</v>
      </c>
    </row>
    <row r="74" spans="1:6">
      <c r="A74" s="348" t="s">
        <v>64</v>
      </c>
      <c r="B74" s="348" t="s">
        <v>657</v>
      </c>
      <c r="C74" s="1272" t="s">
        <v>659</v>
      </c>
      <c r="D74" s="476">
        <v>82721670.317751601</v>
      </c>
      <c r="E74" s="476">
        <v>83805662.525545672</v>
      </c>
    </row>
    <row r="75" spans="1:6">
      <c r="A75" s="348" t="s">
        <v>65</v>
      </c>
      <c r="B75" s="348" t="s">
        <v>656</v>
      </c>
      <c r="C75" s="1272" t="s">
        <v>660</v>
      </c>
      <c r="D75" s="476">
        <v>338206965</v>
      </c>
      <c r="E75" s="476">
        <v>354211076.14638919</v>
      </c>
    </row>
    <row r="76" spans="1:6">
      <c r="A76" s="348" t="s">
        <v>65</v>
      </c>
      <c r="B76" s="348" t="s">
        <v>657</v>
      </c>
      <c r="C76" s="1272" t="s">
        <v>661</v>
      </c>
      <c r="D76" s="476">
        <v>26080261.317751601</v>
      </c>
      <c r="E76" s="476">
        <v>24505526.076054547</v>
      </c>
    </row>
    <row r="77" spans="1:6">
      <c r="A77" s="348" t="s">
        <v>66</v>
      </c>
      <c r="B77" s="348" t="s">
        <v>656</v>
      </c>
      <c r="C77" s="1272" t="s">
        <v>662</v>
      </c>
      <c r="D77" s="476">
        <v>1009224353</v>
      </c>
      <c r="E77" s="476">
        <v>1033815157.3914365</v>
      </c>
    </row>
    <row r="78" spans="1:6">
      <c r="A78" s="341" t="s">
        <v>66</v>
      </c>
      <c r="B78" s="341" t="s">
        <v>657</v>
      </c>
      <c r="C78" s="341" t="s">
        <v>663</v>
      </c>
      <c r="D78" s="1273">
        <v>162623337</v>
      </c>
      <c r="E78" s="1273">
        <v>165350484.5809049</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10365287.364496794</v>
      </c>
      <c r="C83" s="476">
        <v>10325487.105371019</v>
      </c>
    </row>
    <row r="84" spans="1:6">
      <c r="A84" s="341" t="s">
        <v>337</v>
      </c>
      <c r="B84" s="1273">
        <v>2577444.6792649608</v>
      </c>
      <c r="C84" s="1273">
        <v>2624738.0339463553</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102566.15369812425</v>
      </c>
    </row>
    <row r="91" spans="1:6">
      <c r="A91" s="348" t="s">
        <v>68</v>
      </c>
      <c r="B91" s="334">
        <v>20154.482484170712</v>
      </c>
    </row>
    <row r="92" spans="1:6">
      <c r="A92" s="341" t="s">
        <v>69</v>
      </c>
      <c r="B92" s="342">
        <v>35630.095121345039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62627</v>
      </c>
    </row>
    <row r="98" spans="1:6">
      <c r="A98" s="348" t="s">
        <v>72</v>
      </c>
      <c r="B98" s="334">
        <v>127</v>
      </c>
    </row>
    <row r="99" spans="1:6">
      <c r="A99" s="348" t="s">
        <v>73</v>
      </c>
      <c r="B99" s="334">
        <v>385</v>
      </c>
    </row>
    <row r="100" spans="1:6">
      <c r="A100" s="348" t="s">
        <v>74</v>
      </c>
      <c r="B100" s="334">
        <v>8623</v>
      </c>
    </row>
    <row r="101" spans="1:6">
      <c r="A101" s="348" t="s">
        <v>75</v>
      </c>
      <c r="B101" s="334">
        <v>396</v>
      </c>
    </row>
    <row r="102" spans="1:6">
      <c r="A102" s="348" t="s">
        <v>76</v>
      </c>
      <c r="B102" s="334">
        <v>4616</v>
      </c>
    </row>
    <row r="103" spans="1:6">
      <c r="A103" s="348" t="s">
        <v>77</v>
      </c>
      <c r="B103" s="334">
        <v>1823</v>
      </c>
    </row>
    <row r="104" spans="1:6">
      <c r="A104" s="348" t="s">
        <v>78</v>
      </c>
      <c r="B104" s="334">
        <v>21695</v>
      </c>
    </row>
    <row r="105" spans="1:6">
      <c r="A105" s="341" t="s">
        <v>79</v>
      </c>
      <c r="B105" s="341">
        <v>311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3</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1</v>
      </c>
      <c r="C122" s="334">
        <v>0</v>
      </c>
    </row>
    <row r="123" spans="1:6">
      <c r="A123" s="348" t="s">
        <v>88</v>
      </c>
      <c r="B123" s="334">
        <v>206</v>
      </c>
      <c r="C123" s="334">
        <v>380</v>
      </c>
    </row>
    <row r="124" spans="1:6">
      <c r="A124" s="341" t="s">
        <v>89</v>
      </c>
      <c r="B124" s="334">
        <v>4</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1271</v>
      </c>
    </row>
    <row r="130" spans="1:6">
      <c r="A130" s="348" t="s">
        <v>295</v>
      </c>
      <c r="B130" s="334">
        <v>30</v>
      </c>
    </row>
    <row r="131" spans="1:6">
      <c r="A131" s="348" t="s">
        <v>296</v>
      </c>
      <c r="B131" s="334">
        <v>17</v>
      </c>
    </row>
    <row r="132" spans="1:6">
      <c r="A132" s="341" t="s">
        <v>297</v>
      </c>
      <c r="B132" s="342">
        <v>133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1454293.5196188055</v>
      </c>
      <c r="C3" s="43" t="s">
        <v>170</v>
      </c>
      <c r="D3" s="43"/>
      <c r="E3" s="154"/>
      <c r="F3" s="43"/>
      <c r="G3" s="43"/>
      <c r="H3" s="43"/>
      <c r="I3" s="43"/>
      <c r="J3" s="43"/>
      <c r="K3" s="96"/>
    </row>
    <row r="4" spans="1:11">
      <c r="A4" s="383" t="s">
        <v>171</v>
      </c>
      <c r="B4" s="49">
        <f>IF(ISERROR('SEAP template'!B69),0,'SEAP template'!B69)</f>
        <v>175021.73130364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2006.9630002575268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0.19578305505517243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2460.4023568853308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18159.133928571428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0.13549117301316638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13783.724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13783.724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0.19578305505517243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2698.6195947573015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347036.8936264675</v>
      </c>
      <c r="C5" s="17">
        <f>IF(ISERROR('Eigen informatie GS &amp; warmtenet'!B57),0,'Eigen informatie GS &amp; warmtenet'!B57)</f>
        <v>0</v>
      </c>
      <c r="D5" s="30">
        <f>(SUM(HH_hh_gas_kWh,HH_rest_gas_kWh)/1000)*0.902</f>
        <v>1119391.7674925569</v>
      </c>
      <c r="E5" s="17">
        <f>B46*B57</f>
        <v>25106.314270058498</v>
      </c>
      <c r="F5" s="17">
        <f>B51*B62</f>
        <v>0</v>
      </c>
      <c r="G5" s="18"/>
      <c r="H5" s="17"/>
      <c r="I5" s="17"/>
      <c r="J5" s="17">
        <f>B50*B61+C50*C61</f>
        <v>0</v>
      </c>
      <c r="K5" s="17"/>
      <c r="L5" s="17"/>
      <c r="M5" s="17"/>
      <c r="N5" s="17">
        <f>B48*B59+C48*C59</f>
        <v>88005.554841053745</v>
      </c>
      <c r="O5" s="17">
        <f>B69*B70*B71</f>
        <v>2592.0066666666667</v>
      </c>
      <c r="P5" s="17">
        <f>B77*B78*B79/1000-B77*B78*B79/1000/B80</f>
        <v>6539.8666666666668</v>
      </c>
    </row>
    <row r="6" spans="1:16">
      <c r="A6" s="16" t="s">
        <v>621</v>
      </c>
      <c r="B6" s="843">
        <f>kWh_PV_kleiner_dan_10kW</f>
        <v>20154.482484170712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367191.3761106382</v>
      </c>
      <c r="C8" s="21">
        <f>C5</f>
        <v>0</v>
      </c>
      <c r="D8" s="21">
        <f>D5</f>
        <v>1119391.7674925569</v>
      </c>
      <c r="E8" s="21">
        <f>E5</f>
        <v>25106.314270058498</v>
      </c>
      <c r="F8" s="21">
        <f>F5</f>
        <v>0</v>
      </c>
      <c r="G8" s="21"/>
      <c r="H8" s="21"/>
      <c r="I8" s="21"/>
      <c r="J8" s="21">
        <f>J5</f>
        <v>0</v>
      </c>
      <c r="K8" s="21"/>
      <c r="L8" s="21">
        <f>L5</f>
        <v>0</v>
      </c>
      <c r="M8" s="21">
        <f>M5</f>
        <v>0</v>
      </c>
      <c r="N8" s="21">
        <f>N5</f>
        <v>88005.554841053745</v>
      </c>
      <c r="O8" s="21">
        <f>O5</f>
        <v>2592.0066666666667</v>
      </c>
      <c r="P8" s="21">
        <f>P5</f>
        <v>6539.8666666666668</v>
      </c>
    </row>
    <row r="9" spans="1:16">
      <c r="B9" s="19"/>
      <c r="C9" s="19"/>
      <c r="D9" s="258"/>
      <c r="E9" s="19"/>
      <c r="F9" s="19"/>
      <c r="G9" s="19"/>
      <c r="H9" s="19"/>
      <c r="I9" s="19"/>
      <c r="J9" s="19"/>
      <c r="K9" s="19"/>
      <c r="L9" s="19"/>
      <c r="M9" s="19"/>
      <c r="N9" s="19"/>
      <c r="O9" s="19"/>
      <c r="P9" s="19"/>
    </row>
    <row r="10" spans="1:16">
      <c r="A10" s="24" t="s">
        <v>214</v>
      </c>
      <c r="B10" s="25">
        <f ca="1">'EF ele_warmte'!B12</f>
        <v>0.19578305505517243</v>
      </c>
      <c r="C10" s="25">
        <f ca="1">'EF ele_warmte'!B22</f>
        <v>0.13549117301316638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71889.849404853609</v>
      </c>
      <c r="C12" s="23">
        <f ca="1">C10*C8</f>
        <v>0</v>
      </c>
      <c r="D12" s="23">
        <f>D8*D10</f>
        <v>226117.13703349652</v>
      </c>
      <c r="E12" s="23">
        <f>E10*E8</f>
        <v>5699.1333393032792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62627</v>
      </c>
      <c r="C18" s="166" t="s">
        <v>111</v>
      </c>
      <c r="D18" s="228"/>
      <c r="E18" s="15"/>
    </row>
    <row r="19" spans="1:7">
      <c r="A19" s="171" t="s">
        <v>72</v>
      </c>
      <c r="B19" s="37">
        <f>aantalw2001_ander</f>
        <v>127</v>
      </c>
      <c r="C19" s="166" t="s">
        <v>111</v>
      </c>
      <c r="D19" s="229"/>
      <c r="E19" s="15"/>
    </row>
    <row r="20" spans="1:7">
      <c r="A20" s="171" t="s">
        <v>73</v>
      </c>
      <c r="B20" s="37">
        <f>aantalw2001_propaan</f>
        <v>385</v>
      </c>
      <c r="C20" s="167">
        <f>IF(ISERROR(B20/SUM($B$20,$B$21,$B$22)*100),0,B20/SUM($B$20,$B$21,$B$22)*100)</f>
        <v>4.0940025521054872</v>
      </c>
      <c r="D20" s="229"/>
      <c r="E20" s="15"/>
    </row>
    <row r="21" spans="1:7">
      <c r="A21" s="171" t="s">
        <v>74</v>
      </c>
      <c r="B21" s="37">
        <f>aantalw2001_elektriciteit</f>
        <v>8623</v>
      </c>
      <c r="C21" s="167">
        <f>IF(ISERROR(B21/SUM($B$20,$B$21,$B$22)*100),0,B21/SUM($B$20,$B$21,$B$22)*100)</f>
        <v>91.695023394300307</v>
      </c>
      <c r="D21" s="229"/>
      <c r="E21" s="15"/>
    </row>
    <row r="22" spans="1:7">
      <c r="A22" s="171" t="s">
        <v>75</v>
      </c>
      <c r="B22" s="37">
        <f>aantalw2001_hout</f>
        <v>396</v>
      </c>
      <c r="C22" s="167">
        <f>IF(ISERROR(B22/SUM($B$20,$B$21,$B$22)*100),0,B22/SUM($B$20,$B$21,$B$22)*100)</f>
        <v>4.2109740535942155</v>
      </c>
      <c r="D22" s="229"/>
      <c r="E22" s="15"/>
    </row>
    <row r="23" spans="1:7">
      <c r="A23" s="171" t="s">
        <v>76</v>
      </c>
      <c r="B23" s="37">
        <f>aantalw2001_niet_gespec</f>
        <v>4616</v>
      </c>
      <c r="C23" s="166" t="s">
        <v>111</v>
      </c>
      <c r="D23" s="228"/>
      <c r="E23" s="15"/>
    </row>
    <row r="24" spans="1:7">
      <c r="A24" s="171" t="s">
        <v>77</v>
      </c>
      <c r="B24" s="37">
        <f>aantalw2001_steenkool</f>
        <v>1823</v>
      </c>
      <c r="C24" s="166" t="s">
        <v>111</v>
      </c>
      <c r="D24" s="229"/>
      <c r="E24" s="15"/>
    </row>
    <row r="25" spans="1:7">
      <c r="A25" s="171" t="s">
        <v>78</v>
      </c>
      <c r="B25" s="37">
        <f>aantalw2001_stookolie</f>
        <v>21695</v>
      </c>
      <c r="C25" s="166" t="s">
        <v>111</v>
      </c>
      <c r="D25" s="228"/>
      <c r="E25" s="52"/>
    </row>
    <row r="26" spans="1:7">
      <c r="A26" s="171" t="s">
        <v>79</v>
      </c>
      <c r="B26" s="37">
        <f>aantalw2001_WP</f>
        <v>311</v>
      </c>
      <c r="C26" s="166" t="s">
        <v>111</v>
      </c>
      <c r="D26" s="228"/>
      <c r="E26" s="15"/>
    </row>
    <row r="27" spans="1:7" s="15" customFormat="1">
      <c r="A27" s="171"/>
      <c r="B27" s="29"/>
      <c r="C27" s="36"/>
      <c r="D27" s="228"/>
    </row>
    <row r="28" spans="1:7" s="15" customFormat="1">
      <c r="A28" s="230" t="s">
        <v>794</v>
      </c>
      <c r="B28" s="37">
        <f>aantalHuishoudens2011</f>
        <v>118811</v>
      </c>
      <c r="C28" s="36"/>
      <c r="D28" s="228"/>
    </row>
    <row r="29" spans="1:7" s="15" customFormat="1">
      <c r="A29" s="230" t="s">
        <v>795</v>
      </c>
      <c r="B29" s="37">
        <f>SUM(HH_hh_gas_aantal,HH_rest_gas_aantal)</f>
        <v>89505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89505</v>
      </c>
      <c r="C32" s="167">
        <f>IF(ISERROR(B32/SUM($B$32,$B$34,$B$35,$B$36,$B$38,$B$39)*100),0,B32/SUM($B$32,$B$34,$B$35,$B$36,$B$38,$B$39)*100)</f>
        <v>75.552047810379179</v>
      </c>
      <c r="D32" s="233"/>
      <c r="G32" s="15"/>
    </row>
    <row r="33" spans="1:7">
      <c r="A33" s="171" t="s">
        <v>72</v>
      </c>
      <c r="B33" s="34" t="s">
        <v>111</v>
      </c>
      <c r="C33" s="167"/>
      <c r="D33" s="233"/>
      <c r="G33" s="15"/>
    </row>
    <row r="34" spans="1:7">
      <c r="A34" s="171" t="s">
        <v>73</v>
      </c>
      <c r="B34" s="33">
        <f>IF((($B$28-$B$32-$B$39-$B$77-$B$38)*C20/100)&lt;0,0,($B$28-$B$32-$B$39-$B$77-$B$38)*C20/100)</f>
        <v>1185.7459591663123</v>
      </c>
      <c r="C34" s="167">
        <f>IF(ISERROR(B34/SUM($B$32,$B$34,$B$35,$B$36,$B$38,$B$39)*100),0,B34/SUM($B$32,$B$34,$B$35,$B$36,$B$38,$B$39)*100)</f>
        <v>1.0008997865806062</v>
      </c>
      <c r="D34" s="233"/>
      <c r="G34" s="15"/>
    </row>
    <row r="35" spans="1:7">
      <c r="A35" s="171" t="s">
        <v>74</v>
      </c>
      <c r="B35" s="33">
        <f>IF((($B$28-$B$32-$B$39-$B$77-$B$38)*C21/100)&lt;0,0,($B$28-$B$32-$B$39-$B$77-$B$38)*C21/100)</f>
        <v>26557.629625691199</v>
      </c>
      <c r="C35" s="167">
        <f>IF(ISERROR(B35/SUM($B$32,$B$34,$B$35,$B$36,$B$38,$B$39)*100),0,B35/SUM($B$32,$B$34,$B$35,$B$36,$B$38,$B$39)*100)</f>
        <v>22.417555479700173</v>
      </c>
      <c r="D35" s="233"/>
      <c r="G35" s="15"/>
    </row>
    <row r="36" spans="1:7">
      <c r="A36" s="171" t="s">
        <v>75</v>
      </c>
      <c r="B36" s="33">
        <f>IF((($B$28-$B$32-$B$39-$B$77-$B$38)*C22/100)&lt;0,0,($B$28-$B$32-$B$39-$B$77-$B$38)*C22/100)</f>
        <v>1219.6244151424926</v>
      </c>
      <c r="C36" s="167">
        <f>IF(ISERROR(B36/SUM($B$32,$B$34,$B$35,$B$36,$B$38,$B$39)*100),0,B36/SUM($B$32,$B$34,$B$35,$B$36,$B$38,$B$39)*100)</f>
        <v>1.0294969233400519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89505</v>
      </c>
      <c r="C44" s="34" t="s">
        <v>111</v>
      </c>
      <c r="D44" s="174"/>
    </row>
    <row r="45" spans="1:7">
      <c r="A45" s="171" t="s">
        <v>72</v>
      </c>
      <c r="B45" s="33" t="str">
        <f t="shared" si="0"/>
        <v>-</v>
      </c>
      <c r="C45" s="34" t="s">
        <v>111</v>
      </c>
      <c r="D45" s="174"/>
    </row>
    <row r="46" spans="1:7">
      <c r="A46" s="171" t="s">
        <v>73</v>
      </c>
      <c r="B46" s="33">
        <f t="shared" si="0"/>
        <v>1185.7459591663123</v>
      </c>
      <c r="C46" s="34" t="s">
        <v>111</v>
      </c>
      <c r="D46" s="174"/>
    </row>
    <row r="47" spans="1:7">
      <c r="A47" s="171" t="s">
        <v>74</v>
      </c>
      <c r="B47" s="33">
        <f t="shared" si="0"/>
        <v>26557.629625691199</v>
      </c>
      <c r="C47" s="34" t="s">
        <v>111</v>
      </c>
      <c r="D47" s="174"/>
    </row>
    <row r="48" spans="1:7">
      <c r="A48" s="171" t="s">
        <v>75</v>
      </c>
      <c r="B48" s="33">
        <f t="shared" si="0"/>
        <v>1219.6244151424926</v>
      </c>
      <c r="C48" s="33">
        <f>B48*10</f>
        <v>12196.244151424926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706241.09339666262</v>
      </c>
      <c r="C5" s="17">
        <f>IF(ISERROR('Eigen informatie GS &amp; warmtenet'!B58),0,'Eigen informatie GS &amp; warmtenet'!B58)</f>
        <v>0</v>
      </c>
      <c r="D5" s="30">
        <f>SUM(D6:D12)</f>
        <v>834523.50987747125</v>
      </c>
      <c r="E5" s="17">
        <f>SUM(E6:E12)</f>
        <v>8842.1897319057844</v>
      </c>
      <c r="F5" s="17">
        <f>SUM(F6:F12)</f>
        <v>119958.26661513177</v>
      </c>
      <c r="G5" s="18"/>
      <c r="H5" s="17"/>
      <c r="I5" s="17"/>
      <c r="J5" s="17">
        <f>SUM(J6:J12)</f>
        <v>1.3561728621740694</v>
      </c>
      <c r="K5" s="17"/>
      <c r="L5" s="17"/>
      <c r="M5" s="17"/>
      <c r="N5" s="17">
        <f>SUM(N6:N12)</f>
        <v>55300.579719776186</v>
      </c>
      <c r="O5" s="17">
        <f>B38*B39*B40</f>
        <v>46.9</v>
      </c>
      <c r="P5" s="17">
        <f>B46*B47*B48/1000-B46*B47*B48/1000/B49</f>
        <v>400.4</v>
      </c>
      <c r="R5" s="32"/>
    </row>
    <row r="6" spans="1:18">
      <c r="A6" s="32" t="s">
        <v>54</v>
      </c>
      <c r="B6" s="37">
        <f>B26</f>
        <v>178121.29941934699</v>
      </c>
      <c r="C6" s="33"/>
      <c r="D6" s="37">
        <f>IF(ISERROR(TER_kantoor_gas_kWh/1000),0,TER_kantoor_gas_kWh/1000)*0.902</f>
        <v>284622.46120052447</v>
      </c>
      <c r="E6" s="33">
        <f>$C$26*'E Balans VL '!I12/100/3.6*1000000</f>
        <v>1.1164050625443929</v>
      </c>
      <c r="F6" s="33">
        <f>$C$26*('E Balans VL '!L12+'E Balans VL '!N12)/100/3.6*1000000</f>
        <v>26766.654118929328</v>
      </c>
      <c r="G6" s="34"/>
      <c r="H6" s="33"/>
      <c r="I6" s="33"/>
      <c r="J6" s="33">
        <f>$C$26*('E Balans VL '!D12+'E Balans VL '!E12)/100/3.6*1000000</f>
        <v>0</v>
      </c>
      <c r="K6" s="33"/>
      <c r="L6" s="33"/>
      <c r="M6" s="33"/>
      <c r="N6" s="33">
        <f>$C$26*'E Balans VL '!Y12/100/3.6*1000000</f>
        <v>170.34661351369098</v>
      </c>
      <c r="O6" s="33"/>
      <c r="P6" s="33"/>
      <c r="R6" s="32"/>
    </row>
    <row r="7" spans="1:18">
      <c r="A7" s="32" t="s">
        <v>53</v>
      </c>
      <c r="B7" s="37">
        <f t="shared" ref="B7:B12" si="0">B27</f>
        <v>79972.341937194404</v>
      </c>
      <c r="C7" s="33"/>
      <c r="D7" s="37">
        <f>IF(ISERROR(TER_horeca_gas_kWh/1000),0,TER_horeca_gas_kWh/1000)*0.902</f>
        <v>153228.55251875281</v>
      </c>
      <c r="E7" s="33">
        <f>$C$27*'E Balans VL '!I9/100/3.6*1000000</f>
        <v>1145.1906156913819</v>
      </c>
      <c r="F7" s="33">
        <f>$C$27*('E Balans VL '!L9+'E Balans VL '!N9)/100/3.6*1000000</f>
        <v>10127.136078701313</v>
      </c>
      <c r="G7" s="34"/>
      <c r="H7" s="33"/>
      <c r="I7" s="33"/>
      <c r="J7" s="33">
        <f>$C$27*('E Balans VL '!D9+'E Balans VL '!E9)/100/3.6*1000000</f>
        <v>0</v>
      </c>
      <c r="K7" s="33"/>
      <c r="L7" s="33"/>
      <c r="M7" s="33"/>
      <c r="N7" s="33">
        <f>$C$27*'E Balans VL '!Y9/100/3.6*1000000</f>
        <v>22.990285068159501</v>
      </c>
      <c r="O7" s="33"/>
      <c r="P7" s="33"/>
      <c r="R7" s="32"/>
    </row>
    <row r="8" spans="1:18">
      <c r="A8" s="6" t="s">
        <v>52</v>
      </c>
      <c r="B8" s="37">
        <f t="shared" si="0"/>
        <v>158456.86568645798</v>
      </c>
      <c r="C8" s="33"/>
      <c r="D8" s="37">
        <f>IF(ISERROR(TER_handel_gas_kWh/1000),0,TER_handel_gas_kWh/1000)*0.902</f>
        <v>76854.680655195785</v>
      </c>
      <c r="E8" s="33">
        <f>$C$28*'E Balans VL '!I13/100/3.6*1000000</f>
        <v>5747.2109784225786</v>
      </c>
      <c r="F8" s="33">
        <f>$C$28*('E Balans VL '!L13+'E Balans VL '!N13)/100/3.6*1000000</f>
        <v>30520.396808986392</v>
      </c>
      <c r="G8" s="34"/>
      <c r="H8" s="33"/>
      <c r="I8" s="33"/>
      <c r="J8" s="33">
        <f>$C$28*('E Balans VL '!D13+'E Balans VL '!E13)/100/3.6*1000000</f>
        <v>0</v>
      </c>
      <c r="K8" s="33"/>
      <c r="L8" s="33"/>
      <c r="M8" s="33"/>
      <c r="N8" s="33">
        <f>$C$28*'E Balans VL '!Y13/100/3.6*1000000</f>
        <v>219.49921827450277</v>
      </c>
      <c r="O8" s="33"/>
      <c r="P8" s="33"/>
      <c r="R8" s="32"/>
    </row>
    <row r="9" spans="1:18">
      <c r="A9" s="32" t="s">
        <v>51</v>
      </c>
      <c r="B9" s="37">
        <f t="shared" si="0"/>
        <v>97005.130361188305</v>
      </c>
      <c r="C9" s="33"/>
      <c r="D9" s="37">
        <f>IF(ISERROR(TER_gezond_gas_kWh/1000),0,TER_gezond_gas_kWh/1000)*0.902</f>
        <v>82823.137873048661</v>
      </c>
      <c r="E9" s="33">
        <f>$C$29*'E Balans VL '!I10/100/3.6*1000000</f>
        <v>6.0734789132446858</v>
      </c>
      <c r="F9" s="33">
        <f>$C$29*('E Balans VL '!L10+'E Balans VL '!N10)/100/3.6*1000000</f>
        <v>14410.407467648591</v>
      </c>
      <c r="G9" s="34"/>
      <c r="H9" s="33"/>
      <c r="I9" s="33"/>
      <c r="J9" s="33">
        <f>$C$29*('E Balans VL '!D10+'E Balans VL '!E10)/100/3.6*1000000</f>
        <v>0</v>
      </c>
      <c r="K9" s="33"/>
      <c r="L9" s="33"/>
      <c r="M9" s="33"/>
      <c r="N9" s="33">
        <f>$C$29*'E Balans VL '!Y10/100/3.6*1000000</f>
        <v>1500.4847166218294</v>
      </c>
      <c r="O9" s="33"/>
      <c r="P9" s="33"/>
      <c r="R9" s="32"/>
    </row>
    <row r="10" spans="1:18">
      <c r="A10" s="32" t="s">
        <v>50</v>
      </c>
      <c r="B10" s="37">
        <f t="shared" si="0"/>
        <v>52869.8326586029</v>
      </c>
      <c r="C10" s="33"/>
      <c r="D10" s="37">
        <f>IF(ISERROR(TER_ander_gas_kWh/1000),0,TER_ander_gas_kWh/1000)*0.902</f>
        <v>58530.794224918391</v>
      </c>
      <c r="E10" s="33">
        <f>$C$30*'E Balans VL '!I14/100/3.6*1000000</f>
        <v>63.01895128046236</v>
      </c>
      <c r="F10" s="33">
        <f>$C$30*('E Balans VL '!L14+'E Balans VL '!N14)/100/3.6*1000000</f>
        <v>13833.098631642079</v>
      </c>
      <c r="G10" s="34"/>
      <c r="H10" s="33"/>
      <c r="I10" s="33"/>
      <c r="J10" s="33">
        <f>$C$30*('E Balans VL '!D14+'E Balans VL '!E14)/100/3.6*1000000</f>
        <v>1.1475968229966609</v>
      </c>
      <c r="K10" s="33"/>
      <c r="L10" s="33"/>
      <c r="M10" s="33"/>
      <c r="N10" s="33">
        <f>$C$30*'E Balans VL '!Y14/100/3.6*1000000</f>
        <v>44895.768187090645</v>
      </c>
      <c r="O10" s="33"/>
      <c r="P10" s="33"/>
      <c r="R10" s="32"/>
    </row>
    <row r="11" spans="1:18">
      <c r="A11" s="32" t="s">
        <v>55</v>
      </c>
      <c r="B11" s="37">
        <f t="shared" si="0"/>
        <v>53681.464568169402</v>
      </c>
      <c r="C11" s="33"/>
      <c r="D11" s="37">
        <f>IF(ISERROR(TER_onderwijs_gas_kWh/1000),0,TER_onderwijs_gas_kWh/1000)*0.902</f>
        <v>87861.327808587637</v>
      </c>
      <c r="E11" s="33">
        <f>$C$31*'E Balans VL '!I11/100/3.6*1000000</f>
        <v>809.96683811332309</v>
      </c>
      <c r="F11" s="33">
        <f>$C$31*('E Balans VL '!L11+'E Balans VL '!N11)/100/3.6*1000000</f>
        <v>9405.8501792526804</v>
      </c>
      <c r="G11" s="34"/>
      <c r="H11" s="33"/>
      <c r="I11" s="33"/>
      <c r="J11" s="33">
        <f>$C$31*('E Balans VL '!D11+'E Balans VL '!E11)/100/3.6*1000000</f>
        <v>0</v>
      </c>
      <c r="K11" s="33"/>
      <c r="L11" s="33"/>
      <c r="M11" s="33"/>
      <c r="N11" s="33">
        <f>$C$31*'E Balans VL '!Y11/100/3.6*1000000</f>
        <v>151.06372231517807</v>
      </c>
      <c r="O11" s="33"/>
      <c r="P11" s="33"/>
      <c r="R11" s="32"/>
    </row>
    <row r="12" spans="1:18">
      <c r="A12" s="32" t="s">
        <v>260</v>
      </c>
      <c r="B12" s="37">
        <f t="shared" si="0"/>
        <v>86134.15876570261</v>
      </c>
      <c r="C12" s="33"/>
      <c r="D12" s="37">
        <f>IF(ISERROR(TER_rest_gas_kWh/1000),0,TER_rest_gas_kWh/1000)*0.902</f>
        <v>90602.555596443548</v>
      </c>
      <c r="E12" s="33">
        <f>$C$32*'E Balans VL '!I8/100/3.6*1000000</f>
        <v>1069.612464422248</v>
      </c>
      <c r="F12" s="33">
        <f>$C$32*('E Balans VL '!L8+'E Balans VL '!N8)/100/3.6*1000000</f>
        <v>14894.723329971393</v>
      </c>
      <c r="G12" s="34"/>
      <c r="H12" s="33"/>
      <c r="I12" s="33"/>
      <c r="J12" s="33">
        <f>$C$32*('E Balans VL '!D8+'E Balans VL '!E8)/100/3.6*1000000</f>
        <v>0.2085760391774085</v>
      </c>
      <c r="K12" s="33"/>
      <c r="L12" s="33"/>
      <c r="M12" s="33"/>
      <c r="N12" s="33">
        <f>$C$32*'E Balans VL '!Y8/100/3.6*1000000</f>
        <v>8340.4269768921786</v>
      </c>
      <c r="O12" s="33"/>
      <c r="P12" s="33"/>
      <c r="R12" s="32"/>
    </row>
    <row r="13" spans="1:18">
      <c r="A13" s="16" t="s">
        <v>488</v>
      </c>
      <c r="B13" s="247">
        <f ca="1">'lokale energieproductie'!N90+'lokale energieproductie'!N59</f>
        <v>5646</v>
      </c>
      <c r="C13" s="247">
        <f ca="1">'lokale energieproductie'!O90+'lokale energieproductie'!O59</f>
        <v>5414.4910714285716</v>
      </c>
      <c r="D13" s="310">
        <f ca="1">('lokale energieproductie'!P59+'lokale energieproductie'!P90)*(-1)</f>
        <v>-10722.857142857143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-101.25</v>
      </c>
      <c r="M13" s="248"/>
      <c r="N13" s="310">
        <f ca="1">('lokale energieproductie'!Q59+'lokale energieproductie'!R59+'lokale energieproductie'!V59+'lokale energieproductie'!Q90+'lokale energieproductie'!R90+'lokale energieproductie'!V90)*(-1)</f>
        <v>-5310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711887.09339666262</v>
      </c>
      <c r="C16" s="21">
        <f t="shared" ca="1" si="1"/>
        <v>5414.4910714285716</v>
      </c>
      <c r="D16" s="21">
        <f t="shared" ca="1" si="1"/>
        <v>823800.65273461409</v>
      </c>
      <c r="E16" s="21">
        <f t="shared" si="1"/>
        <v>8842.1897319057844</v>
      </c>
      <c r="F16" s="21">
        <f t="shared" ca="1" si="1"/>
        <v>119958.26661513177</v>
      </c>
      <c r="G16" s="21">
        <f t="shared" si="1"/>
        <v>0</v>
      </c>
      <c r="H16" s="21">
        <f t="shared" si="1"/>
        <v>0</v>
      </c>
      <c r="I16" s="21">
        <f t="shared" si="1"/>
        <v>0</v>
      </c>
      <c r="J16" s="21">
        <f t="shared" si="1"/>
        <v>1.3561728621740694</v>
      </c>
      <c r="K16" s="21">
        <f t="shared" si="1"/>
        <v>0</v>
      </c>
      <c r="L16" s="21">
        <f t="shared" ca="1" si="1"/>
        <v>0</v>
      </c>
      <c r="M16" s="21">
        <f t="shared" si="1"/>
        <v>0</v>
      </c>
      <c r="N16" s="21">
        <f t="shared" ca="1" si="1"/>
        <v>49990.579719776186</v>
      </c>
      <c r="O16" s="21">
        <f>O5</f>
        <v>46.9</v>
      </c>
      <c r="P16" s="21">
        <f>P5</f>
        <v>400.4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0.19578305505517243</v>
      </c>
      <c r="C18" s="25">
        <f ca="1">'EF ele_warmte'!B22</f>
        <v>0.13549117301316638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139375.42999954548</v>
      </c>
      <c r="C20" s="23">
        <f t="shared" ref="C20:P20" ca="1" si="2">C16*C18</f>
        <v>733.61574653717321</v>
      </c>
      <c r="D20" s="23">
        <f t="shared" ca="1" si="2"/>
        <v>166407.73185239205</v>
      </c>
      <c r="E20" s="23">
        <f t="shared" si="2"/>
        <v>2007.1770691426132</v>
      </c>
      <c r="F20" s="23">
        <f t="shared" ca="1" si="2"/>
        <v>32028.857186240184</v>
      </c>
      <c r="G20" s="23">
        <f t="shared" si="2"/>
        <v>0</v>
      </c>
      <c r="H20" s="23">
        <f t="shared" si="2"/>
        <v>0</v>
      </c>
      <c r="I20" s="23">
        <f t="shared" si="2"/>
        <v>0</v>
      </c>
      <c r="J20" s="23">
        <f t="shared" si="2"/>
        <v>0.48008519320962056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178121.29941934699</v>
      </c>
      <c r="C26" s="39">
        <f>IF(ISERROR(B26*3.6/1000000/'E Balans VL '!Z12*100),0,B26*3.6/1000000/'E Balans VL '!Z12*100)</f>
        <v>3.7652021027946616</v>
      </c>
      <c r="D26" s="237" t="s">
        <v>754</v>
      </c>
      <c r="F26" s="6"/>
    </row>
    <row r="27" spans="1:18">
      <c r="A27" s="231" t="s">
        <v>53</v>
      </c>
      <c r="B27" s="33">
        <f>IF(ISERROR(TER_horeca_ele_kWh/1000),0,TER_horeca_ele_kWh/1000)</f>
        <v>79972.341937194404</v>
      </c>
      <c r="C27" s="39">
        <f>IF(ISERROR(B27*3.6/1000000/'E Balans VL '!Z9*100),0,B27*3.6/1000000/'E Balans VL '!Z9*100)</f>
        <v>6.3041899076954815</v>
      </c>
      <c r="D27" s="237" t="s">
        <v>754</v>
      </c>
      <c r="F27" s="6"/>
    </row>
    <row r="28" spans="1:18">
      <c r="A28" s="171" t="s">
        <v>52</v>
      </c>
      <c r="B28" s="33">
        <f>IF(ISERROR(TER_handel_ele_kWh/1000),0,TER_handel_ele_kWh/1000)</f>
        <v>158456.86568645798</v>
      </c>
      <c r="C28" s="39">
        <f>IF(ISERROR(B28*3.6/1000000/'E Balans VL '!Z13*100),0,B28*3.6/1000000/'E Balans VL '!Z13*100)</f>
        <v>4.5990584797009015</v>
      </c>
      <c r="D28" s="237" t="s">
        <v>754</v>
      </c>
      <c r="F28" s="6"/>
    </row>
    <row r="29" spans="1:18">
      <c r="A29" s="231" t="s">
        <v>51</v>
      </c>
      <c r="B29" s="33">
        <f>IF(ISERROR(TER_gezond_ele_kWh/1000),0,TER_gezond_ele_kWh/1000)</f>
        <v>97005.130361188305</v>
      </c>
      <c r="C29" s="39">
        <f>IF(ISERROR(B29*3.6/1000000/'E Balans VL '!Z10*100),0,B29*3.6/1000000/'E Balans VL '!Z10*100)</f>
        <v>10.216233093319172</v>
      </c>
      <c r="D29" s="237" t="s">
        <v>754</v>
      </c>
      <c r="F29" s="6"/>
    </row>
    <row r="30" spans="1:18">
      <c r="A30" s="231" t="s">
        <v>50</v>
      </c>
      <c r="B30" s="33">
        <f>IF(ISERROR(TER_ander_ele_kWh/1000),0,TER_ander_ele_kWh/1000)</f>
        <v>52869.8326586029</v>
      </c>
      <c r="C30" s="39">
        <f>IF(ISERROR(B30*3.6/1000000/'E Balans VL '!Z14*100),0,B30*3.6/1000000/'E Balans VL '!Z14*100)</f>
        <v>3.8996903401690819</v>
      </c>
      <c r="D30" s="237" t="s">
        <v>754</v>
      </c>
      <c r="F30" s="6"/>
    </row>
    <row r="31" spans="1:18">
      <c r="A31" s="231" t="s">
        <v>55</v>
      </c>
      <c r="B31" s="33">
        <f>IF(ISERROR(TER_onderwijs_ele_kWh/1000),0,TER_onderwijs_ele_kWh/1000)</f>
        <v>53681.464568169402</v>
      </c>
      <c r="C31" s="39">
        <f>IF(ISERROR(B31*3.6/1000000/'E Balans VL '!Z11*100),0,B31*3.6/1000000/'E Balans VL '!Z11*100)</f>
        <v>13.331622240166096</v>
      </c>
      <c r="D31" s="237" t="s">
        <v>754</v>
      </c>
    </row>
    <row r="32" spans="1:18">
      <c r="A32" s="231" t="s">
        <v>260</v>
      </c>
      <c r="B32" s="33">
        <f>IF(ISERROR(TER_rest_ele_kWh/1000),0,TER_rest_ele_kWh/1000)</f>
        <v>86134.15876570261</v>
      </c>
      <c r="C32" s="39">
        <f>IF(ISERROR(B32*3.6/1000000/'E Balans VL '!Z8*100),0,B32*3.6/1000000/'E Balans VL '!Z8*100)</f>
        <v>0.70876979516806704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337083.34734549228</v>
      </c>
      <c r="C5" s="17">
        <f>IF(ISERROR('Eigen informatie GS &amp; warmtenet'!B59),0,'Eigen informatie GS &amp; warmtenet'!B59)</f>
        <v>0</v>
      </c>
      <c r="D5" s="30">
        <f>SUM(D6:D15)</f>
        <v>298054.07990311505</v>
      </c>
      <c r="E5" s="17">
        <f>SUM(E6:E15)</f>
        <v>15465.658791546673</v>
      </c>
      <c r="F5" s="17">
        <f>SUM(F6:F15)</f>
        <v>65394.025510153631</v>
      </c>
      <c r="G5" s="18"/>
      <c r="H5" s="17"/>
      <c r="I5" s="17"/>
      <c r="J5" s="17">
        <f>SUM(J6:J15)</f>
        <v>511.57833755192416</v>
      </c>
      <c r="K5" s="17"/>
      <c r="L5" s="17"/>
      <c r="M5" s="17"/>
      <c r="N5" s="17">
        <f>SUM(N6:N15)</f>
        <v>94047.770772103875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26828.313432765</v>
      </c>
      <c r="C8" s="33"/>
      <c r="D8" s="37">
        <f>IF( ISERROR(IND_metaal_Gas_kWH/1000),0,IND_metaal_Gas_kWH/1000)*0.902</f>
        <v>14477.153889816365</v>
      </c>
      <c r="E8" s="33">
        <f>C30*'E Balans VL '!I18/100/3.6*1000000</f>
        <v>246.66043098274619</v>
      </c>
      <c r="F8" s="33">
        <f>C30*'E Balans VL '!L18/100/3.6*1000000+C30*'E Balans VL '!N18/100/3.6*1000000</f>
        <v>2515.6025950248782</v>
      </c>
      <c r="G8" s="34"/>
      <c r="H8" s="33"/>
      <c r="I8" s="33"/>
      <c r="J8" s="40">
        <f>C30*'E Balans VL '!D18/100/3.6*1000000+C30*'E Balans VL '!E18/100/3.6*1000000</f>
        <v>0</v>
      </c>
      <c r="K8" s="33"/>
      <c r="L8" s="33"/>
      <c r="M8" s="33"/>
      <c r="N8" s="33">
        <f>C30*'E Balans VL '!Y18/100/3.6*1000000</f>
        <v>382.75022677336131</v>
      </c>
      <c r="O8" s="33"/>
      <c r="P8" s="33"/>
      <c r="R8" s="32"/>
    </row>
    <row r="9" spans="1:18">
      <c r="A9" s="6" t="s">
        <v>33</v>
      </c>
      <c r="B9" s="37">
        <f t="shared" si="0"/>
        <v>23778.670287953501</v>
      </c>
      <c r="C9" s="33"/>
      <c r="D9" s="37">
        <f>IF( ISERROR(IND_andere_gas_kWh/1000),0,IND_andere_gas_kWh/1000)*0.902</f>
        <v>23109.103149161543</v>
      </c>
      <c r="E9" s="33">
        <f>C31*'E Balans VL '!I19/100/3.6*1000000</f>
        <v>6950.9682412786742</v>
      </c>
      <c r="F9" s="33">
        <f>C31*'E Balans VL '!L19/100/3.6*1000000+C31*'E Balans VL '!N19/100/3.6*1000000</f>
        <v>19107.961456327808</v>
      </c>
      <c r="G9" s="34"/>
      <c r="H9" s="33"/>
      <c r="I9" s="33"/>
      <c r="J9" s="40">
        <f>C31*'E Balans VL '!D19/100/3.6*1000000+C31*'E Balans VL '!E19/100/3.6*1000000</f>
        <v>0</v>
      </c>
      <c r="K9" s="33"/>
      <c r="L9" s="33"/>
      <c r="M9" s="33"/>
      <c r="N9" s="33">
        <f>C31*'E Balans VL '!Y19/100/3.6*1000000</f>
        <v>7856.841444169404</v>
      </c>
      <c r="O9" s="33"/>
      <c r="P9" s="33"/>
      <c r="R9" s="32"/>
    </row>
    <row r="10" spans="1:18">
      <c r="A10" s="6" t="s">
        <v>41</v>
      </c>
      <c r="B10" s="37">
        <f t="shared" si="0"/>
        <v>65679.954889549699</v>
      </c>
      <c r="C10" s="33"/>
      <c r="D10" s="37">
        <f>IF( ISERROR(IND_voed_gas_kWh/1000),0,IND_voed_gas_kWh/1000)*0.902</f>
        <v>25112.297520976605</v>
      </c>
      <c r="E10" s="33">
        <f>C32*'E Balans VL '!I20/100/3.6*1000000</f>
        <v>138.94696294860452</v>
      </c>
      <c r="F10" s="33">
        <f>C32*'E Balans VL '!L20/100/3.6*1000000+C32*'E Balans VL '!N20/100/3.6*1000000</f>
        <v>4175.9986219841021</v>
      </c>
      <c r="G10" s="34"/>
      <c r="H10" s="33"/>
      <c r="I10" s="33"/>
      <c r="J10" s="40">
        <f>C32*'E Balans VL '!D20/100/3.6*1000000+C32*'E Balans VL '!E20/100/3.6*1000000</f>
        <v>0</v>
      </c>
      <c r="K10" s="33"/>
      <c r="L10" s="33"/>
      <c r="M10" s="33"/>
      <c r="N10" s="33">
        <f>C32*'E Balans VL '!Y20/100/3.6*1000000</f>
        <v>4532.5650330109465</v>
      </c>
      <c r="O10" s="33"/>
      <c r="P10" s="33"/>
      <c r="R10" s="32"/>
    </row>
    <row r="11" spans="1:18">
      <c r="A11" s="6" t="s">
        <v>40</v>
      </c>
      <c r="B11" s="37">
        <f t="shared" si="0"/>
        <v>328.17275788908103</v>
      </c>
      <c r="C11" s="33"/>
      <c r="D11" s="37">
        <f>IF( ISERROR(IND_textiel_gas_kWh/1000),0,IND_textiel_gas_kWh/1000)*0.902</f>
        <v>456.40887802724245</v>
      </c>
      <c r="E11" s="33">
        <f>C33*'E Balans VL '!I21/100/3.6*1000000</f>
        <v>0.97464479699954254</v>
      </c>
      <c r="F11" s="33">
        <f>C33*'E Balans VL '!L21/100/3.6*1000000+C33*'E Balans VL '!N21/100/3.6*1000000</f>
        <v>33.154458239961457</v>
      </c>
      <c r="G11" s="34"/>
      <c r="H11" s="33"/>
      <c r="I11" s="33"/>
      <c r="J11" s="40">
        <f>C33*'E Balans VL '!D21/100/3.6*1000000+C33*'E Balans VL '!E21/100/3.6*1000000</f>
        <v>0</v>
      </c>
      <c r="K11" s="33"/>
      <c r="L11" s="33"/>
      <c r="M11" s="33"/>
      <c r="N11" s="33">
        <f>C33*'E Balans VL '!Y21/100/3.6*1000000</f>
        <v>18.09977491310886</v>
      </c>
      <c r="O11" s="33"/>
      <c r="P11" s="33"/>
      <c r="R11" s="32"/>
    </row>
    <row r="12" spans="1:18">
      <c r="A12" s="6" t="s">
        <v>37</v>
      </c>
      <c r="B12" s="37">
        <f t="shared" si="0"/>
        <v>41855.213405825896</v>
      </c>
      <c r="C12" s="33"/>
      <c r="D12" s="37">
        <f>IF( ISERROR(IND_min_gas_kWh/1000),0,IND_min_gas_kWh/1000)*0.902</f>
        <v>187.2344005464499</v>
      </c>
      <c r="E12" s="33">
        <f>C34*'E Balans VL '!I22/100/3.6*1000000</f>
        <v>1213.2102909239552</v>
      </c>
      <c r="F12" s="33">
        <f>C34*'E Balans VL '!L22/100/3.6*1000000+C34*'E Balans VL '!N22/100/3.6*1000000</f>
        <v>14390.295343375659</v>
      </c>
      <c r="G12" s="34"/>
      <c r="H12" s="33"/>
      <c r="I12" s="33"/>
      <c r="J12" s="40">
        <f>C34*'E Balans VL '!D22/100/3.6*1000000+C34*'E Balans VL '!E22/100/3.6*1000000</f>
        <v>68.780728506194137</v>
      </c>
      <c r="K12" s="33"/>
      <c r="L12" s="33"/>
      <c r="M12" s="33"/>
      <c r="N12" s="33">
        <f>C34*'E Balans VL '!Y22/100/3.6*1000000</f>
        <v>9162.7940334489667</v>
      </c>
      <c r="O12" s="33"/>
      <c r="P12" s="33"/>
      <c r="R12" s="32"/>
    </row>
    <row r="13" spans="1:18">
      <c r="A13" s="6" t="s">
        <v>39</v>
      </c>
      <c r="B13" s="37">
        <f t="shared" si="0"/>
        <v>14995.6703566261</v>
      </c>
      <c r="C13" s="33"/>
      <c r="D13" s="37">
        <f>IF( ISERROR(IND_papier_gas_kWh/1000),0,IND_papier_gas_kWh/1000)*0.902</f>
        <v>2873.5564485756713</v>
      </c>
      <c r="E13" s="33">
        <f>C35*'E Balans VL '!I23/100/3.6*1000000</f>
        <v>21.275426752864885</v>
      </c>
      <c r="F13" s="33">
        <f>C35*'E Balans VL '!L23/100/3.6*1000000+C35*'E Balans VL '!N23/100/3.6*1000000</f>
        <v>366.10070076132547</v>
      </c>
      <c r="G13" s="34"/>
      <c r="H13" s="33"/>
      <c r="I13" s="33"/>
      <c r="J13" s="40">
        <f>C35*'E Balans VL '!D23/100/3.6*1000000+C35*'E Balans VL '!E23/100/3.6*1000000</f>
        <v>2.3192212085847927</v>
      </c>
      <c r="K13" s="33"/>
      <c r="L13" s="33"/>
      <c r="M13" s="33"/>
      <c r="N13" s="33">
        <f>C35*'E Balans VL '!Y23/100/3.6*1000000</f>
        <v>43588.864007720673</v>
      </c>
      <c r="O13" s="33"/>
      <c r="P13" s="33"/>
      <c r="R13" s="32"/>
    </row>
    <row r="14" spans="1:18">
      <c r="A14" s="6" t="s">
        <v>34</v>
      </c>
      <c r="B14" s="37">
        <f t="shared" si="0"/>
        <v>40578.042855426997</v>
      </c>
      <c r="C14" s="33"/>
      <c r="D14" s="37">
        <f>IF( ISERROR(IND_chemie_gas_kWh/1000),0,IND_chemie_gas_kWh/1000)*0.902</f>
        <v>40592.111968105703</v>
      </c>
      <c r="E14" s="33">
        <f>C36*'E Balans VL '!I24/100/3.6*1000000</f>
        <v>99.891515137674361</v>
      </c>
      <c r="F14" s="33">
        <f>C36*'E Balans VL '!L24/100/3.6*1000000+C36*'E Balans VL '!N24/100/3.6*1000000</f>
        <v>434.50777974973158</v>
      </c>
      <c r="G14" s="34"/>
      <c r="H14" s="33"/>
      <c r="I14" s="33"/>
      <c r="J14" s="40">
        <f>C36*'E Balans VL '!D24/100/3.6*1000000+C36*'E Balans VL '!E24/100/3.6*1000000</f>
        <v>0</v>
      </c>
      <c r="K14" s="33"/>
      <c r="L14" s="33"/>
      <c r="M14" s="33"/>
      <c r="N14" s="33">
        <f>C36*'E Balans VL '!Y24/100/3.6*1000000</f>
        <v>906.20786480258334</v>
      </c>
      <c r="O14" s="33"/>
      <c r="P14" s="33"/>
      <c r="R14" s="32"/>
    </row>
    <row r="15" spans="1:18">
      <c r="A15" s="6" t="s">
        <v>270</v>
      </c>
      <c r="B15" s="37">
        <f t="shared" si="0"/>
        <v>123039.30935945601</v>
      </c>
      <c r="C15" s="33"/>
      <c r="D15" s="37">
        <f>IF( ISERROR(IND_rest_gas_kWh/1000),0,IND_rest_gas_kWh/1000)*0.902</f>
        <v>191246.21364790545</v>
      </c>
      <c r="E15" s="33">
        <f>C37*'E Balans VL '!I15/100/3.6*1000000</f>
        <v>6793.7312787251549</v>
      </c>
      <c r="F15" s="33">
        <f>C37*'E Balans VL '!L15/100/3.6*1000000+C37*'E Balans VL '!N15/100/3.6*1000000</f>
        <v>24370.404554690169</v>
      </c>
      <c r="G15" s="34"/>
      <c r="H15" s="33"/>
      <c r="I15" s="33"/>
      <c r="J15" s="40">
        <f>C37*'E Balans VL '!D15/100/3.6*1000000+C37*'E Balans VL '!E15/100/3.6*1000000</f>
        <v>440.47838783714525</v>
      </c>
      <c r="K15" s="33"/>
      <c r="L15" s="33"/>
      <c r="M15" s="33"/>
      <c r="N15" s="33">
        <f>C37*'E Balans VL '!Y15/100/3.6*1000000</f>
        <v>27599.648387264839</v>
      </c>
      <c r="O15" s="33"/>
      <c r="P15" s="33"/>
      <c r="R15" s="32"/>
    </row>
    <row r="16" spans="1:18">
      <c r="A16" s="16" t="s">
        <v>488</v>
      </c>
      <c r="B16" s="247">
        <f>'lokale energieproductie'!N89+'lokale energieproductie'!N58</f>
        <v>11025</v>
      </c>
      <c r="C16" s="247">
        <f>'lokale energieproductie'!O89+'lokale energieproductie'!O58</f>
        <v>12744.642857142857</v>
      </c>
      <c r="D16" s="310">
        <f>('lokale energieproductie'!P58+'lokale energieproductie'!P89)*(-1)</f>
        <v>-3214.2857142857147</v>
      </c>
      <c r="E16" s="248"/>
      <c r="F16" s="310">
        <f>('lokale energieproductie'!S58+'lokale energieproductie'!S89)*(-1)</f>
        <v>-6187.5</v>
      </c>
      <c r="G16" s="249"/>
      <c r="H16" s="248"/>
      <c r="I16" s="248"/>
      <c r="J16" s="248"/>
      <c r="K16" s="248"/>
      <c r="L16" s="310">
        <f>('lokale energieproductie'!T58+'lokale energieproductie'!U58+'lokale energieproductie'!T89+'lokale energieproductie'!U89)*(-1)</f>
        <v>-18562.5</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348108.34734549228</v>
      </c>
      <c r="C18" s="21">
        <f>C5+C16</f>
        <v>12744.642857142857</v>
      </c>
      <c r="D18" s="21">
        <f>MAX((D5+D16),0)</f>
        <v>294839.79418882931</v>
      </c>
      <c r="E18" s="21">
        <f>MAX((E5+E16),0)</f>
        <v>15465.658791546673</v>
      </c>
      <c r="F18" s="21">
        <f>MAX((F5+F16),0)</f>
        <v>59206.525510153631</v>
      </c>
      <c r="G18" s="21"/>
      <c r="H18" s="21"/>
      <c r="I18" s="21"/>
      <c r="J18" s="21">
        <f>MAX((J5+J16),0)</f>
        <v>511.57833755192416</v>
      </c>
      <c r="K18" s="21"/>
      <c r="L18" s="21">
        <f>MAX((L5+L16),0)</f>
        <v>0</v>
      </c>
      <c r="M18" s="21"/>
      <c r="N18" s="21">
        <f>MAX((N5+N16),0)</f>
        <v>94047.770772103875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0.19578305505517243</v>
      </c>
      <c r="C20" s="25">
        <f ca="1">'EF ele_warmte'!B22</f>
        <v>0.13549117301316638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68153.715733507604</v>
      </c>
      <c r="C22" s="23">
        <f ca="1">C18*C20</f>
        <v>1726.7866103481579</v>
      </c>
      <c r="D22" s="23">
        <f>D18*D20</f>
        <v>59557.638426143523</v>
      </c>
      <c r="E22" s="23">
        <f>E18*E20</f>
        <v>3510.7045456810952</v>
      </c>
      <c r="F22" s="23">
        <f>F18*F20</f>
        <v>15808.142311211021</v>
      </c>
      <c r="G22" s="23"/>
      <c r="H22" s="23"/>
      <c r="I22" s="23"/>
      <c r="J22" s="23">
        <f>J18*J20</f>
        <v>181.09873149338114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26828.313432765</v>
      </c>
      <c r="C30" s="39">
        <f>IF(ISERROR(B30*3.6/1000000/'E Balans VL '!Z18*100),0,B30*3.6/1000000/'E Balans VL '!Z18*100)</f>
        <v>1.5204293145297834</v>
      </c>
      <c r="D30" s="237" t="s">
        <v>754</v>
      </c>
    </row>
    <row r="31" spans="1:18">
      <c r="A31" s="6" t="s">
        <v>33</v>
      </c>
      <c r="B31" s="37">
        <f>IF( ISERROR(IND_ander_ele_kWh/1000),0,IND_ander_ele_kWh/1000)</f>
        <v>23778.670287953501</v>
      </c>
      <c r="C31" s="39">
        <f>IF(ISERROR(B31*3.6/1000000/'E Balans VL '!Z19*100),0,B31*3.6/1000000/'E Balans VL '!Z19*100)</f>
        <v>1.0785014716017767</v>
      </c>
      <c r="D31" s="237" t="s">
        <v>754</v>
      </c>
    </row>
    <row r="32" spans="1:18">
      <c r="A32" s="171" t="s">
        <v>41</v>
      </c>
      <c r="B32" s="37">
        <f>IF( ISERROR(IND_voed_ele_kWh/1000),0,IND_voed_ele_kWh/1000)</f>
        <v>65679.954889549699</v>
      </c>
      <c r="C32" s="39">
        <f>IF(ISERROR(B32*3.6/1000000/'E Balans VL '!Z20*100),0,B32*3.6/1000000/'E Balans VL '!Z20*100)</f>
        <v>2.0317791665535303</v>
      </c>
      <c r="D32" s="237" t="s">
        <v>754</v>
      </c>
    </row>
    <row r="33" spans="1:5">
      <c r="A33" s="171" t="s">
        <v>40</v>
      </c>
      <c r="B33" s="37">
        <f>IF( ISERROR(IND_textiel_ele_kWh/1000),0,IND_textiel_ele_kWh/1000)</f>
        <v>328.17275788908103</v>
      </c>
      <c r="C33" s="39">
        <f>IF(ISERROR(B33*3.6/1000000/'E Balans VL '!Z21*100),0,B33*3.6/1000000/'E Balans VL '!Z21*100)</f>
        <v>4.2790079802784438E-2</v>
      </c>
      <c r="D33" s="237" t="s">
        <v>754</v>
      </c>
    </row>
    <row r="34" spans="1:5">
      <c r="A34" s="171" t="s">
        <v>37</v>
      </c>
      <c r="B34" s="37">
        <f>IF( ISERROR(IND_min_ele_kWh/1000),0,IND_min_ele_kWh/1000)</f>
        <v>41855.213405825896</v>
      </c>
      <c r="C34" s="39">
        <f>IF(ISERROR(B34*3.6/1000000/'E Balans VL '!Z22*100),0,B34*3.6/1000000/'E Balans VL '!Z22*100)</f>
        <v>7.5284470240893855</v>
      </c>
      <c r="D34" s="237" t="s">
        <v>754</v>
      </c>
    </row>
    <row r="35" spans="1:5">
      <c r="A35" s="171" t="s">
        <v>39</v>
      </c>
      <c r="B35" s="37">
        <f>IF( ISERROR(IND_papier_ele_kWh/1000),0,IND_papier_ele_kWh/1000)</f>
        <v>14995.6703566261</v>
      </c>
      <c r="C35" s="39">
        <f>IF(ISERROR(B35*3.6/1000000/'E Balans VL '!Z22*100),0,B35*3.6/1000000/'E Balans VL '!Z22*100)</f>
        <v>2.6972532376302074</v>
      </c>
      <c r="D35" s="237" t="s">
        <v>754</v>
      </c>
    </row>
    <row r="36" spans="1:5">
      <c r="A36" s="171" t="s">
        <v>34</v>
      </c>
      <c r="B36" s="37">
        <f>IF( ISERROR(IND_chemie_ele_kWh/1000),0,IND_chemie_ele_kWh/1000)</f>
        <v>40578.042855426997</v>
      </c>
      <c r="C36" s="39">
        <f>IF(ISERROR(B36*3.6/1000000/'E Balans VL '!Z24*100),0,B36*3.6/1000000/'E Balans VL '!Z24*100)</f>
        <v>1.2373878479219642</v>
      </c>
      <c r="D36" s="237" t="s">
        <v>754</v>
      </c>
    </row>
    <row r="37" spans="1:5">
      <c r="A37" s="171" t="s">
        <v>270</v>
      </c>
      <c r="B37" s="37">
        <f>IF( ISERROR(IND_rest_ele_kWh/1000),0,IND_rest_ele_kWh/1000)</f>
        <v>123039.30935945601</v>
      </c>
      <c r="C37" s="39">
        <f>IF(ISERROR(B37*3.6/1000000/'E Balans VL '!Z15*100),0,B37*3.6/1000000/'E Balans VL '!Z15*100)</f>
        <v>0.97523763331655144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3488.4364663012298</v>
      </c>
      <c r="C5" s="17">
        <f>'Eigen informatie GS &amp; warmtenet'!B60</f>
        <v>0</v>
      </c>
      <c r="D5" s="30">
        <f>IF(ISERROR(SUM(LB_lb_gas_kWh,LB_rest_gas_kWh,onbekend_gas_kWh)/1000),0,SUM(LB_lb_gas_kWh,LB_rest_gas_kWh,onbekend_gas_kWh)/1000)*0.902</f>
        <v>90772.115940978925</v>
      </c>
      <c r="E5" s="17">
        <f>B17*'E Balans VL '!I25/3.6*1000000/100</f>
        <v>102.53580265936745</v>
      </c>
      <c r="F5" s="17">
        <f>B17*('E Balans VL '!L25/3.6*1000000+'E Balans VL '!N25/3.6*1000000)/100</f>
        <v>14532.637813398482</v>
      </c>
      <c r="G5" s="18"/>
      <c r="H5" s="17"/>
      <c r="I5" s="17"/>
      <c r="J5" s="17">
        <f>('E Balans VL '!D25+'E Balans VL '!E25)/3.6*1000000*landbouw!B17/100</f>
        <v>505.39952893639048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3488.4364663012298</v>
      </c>
      <c r="C8" s="21">
        <f>C5+C6</f>
        <v>0</v>
      </c>
      <c r="D8" s="21">
        <f>MAX((D5+D6),0)</f>
        <v>90772.115940978925</v>
      </c>
      <c r="E8" s="21">
        <f>MAX((E5+E6),0)</f>
        <v>102.53580265936745</v>
      </c>
      <c r="F8" s="21">
        <f>MAX((F5+F6),0)</f>
        <v>14532.637813398482</v>
      </c>
      <c r="G8" s="21"/>
      <c r="H8" s="21"/>
      <c r="I8" s="21"/>
      <c r="J8" s="21">
        <f>MAX((J5+J6),0)</f>
        <v>505.39952893639048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0.19578305505517243</v>
      </c>
      <c r="C10" s="31">
        <f ca="1">'EF ele_warmte'!B22</f>
        <v>0.13549117301316638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682.97674873832489</v>
      </c>
      <c r="C12" s="23">
        <f ca="1">C8*C10</f>
        <v>0</v>
      </c>
      <c r="D12" s="23">
        <f>D8*D10</f>
        <v>18335.967420077744</v>
      </c>
      <c r="E12" s="23">
        <f>E8*E10</f>
        <v>23.275627203676411</v>
      </c>
      <c r="F12" s="23">
        <f>F8*F10</f>
        <v>3880.2142961773948</v>
      </c>
      <c r="G12" s="23"/>
      <c r="H12" s="23"/>
      <c r="I12" s="23"/>
      <c r="J12" s="23">
        <f>J8*J10</f>
        <v>178.91143324348221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0.49502007920378016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459.47274111296588</v>
      </c>
      <c r="C26" s="247">
        <f>B26*'GWP N2O_CH4'!B5</f>
        <v>9648.9275633722827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87.607579202350649</v>
      </c>
      <c r="C27" s="247">
        <f>B27*'GWP N2O_CH4'!B5</f>
        <v>1839.7591632493636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5.4029392107787668</v>
      </c>
      <c r="C28" s="247">
        <f>B28*'GWP N2O_CH4'!B4</f>
        <v>1674.9111553414177</v>
      </c>
      <c r="D28" s="50"/>
    </row>
    <row r="29" spans="1:4">
      <c r="A29" s="41" t="s">
        <v>277</v>
      </c>
      <c r="B29" s="247">
        <f>B34*'ha_N2O bodem landbouw'!B4</f>
        <v>20.321981592992227</v>
      </c>
      <c r="C29" s="247">
        <f>B29*'GWP N2O_CH4'!B4</f>
        <v>6299.8142938275905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4.6374061668567083E-3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2.6965792990872577E-3</v>
      </c>
      <c r="C5" s="463" t="s">
        <v>211</v>
      </c>
      <c r="D5" s="448">
        <f>SUM(D6:D11)</f>
        <v>9.4033380361553745E-3</v>
      </c>
      <c r="E5" s="448">
        <f>SUM(E6:E11)</f>
        <v>1.4091770544158357E-2</v>
      </c>
      <c r="F5" s="461" t="s">
        <v>211</v>
      </c>
      <c r="G5" s="448">
        <f>SUM(G6:G11)</f>
        <v>5.917029707702536</v>
      </c>
      <c r="H5" s="448">
        <f>SUM(H6:H11)</f>
        <v>1.0832033992340644</v>
      </c>
      <c r="I5" s="463" t="s">
        <v>211</v>
      </c>
      <c r="J5" s="463" t="s">
        <v>211</v>
      </c>
      <c r="K5" s="463" t="s">
        <v>211</v>
      </c>
      <c r="L5" s="463" t="s">
        <v>211</v>
      </c>
      <c r="M5" s="448">
        <f>SUM(M6:M11)</f>
        <v>0.37785692688152123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7.8827709645571862E-4</v>
      </c>
      <c r="C6" s="449"/>
      <c r="D6" s="962">
        <f>vkm_2011_GW_PW*SUMIFS(TableVerdeelsleutelVkm[CNG],TableVerdeelsleutelVkm[Voertuigtype],"Lichte voertuigen")*SUMIFS(TableECFTransport[EnergieConsumptieFactor (PJ per km)],TableECFTransport[Index],CONCATENATE($A6,"_CNG_CNG"))</f>
        <v>2.3643788594672603E-3</v>
      </c>
      <c r="E6" s="962">
        <f>vkm_2011_GW_PW*SUMIFS(TableVerdeelsleutelVkm[LPG],TableVerdeelsleutelVkm[Voertuigtype],"Lichte voertuigen")*SUMIFS(TableECFTransport[EnergieConsumptieFactor (PJ per km)],TableECFTransport[Index],CONCATENATE($A6,"_LPG_LPG"))</f>
        <v>3.2300811483178906E-3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0.83515091573377442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0.26887385349415727</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5.6773435160670536E-2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0.77626421486876829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2.3654817791646154E-4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4.5362303131132958E-2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4.7898626641156028E-4</v>
      </c>
      <c r="C8" s="449"/>
      <c r="D8" s="451">
        <f>vkm_2011_NGW_PW*SUMIFS(TableVerdeelsleutelVkm[CNG],TableVerdeelsleutelVkm[Voertuigtype],"Lichte voertuigen")*SUMIFS(TableECFTransport[EnergieConsumptieFactor (PJ per km)],TableECFTransport[Index],CONCATENATE($A8,"_CNG_CNG"))</f>
        <v>2.5544400437780184E-3</v>
      </c>
      <c r="E8" s="451">
        <f>vkm_2011_NGW_PW*SUMIFS(TableVerdeelsleutelVkm[LPG],TableVerdeelsleutelVkm[Voertuigtype],"Lichte voertuigen")*SUMIFS(TableECFTransport[EnergieConsumptieFactor (PJ per km)],TableECFTransport[Index],CONCATENATE($A8,"_LPG_LPG"))</f>
        <v>3.2318878502843561E-3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0.77870760333041356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0.28229007460317762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5.3873647617899E-2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0.31381433844754125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9.0025030235929841E-5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1.8338101691659753E-2</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1.4293159362199787E-3</v>
      </c>
      <c r="C10" s="449"/>
      <c r="D10" s="451">
        <f>vkm_2011_SW_PW*SUMIFS(TableVerdeelsleutelVkm[CNG],TableVerdeelsleutelVkm[Voertuigtype],"Lichte voertuigen")*SUMIFS(TableECFTransport[EnergieConsumptieFactor (PJ per km)],TableECFTransport[Index],CONCATENATE($A10,"_CNG_CNG"))</f>
        <v>4.4845191329100946E-3</v>
      </c>
      <c r="E10" s="451">
        <f>vkm_2011_SW_PW*SUMIFS(TableVerdeelsleutelVkm[LPG],TableVerdeelsleutelVkm[Voertuigtype],"Lichte voertuigen")*SUMIFS(TableECFTransport[EnergieConsumptieFactor (PJ per km)],TableECFTransport[Index],CONCATENATE($A10,"_LPG_LPG"))</f>
        <v>7.629801545556111E-3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1.7586865430736371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0.53123429510858888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0.11851772607502402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1.4544060922484014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4.7860281998810716E-4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8.4991713205134933E-2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749.04980530201601</v>
      </c>
      <c r="C14" s="21"/>
      <c r="D14" s="21">
        <f t="shared" ref="D14:M14" si="0">((D5)*10^9/3600)+D12</f>
        <v>2612.0383433764928</v>
      </c>
      <c r="E14" s="21">
        <f t="shared" si="0"/>
        <v>3914.380706710655</v>
      </c>
      <c r="F14" s="21"/>
      <c r="G14" s="21">
        <f t="shared" si="0"/>
        <v>1643619.3632507042</v>
      </c>
      <c r="H14" s="21">
        <f t="shared" si="0"/>
        <v>300889.83312057343</v>
      </c>
      <c r="I14" s="21"/>
      <c r="J14" s="21"/>
      <c r="K14" s="21"/>
      <c r="L14" s="21"/>
      <c r="M14" s="21">
        <f t="shared" si="0"/>
        <v>104960.25746708924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0.19578305505517243</v>
      </c>
      <c r="C16" s="56">
        <f ca="1">'EF ele_warmte'!B22</f>
        <v>0.13549117301316638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146.65125927051079</v>
      </c>
      <c r="C18" s="23"/>
      <c r="D18" s="23">
        <f t="shared" ref="D18:M18" si="1">D14*D16</f>
        <v>527.63174536205156</v>
      </c>
      <c r="E18" s="23">
        <f t="shared" si="1"/>
        <v>888.56442042331867</v>
      </c>
      <c r="F18" s="23"/>
      <c r="G18" s="23">
        <f t="shared" si="1"/>
        <v>438846.36998793809</v>
      </c>
      <c r="H18" s="23">
        <f t="shared" si="1"/>
        <v>74921.568447022786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3.2707772979872353E-2</v>
      </c>
      <c r="C50" s="321">
        <f t="shared" ref="C50:P50" si="2">SUM(C51:C52)</f>
        <v>0</v>
      </c>
      <c r="D50" s="321">
        <f t="shared" si="2"/>
        <v>0</v>
      </c>
      <c r="E50" s="321">
        <f t="shared" si="2"/>
        <v>0</v>
      </c>
      <c r="F50" s="321">
        <f t="shared" si="2"/>
        <v>0</v>
      </c>
      <c r="G50" s="321">
        <f t="shared" si="2"/>
        <v>0.13018963498147579</v>
      </c>
      <c r="H50" s="321">
        <f t="shared" si="2"/>
        <v>0</v>
      </c>
      <c r="I50" s="321">
        <f t="shared" si="2"/>
        <v>0</v>
      </c>
      <c r="J50" s="321">
        <f t="shared" si="2"/>
        <v>0</v>
      </c>
      <c r="K50" s="321">
        <f t="shared" si="2"/>
        <v>0</v>
      </c>
      <c r="L50" s="321">
        <f t="shared" si="2"/>
        <v>0</v>
      </c>
      <c r="M50" s="321">
        <f t="shared" si="2"/>
        <v>7.3941965348597203E-3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0.13018963498147579</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7.3941965348597203E-3</v>
      </c>
      <c r="N51" s="323"/>
      <c r="O51" s="323"/>
      <c r="P51" s="326"/>
    </row>
    <row r="52" spans="1:18">
      <c r="A52" s="4" t="s">
        <v>330</v>
      </c>
      <c r="B52" s="963">
        <f>vkm_2011_tram*SUMIFS(TableECFTransport[EnergieConsumptieFactor (PJ per km)],TableECFTransport[Index],"Tram_gemiddeld_Electric_Electric")</f>
        <v>3.2707772979872353E-2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9085.4924944089871</v>
      </c>
      <c r="C54" s="21">
        <f t="shared" ref="C54:P54" si="3">(C50)*10^9/3600</f>
        <v>0</v>
      </c>
      <c r="D54" s="21">
        <f t="shared" si="3"/>
        <v>0</v>
      </c>
      <c r="E54" s="21">
        <f t="shared" si="3"/>
        <v>0</v>
      </c>
      <c r="F54" s="21">
        <f t="shared" si="3"/>
        <v>0</v>
      </c>
      <c r="G54" s="21">
        <f t="shared" si="3"/>
        <v>36163.787494854383</v>
      </c>
      <c r="H54" s="21">
        <f t="shared" si="3"/>
        <v>0</v>
      </c>
      <c r="I54" s="21">
        <f t="shared" si="3"/>
        <v>0</v>
      </c>
      <c r="J54" s="21">
        <f t="shared" si="3"/>
        <v>0</v>
      </c>
      <c r="K54" s="21">
        <f t="shared" si="3"/>
        <v>0</v>
      </c>
      <c r="L54" s="21">
        <f t="shared" si="3"/>
        <v>0</v>
      </c>
      <c r="M54" s="21">
        <f t="shared" si="3"/>
        <v>2053.9434819054782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0.19578305505517243</v>
      </c>
      <c r="C56" s="56">
        <f ca="1">'EF ele_warmte'!B22</f>
        <v>0.13549117301316638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1778.7854772362307</v>
      </c>
      <c r="C58" s="23">
        <f t="shared" ref="C58:P58" ca="1" si="4">C54*C56</f>
        <v>0</v>
      </c>
      <c r="D58" s="23">
        <f t="shared" si="4"/>
        <v>0</v>
      </c>
      <c r="E58" s="23">
        <f t="shared" si="4"/>
        <v>0</v>
      </c>
      <c r="F58" s="23">
        <f t="shared" si="4"/>
        <v>0</v>
      </c>
      <c r="G58" s="23">
        <f t="shared" si="4"/>
        <v>9655.7312611261204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102566.15369812425</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55784.577605515748</v>
      </c>
      <c r="C6" s="1263"/>
      <c r="D6" s="1248"/>
      <c r="E6" s="1248"/>
      <c r="F6" s="1266"/>
      <c r="G6" s="1269"/>
      <c r="H6" s="1260"/>
      <c r="I6" s="1248"/>
      <c r="J6" s="1248"/>
      <c r="K6" s="1248"/>
      <c r="L6" s="1252"/>
      <c r="M6" s="575"/>
      <c r="N6" s="1226"/>
      <c r="O6" s="1227"/>
      <c r="Q6" s="573"/>
      <c r="R6" s="1214"/>
      <c r="S6" s="1214"/>
    </row>
    <row r="7" spans="1:19" s="563" customFormat="1">
      <c r="A7" s="576" t="s">
        <v>252</v>
      </c>
      <c r="B7" s="577">
        <f>N57</f>
        <v>14812.5</v>
      </c>
      <c r="C7" s="578">
        <f>B100</f>
        <v>6261.2586630878341</v>
      </c>
      <c r="D7" s="579"/>
      <c r="E7" s="579">
        <f>E100</f>
        <v>2779.7331472426381</v>
      </c>
      <c r="F7" s="580"/>
      <c r="G7" s="581"/>
      <c r="H7" s="579">
        <f>I100</f>
        <v>0</v>
      </c>
      <c r="I7" s="579">
        <f>G100+F100</f>
        <v>8384.6859841373389</v>
      </c>
      <c r="J7" s="579">
        <f>H100+D100+C100</f>
        <v>0</v>
      </c>
      <c r="K7" s="579"/>
      <c r="L7" s="582"/>
      <c r="M7" s="583">
        <f>C7*$C$11+D7*$D$11+E7*$E$11+F7*$F$11+G7*$G$11+H7*$H$11+I7*$I$11+J7*$J$11</f>
        <v>2006.9630002575268</v>
      </c>
      <c r="N7" s="1226"/>
      <c r="O7" s="1227"/>
      <c r="Q7" s="573"/>
      <c r="R7" s="1214"/>
      <c r="S7" s="1214"/>
    </row>
    <row r="8" spans="1:19" s="563" customFormat="1" ht="17.45" customHeight="1" thickBot="1">
      <c r="A8" s="584" t="s">
        <v>248</v>
      </c>
      <c r="B8" s="585">
        <f>N88+'Eigen informatie GS &amp; warmtenet'!B12</f>
        <v>1858.5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175021.73130364</v>
      </c>
      <c r="C9" s="594">
        <f t="shared" ref="C9:L9" si="0">SUM(C7:C8)</f>
        <v>6261.2586630878341</v>
      </c>
      <c r="D9" s="594">
        <f t="shared" si="0"/>
        <v>0</v>
      </c>
      <c r="E9" s="594">
        <f t="shared" si="0"/>
        <v>2779.7331472426381</v>
      </c>
      <c r="F9" s="594">
        <f t="shared" si="0"/>
        <v>0</v>
      </c>
      <c r="G9" s="594">
        <f t="shared" si="0"/>
        <v>0</v>
      </c>
      <c r="H9" s="594">
        <f t="shared" si="0"/>
        <v>0</v>
      </c>
      <c r="I9" s="594">
        <f t="shared" si="0"/>
        <v>8384.6859841373389</v>
      </c>
      <c r="J9" s="594">
        <f t="shared" si="0"/>
        <v>5310</v>
      </c>
      <c r="K9" s="594">
        <f t="shared" si="0"/>
        <v>0</v>
      </c>
      <c r="L9" s="594">
        <f t="shared" si="0"/>
        <v>0</v>
      </c>
      <c r="M9" s="595">
        <f>SUM(M4:M8)</f>
        <v>2006.9630002575268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18159.133928571428</v>
      </c>
      <c r="C16" s="610">
        <f>B101</f>
        <v>7675.8841940550255</v>
      </c>
      <c r="D16" s="611"/>
      <c r="E16" s="611">
        <f>E101</f>
        <v>3407.7668527573624</v>
      </c>
      <c r="F16" s="612"/>
      <c r="G16" s="613"/>
      <c r="H16" s="610">
        <f>I101</f>
        <v>0</v>
      </c>
      <c r="I16" s="611">
        <f>G101+F101</f>
        <v>10279.064015862663</v>
      </c>
      <c r="J16" s="611">
        <f>H101+D101+C101</f>
        <v>0</v>
      </c>
      <c r="K16" s="611"/>
      <c r="L16" s="614"/>
      <c r="M16" s="615">
        <f>C16*$C$21+E16*$E$21+H16*$H$21+I16*$I$21+J16*$J$21+D16*$D$21+F16*$F$21+G16*$G$21+K16*$K$21+L16*$L$21</f>
        <v>2460.4023568853308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18159.133928571428</v>
      </c>
      <c r="C19" s="593">
        <f>SUM(C16:C18)</f>
        <v>7675.8841940550255</v>
      </c>
      <c r="D19" s="593">
        <f t="shared" ref="D19:M19" si="1">SUM(D16:D18)</f>
        <v>0</v>
      </c>
      <c r="E19" s="593">
        <f t="shared" si="1"/>
        <v>3407.7668527573624</v>
      </c>
      <c r="F19" s="593">
        <f t="shared" si="1"/>
        <v>0</v>
      </c>
      <c r="G19" s="593">
        <f t="shared" si="1"/>
        <v>0</v>
      </c>
      <c r="H19" s="593">
        <f t="shared" si="1"/>
        <v>0</v>
      </c>
      <c r="I19" s="593">
        <f t="shared" si="1"/>
        <v>10279.064015862663</v>
      </c>
      <c r="J19" s="593">
        <f t="shared" si="1"/>
        <v>0</v>
      </c>
      <c r="K19" s="593">
        <f t="shared" si="1"/>
        <v>0</v>
      </c>
      <c r="L19" s="593">
        <f t="shared" si="1"/>
        <v>0</v>
      </c>
      <c r="M19" s="620">
        <f t="shared" si="1"/>
        <v>2460.4023568853308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44021</v>
      </c>
      <c r="C27" s="851">
        <v>9042</v>
      </c>
      <c r="D27" s="672" t="s">
        <v>844</v>
      </c>
      <c r="E27" s="671" t="s">
        <v>845</v>
      </c>
      <c r="F27" s="671" t="s">
        <v>846</v>
      </c>
      <c r="G27" s="671" t="s">
        <v>847</v>
      </c>
      <c r="H27" s="671" t="s">
        <v>848</v>
      </c>
      <c r="I27" s="671" t="s">
        <v>849</v>
      </c>
      <c r="J27" s="850">
        <v>39812</v>
      </c>
      <c r="K27" s="850">
        <v>39812</v>
      </c>
      <c r="L27" s="671" t="s">
        <v>850</v>
      </c>
      <c r="M27" s="671">
        <v>2200</v>
      </c>
      <c r="N27" s="671">
        <v>9900</v>
      </c>
      <c r="O27" s="671">
        <v>11137.5</v>
      </c>
      <c r="P27" s="671">
        <v>0</v>
      </c>
      <c r="Q27" s="671">
        <v>0</v>
      </c>
      <c r="R27" s="671">
        <v>0</v>
      </c>
      <c r="S27" s="671">
        <v>6187.5</v>
      </c>
      <c r="T27" s="671">
        <v>18562.5</v>
      </c>
      <c r="U27" s="671">
        <v>0</v>
      </c>
      <c r="V27" s="671">
        <v>0</v>
      </c>
      <c r="W27" s="671">
        <v>0</v>
      </c>
      <c r="X27" s="671">
        <v>300</v>
      </c>
      <c r="Y27" s="671" t="s">
        <v>34</v>
      </c>
      <c r="Z27" s="673" t="s">
        <v>389</v>
      </c>
    </row>
    <row r="28" spans="1:26" s="625" customFormat="1" ht="63.75">
      <c r="A28" s="624"/>
      <c r="B28" s="851">
        <v>44021</v>
      </c>
      <c r="C28" s="851">
        <v>9031</v>
      </c>
      <c r="D28" s="672" t="s">
        <v>851</v>
      </c>
      <c r="E28" s="671" t="s">
        <v>852</v>
      </c>
      <c r="F28" s="671" t="s">
        <v>853</v>
      </c>
      <c r="G28" s="671" t="s">
        <v>847</v>
      </c>
      <c r="H28" s="671" t="s">
        <v>848</v>
      </c>
      <c r="I28" s="671" t="s">
        <v>852</v>
      </c>
      <c r="J28" s="850">
        <v>40096</v>
      </c>
      <c r="K28" s="850">
        <v>40179</v>
      </c>
      <c r="L28" s="671" t="s">
        <v>850</v>
      </c>
      <c r="M28" s="671">
        <v>9</v>
      </c>
      <c r="N28" s="671">
        <v>40.5</v>
      </c>
      <c r="O28" s="671">
        <v>45.5625</v>
      </c>
      <c r="P28" s="671">
        <v>0</v>
      </c>
      <c r="Q28" s="671">
        <v>0</v>
      </c>
      <c r="R28" s="671">
        <v>0</v>
      </c>
      <c r="S28" s="671">
        <v>0</v>
      </c>
      <c r="T28" s="671">
        <v>0</v>
      </c>
      <c r="U28" s="671">
        <v>101.25</v>
      </c>
      <c r="V28" s="671">
        <v>0</v>
      </c>
      <c r="W28" s="671">
        <v>0</v>
      </c>
      <c r="X28" s="671">
        <v>1600</v>
      </c>
      <c r="Y28" s="671" t="s">
        <v>50</v>
      </c>
      <c r="Z28" s="673" t="s">
        <v>156</v>
      </c>
    </row>
    <row r="29" spans="1:26" s="625" customFormat="1" ht="25.5">
      <c r="A29" s="624"/>
      <c r="B29" s="851">
        <v>44021</v>
      </c>
      <c r="C29" s="851">
        <v>9040</v>
      </c>
      <c r="D29" s="672" t="s">
        <v>854</v>
      </c>
      <c r="E29" s="671" t="s">
        <v>855</v>
      </c>
      <c r="F29" s="671" t="s">
        <v>856</v>
      </c>
      <c r="G29" s="671" t="s">
        <v>847</v>
      </c>
      <c r="H29" s="671" t="s">
        <v>857</v>
      </c>
      <c r="I29" s="671" t="s">
        <v>855</v>
      </c>
      <c r="J29" s="850">
        <v>41003</v>
      </c>
      <c r="K29" s="850">
        <v>41003</v>
      </c>
      <c r="L29" s="671" t="s">
        <v>850</v>
      </c>
      <c r="M29" s="671">
        <v>70</v>
      </c>
      <c r="N29" s="671">
        <v>315.00000000000006</v>
      </c>
      <c r="O29" s="671">
        <v>450.00000000000011</v>
      </c>
      <c r="P29" s="671">
        <v>900.00000000000023</v>
      </c>
      <c r="Q29" s="671">
        <v>0</v>
      </c>
      <c r="R29" s="671">
        <v>0</v>
      </c>
      <c r="S29" s="671">
        <v>0</v>
      </c>
      <c r="T29" s="671">
        <v>0</v>
      </c>
      <c r="U29" s="671">
        <v>0</v>
      </c>
      <c r="V29" s="671">
        <v>0</v>
      </c>
      <c r="W29" s="671">
        <v>0</v>
      </c>
      <c r="X29" s="671">
        <v>1300</v>
      </c>
      <c r="Y29" s="671" t="s">
        <v>54</v>
      </c>
      <c r="Z29" s="673" t="s">
        <v>156</v>
      </c>
    </row>
    <row r="30" spans="1:26" s="625" customFormat="1" ht="25.5">
      <c r="A30" s="624"/>
      <c r="B30" s="851">
        <v>44021</v>
      </c>
      <c r="C30" s="851">
        <v>9000</v>
      </c>
      <c r="D30" s="672" t="s">
        <v>858</v>
      </c>
      <c r="E30" s="671" t="s">
        <v>859</v>
      </c>
      <c r="F30" s="671" t="s">
        <v>860</v>
      </c>
      <c r="G30" s="671" t="s">
        <v>847</v>
      </c>
      <c r="H30" s="671" t="s">
        <v>857</v>
      </c>
      <c r="I30" s="671" t="s">
        <v>859</v>
      </c>
      <c r="J30" s="850">
        <v>40928</v>
      </c>
      <c r="K30" s="850">
        <v>41030</v>
      </c>
      <c r="L30" s="671" t="s">
        <v>850</v>
      </c>
      <c r="M30" s="671">
        <v>5</v>
      </c>
      <c r="N30" s="671">
        <v>22.5</v>
      </c>
      <c r="O30" s="671">
        <v>32.142857142857146</v>
      </c>
      <c r="P30" s="671">
        <v>64.285714285714292</v>
      </c>
      <c r="Q30" s="671">
        <v>0</v>
      </c>
      <c r="R30" s="671">
        <v>0</v>
      </c>
      <c r="S30" s="671">
        <v>0</v>
      </c>
      <c r="T30" s="671">
        <v>0</v>
      </c>
      <c r="U30" s="671">
        <v>0</v>
      </c>
      <c r="V30" s="671">
        <v>0</v>
      </c>
      <c r="W30" s="671">
        <v>0</v>
      </c>
      <c r="X30" s="671">
        <v>1300</v>
      </c>
      <c r="Y30" s="671" t="s">
        <v>54</v>
      </c>
      <c r="Z30" s="673" t="s">
        <v>156</v>
      </c>
    </row>
    <row r="31" spans="1:26" s="625" customFormat="1" ht="38.25">
      <c r="A31" s="624"/>
      <c r="B31" s="851">
        <v>44021</v>
      </c>
      <c r="C31" s="851">
        <v>9000</v>
      </c>
      <c r="D31" s="672" t="s">
        <v>861</v>
      </c>
      <c r="E31" s="671" t="s">
        <v>862</v>
      </c>
      <c r="F31" s="671" t="s">
        <v>863</v>
      </c>
      <c r="G31" s="671" t="s">
        <v>847</v>
      </c>
      <c r="H31" s="671" t="s">
        <v>857</v>
      </c>
      <c r="I31" s="671" t="s">
        <v>862</v>
      </c>
      <c r="J31" s="850">
        <v>41618</v>
      </c>
      <c r="K31" s="850">
        <v>41660</v>
      </c>
      <c r="L31" s="671" t="s">
        <v>850</v>
      </c>
      <c r="M31" s="671">
        <v>509</v>
      </c>
      <c r="N31" s="671">
        <v>2290.5</v>
      </c>
      <c r="O31" s="671">
        <v>3272.1428571428573</v>
      </c>
      <c r="P31" s="671">
        <v>6544.2857142857147</v>
      </c>
      <c r="Q31" s="671">
        <v>0</v>
      </c>
      <c r="R31" s="671">
        <v>0</v>
      </c>
      <c r="S31" s="671">
        <v>0</v>
      </c>
      <c r="T31" s="671">
        <v>0</v>
      </c>
      <c r="U31" s="671">
        <v>0</v>
      </c>
      <c r="V31" s="671">
        <v>0</v>
      </c>
      <c r="W31" s="671">
        <v>0</v>
      </c>
      <c r="X31" s="671">
        <v>1501</v>
      </c>
      <c r="Y31" s="671" t="s">
        <v>51</v>
      </c>
      <c r="Z31" s="673" t="s">
        <v>156</v>
      </c>
    </row>
    <row r="32" spans="1:26" s="625" customFormat="1" ht="25.5">
      <c r="A32" s="624"/>
      <c r="B32" s="851">
        <v>44021</v>
      </c>
      <c r="C32" s="851">
        <v>9031</v>
      </c>
      <c r="D32" s="672" t="s">
        <v>864</v>
      </c>
      <c r="E32" s="671" t="s">
        <v>865</v>
      </c>
      <c r="F32" s="671" t="s">
        <v>866</v>
      </c>
      <c r="G32" s="671" t="s">
        <v>867</v>
      </c>
      <c r="H32" s="671" t="s">
        <v>867</v>
      </c>
      <c r="I32" s="671" t="s">
        <v>865</v>
      </c>
      <c r="J32" s="850">
        <v>41549</v>
      </c>
      <c r="K32" s="850">
        <v>41688</v>
      </c>
      <c r="L32" s="671" t="s">
        <v>850</v>
      </c>
      <c r="M32" s="671">
        <v>1</v>
      </c>
      <c r="N32" s="671">
        <v>4.5</v>
      </c>
      <c r="O32" s="671">
        <v>22.5</v>
      </c>
      <c r="P32" s="671">
        <v>30</v>
      </c>
      <c r="Q32" s="671">
        <v>0</v>
      </c>
      <c r="R32" s="671">
        <v>0</v>
      </c>
      <c r="S32" s="671">
        <v>0</v>
      </c>
      <c r="T32" s="671">
        <v>0</v>
      </c>
      <c r="U32" s="671">
        <v>0</v>
      </c>
      <c r="V32" s="671">
        <v>0</v>
      </c>
      <c r="W32" s="671">
        <v>0</v>
      </c>
      <c r="X32" s="671">
        <v>1300</v>
      </c>
      <c r="Y32" s="671" t="s">
        <v>54</v>
      </c>
      <c r="Z32" s="673" t="s">
        <v>156</v>
      </c>
    </row>
    <row r="33" spans="1:26" s="625" customFormat="1" ht="38.25">
      <c r="A33" s="624"/>
      <c r="B33" s="851">
        <v>44021</v>
      </c>
      <c r="C33" s="851">
        <v>9050</v>
      </c>
      <c r="D33" s="672" t="s">
        <v>868</v>
      </c>
      <c r="E33" s="671" t="s">
        <v>869</v>
      </c>
      <c r="F33" s="671" t="s">
        <v>870</v>
      </c>
      <c r="G33" s="671" t="s">
        <v>847</v>
      </c>
      <c r="H33" s="671" t="s">
        <v>857</v>
      </c>
      <c r="I33" s="671" t="s">
        <v>869</v>
      </c>
      <c r="J33" s="850">
        <v>41767</v>
      </c>
      <c r="K33" s="850">
        <v>41767</v>
      </c>
      <c r="L33" s="671" t="s">
        <v>850</v>
      </c>
      <c r="M33" s="671">
        <v>5.5</v>
      </c>
      <c r="N33" s="671">
        <v>24.75</v>
      </c>
      <c r="O33" s="671">
        <v>35.357142857142861</v>
      </c>
      <c r="P33" s="671">
        <v>70.714285714285722</v>
      </c>
      <c r="Q33" s="671">
        <v>0</v>
      </c>
      <c r="R33" s="671">
        <v>0</v>
      </c>
      <c r="S33" s="671">
        <v>0</v>
      </c>
      <c r="T33" s="671">
        <v>0</v>
      </c>
      <c r="U33" s="671">
        <v>0</v>
      </c>
      <c r="V33" s="671">
        <v>0</v>
      </c>
      <c r="W33" s="671">
        <v>0</v>
      </c>
      <c r="X33" s="671">
        <v>1300</v>
      </c>
      <c r="Y33" s="671" t="s">
        <v>54</v>
      </c>
      <c r="Z33" s="673" t="s">
        <v>156</v>
      </c>
    </row>
    <row r="34" spans="1:26" s="625" customFormat="1" ht="25.5">
      <c r="A34" s="624"/>
      <c r="B34" s="851">
        <v>44021</v>
      </c>
      <c r="C34" s="851">
        <v>9000</v>
      </c>
      <c r="D34" s="672"/>
      <c r="E34" s="671"/>
      <c r="F34" s="671" t="s">
        <v>871</v>
      </c>
      <c r="G34" s="671" t="s">
        <v>847</v>
      </c>
      <c r="H34" s="671" t="s">
        <v>857</v>
      </c>
      <c r="I34" s="671" t="s">
        <v>872</v>
      </c>
      <c r="J34" s="850">
        <v>41597</v>
      </c>
      <c r="K34" s="850">
        <v>41604</v>
      </c>
      <c r="L34" s="671" t="s">
        <v>850</v>
      </c>
      <c r="M34" s="671">
        <v>70</v>
      </c>
      <c r="N34" s="671">
        <v>315.00000000000006</v>
      </c>
      <c r="O34" s="671">
        <v>450.00000000000011</v>
      </c>
      <c r="P34" s="671">
        <v>900.00000000000023</v>
      </c>
      <c r="Q34" s="671">
        <v>0</v>
      </c>
      <c r="R34" s="671">
        <v>0</v>
      </c>
      <c r="S34" s="671">
        <v>0</v>
      </c>
      <c r="T34" s="671">
        <v>0</v>
      </c>
      <c r="U34" s="671">
        <v>0</v>
      </c>
      <c r="V34" s="671">
        <v>0</v>
      </c>
      <c r="W34" s="671">
        <v>0</v>
      </c>
      <c r="X34" s="671">
        <v>1300</v>
      </c>
      <c r="Y34" s="671" t="s">
        <v>54</v>
      </c>
      <c r="Z34" s="673" t="s">
        <v>156</v>
      </c>
    </row>
    <row r="35" spans="1:26" s="625" customFormat="1" ht="25.5">
      <c r="A35" s="624"/>
      <c r="B35" s="851">
        <v>44021</v>
      </c>
      <c r="C35" s="851">
        <v>9000</v>
      </c>
      <c r="D35" s="672" t="s">
        <v>873</v>
      </c>
      <c r="E35" s="671" t="s">
        <v>874</v>
      </c>
      <c r="F35" s="671" t="s">
        <v>875</v>
      </c>
      <c r="G35" s="671" t="s">
        <v>847</v>
      </c>
      <c r="H35" s="671" t="s">
        <v>857</v>
      </c>
      <c r="I35" s="671" t="s">
        <v>876</v>
      </c>
      <c r="J35" s="850">
        <v>41970</v>
      </c>
      <c r="K35" s="850">
        <v>42224</v>
      </c>
      <c r="L35" s="671" t="s">
        <v>850</v>
      </c>
      <c r="M35" s="671">
        <v>238</v>
      </c>
      <c r="N35" s="671">
        <v>357</v>
      </c>
      <c r="O35" s="671">
        <v>510</v>
      </c>
      <c r="P35" s="671">
        <v>1020.0000000000001</v>
      </c>
      <c r="Q35" s="671">
        <v>0</v>
      </c>
      <c r="R35" s="671">
        <v>0</v>
      </c>
      <c r="S35" s="671">
        <v>0</v>
      </c>
      <c r="T35" s="671">
        <v>0</v>
      </c>
      <c r="U35" s="671">
        <v>0</v>
      </c>
      <c r="V35" s="671">
        <v>0</v>
      </c>
      <c r="W35" s="671">
        <v>0</v>
      </c>
      <c r="X35" s="671">
        <v>1400</v>
      </c>
      <c r="Y35" s="671" t="s">
        <v>159</v>
      </c>
      <c r="Z35" s="673" t="s">
        <v>156</v>
      </c>
    </row>
    <row r="36" spans="1:26" s="625" customFormat="1" ht="25.5">
      <c r="A36" s="624"/>
      <c r="B36" s="851">
        <v>44021</v>
      </c>
      <c r="C36" s="851">
        <v>9000</v>
      </c>
      <c r="D36" s="672" t="s">
        <v>873</v>
      </c>
      <c r="E36" s="671" t="s">
        <v>874</v>
      </c>
      <c r="F36" s="671" t="s">
        <v>877</v>
      </c>
      <c r="G36" s="671" t="s">
        <v>847</v>
      </c>
      <c r="H36" s="671" t="s">
        <v>857</v>
      </c>
      <c r="I36" s="671" t="s">
        <v>878</v>
      </c>
      <c r="J36" s="850">
        <v>41795</v>
      </c>
      <c r="K36" s="850">
        <v>42221</v>
      </c>
      <c r="L36" s="671" t="s">
        <v>850</v>
      </c>
      <c r="M36" s="671">
        <v>238</v>
      </c>
      <c r="N36" s="671">
        <v>357</v>
      </c>
      <c r="O36" s="671">
        <v>510</v>
      </c>
      <c r="P36" s="671">
        <v>1020.0000000000001</v>
      </c>
      <c r="Q36" s="671">
        <v>0</v>
      </c>
      <c r="R36" s="671">
        <v>0</v>
      </c>
      <c r="S36" s="671">
        <v>0</v>
      </c>
      <c r="T36" s="671">
        <v>0</v>
      </c>
      <c r="U36" s="671">
        <v>0</v>
      </c>
      <c r="V36" s="671">
        <v>0</v>
      </c>
      <c r="W36" s="671">
        <v>0</v>
      </c>
      <c r="X36" s="671">
        <v>1400</v>
      </c>
      <c r="Y36" s="671" t="s">
        <v>159</v>
      </c>
      <c r="Z36" s="673" t="s">
        <v>156</v>
      </c>
    </row>
    <row r="37" spans="1:26" s="625" customFormat="1" ht="25.5">
      <c r="A37" s="624"/>
      <c r="B37" s="851">
        <v>44021</v>
      </c>
      <c r="C37" s="851">
        <v>9000</v>
      </c>
      <c r="D37" s="672" t="s">
        <v>879</v>
      </c>
      <c r="E37" s="671" t="s">
        <v>880</v>
      </c>
      <c r="F37" s="671" t="s">
        <v>881</v>
      </c>
      <c r="G37" s="671" t="s">
        <v>847</v>
      </c>
      <c r="H37" s="671" t="s">
        <v>857</v>
      </c>
      <c r="I37" s="671" t="s">
        <v>880</v>
      </c>
      <c r="J37" s="850">
        <v>42110</v>
      </c>
      <c r="K37" s="850">
        <v>42110</v>
      </c>
      <c r="L37" s="671" t="s">
        <v>850</v>
      </c>
      <c r="M37" s="671">
        <v>9</v>
      </c>
      <c r="N37" s="671">
        <v>26.999999999999996</v>
      </c>
      <c r="O37" s="671">
        <v>38.571428571428569</v>
      </c>
      <c r="P37" s="671">
        <v>77.142857142857139</v>
      </c>
      <c r="Q37" s="671">
        <v>0</v>
      </c>
      <c r="R37" s="671">
        <v>0</v>
      </c>
      <c r="S37" s="671">
        <v>0</v>
      </c>
      <c r="T37" s="671">
        <v>0</v>
      </c>
      <c r="U37" s="671">
        <v>0</v>
      </c>
      <c r="V37" s="671">
        <v>0</v>
      </c>
      <c r="W37" s="671">
        <v>0</v>
      </c>
      <c r="X37" s="671">
        <v>1200</v>
      </c>
      <c r="Y37" s="671" t="s">
        <v>882</v>
      </c>
      <c r="Z37" s="673" t="s">
        <v>156</v>
      </c>
    </row>
    <row r="38" spans="1:26" s="625" customFormat="1" ht="25.5">
      <c r="A38" s="624"/>
      <c r="B38" s="851">
        <v>44021</v>
      </c>
      <c r="C38" s="851">
        <v>9000</v>
      </c>
      <c r="D38" s="672" t="s">
        <v>883</v>
      </c>
      <c r="E38" s="671" t="s">
        <v>884</v>
      </c>
      <c r="F38" s="671" t="s">
        <v>885</v>
      </c>
      <c r="G38" s="671" t="s">
        <v>847</v>
      </c>
      <c r="H38" s="671" t="s">
        <v>857</v>
      </c>
      <c r="I38" s="671" t="s">
        <v>886</v>
      </c>
      <c r="J38" s="850">
        <v>42040</v>
      </c>
      <c r="K38" s="850">
        <v>42040</v>
      </c>
      <c r="L38" s="671" t="s">
        <v>850</v>
      </c>
      <c r="M38" s="671">
        <v>9</v>
      </c>
      <c r="N38" s="671">
        <v>33.75</v>
      </c>
      <c r="O38" s="671">
        <v>48.214285714285715</v>
      </c>
      <c r="P38" s="671">
        <v>96.428571428571431</v>
      </c>
      <c r="Q38" s="671">
        <v>0</v>
      </c>
      <c r="R38" s="671">
        <v>0</v>
      </c>
      <c r="S38" s="671">
        <v>0</v>
      </c>
      <c r="T38" s="671">
        <v>0</v>
      </c>
      <c r="U38" s="671">
        <v>0</v>
      </c>
      <c r="V38" s="671">
        <v>0</v>
      </c>
      <c r="W38" s="671">
        <v>0</v>
      </c>
      <c r="X38" s="671">
        <v>1100</v>
      </c>
      <c r="Y38" s="671" t="s">
        <v>52</v>
      </c>
      <c r="Z38" s="673" t="s">
        <v>156</v>
      </c>
    </row>
    <row r="39" spans="1:26" s="625" customFormat="1" ht="25.5">
      <c r="A39" s="624"/>
      <c r="B39" s="851">
        <v>44021</v>
      </c>
      <c r="C39" s="851">
        <v>9000</v>
      </c>
      <c r="D39" s="672" t="s">
        <v>887</v>
      </c>
      <c r="E39" s="671"/>
      <c r="F39" s="671" t="s">
        <v>888</v>
      </c>
      <c r="G39" s="671" t="s">
        <v>889</v>
      </c>
      <c r="H39" s="671" t="s">
        <v>857</v>
      </c>
      <c r="I39" s="671" t="s">
        <v>890</v>
      </c>
      <c r="J39" s="850">
        <v>42527</v>
      </c>
      <c r="K39" s="850">
        <v>42527</v>
      </c>
      <c r="L39" s="671" t="s">
        <v>891</v>
      </c>
      <c r="M39" s="671">
        <v>500</v>
      </c>
      <c r="N39" s="671">
        <v>1125</v>
      </c>
      <c r="O39" s="671">
        <v>1607.1428571428571</v>
      </c>
      <c r="P39" s="671">
        <v>3214.2857142857147</v>
      </c>
      <c r="Q39" s="671">
        <v>0</v>
      </c>
      <c r="R39" s="671">
        <v>0</v>
      </c>
      <c r="S39" s="671">
        <v>0</v>
      </c>
      <c r="T39" s="671">
        <v>0</v>
      </c>
      <c r="U39" s="671">
        <v>0</v>
      </c>
      <c r="V39" s="671">
        <v>0</v>
      </c>
      <c r="W39" s="671">
        <v>0</v>
      </c>
      <c r="X39" s="671">
        <v>300</v>
      </c>
      <c r="Y39" s="671" t="s">
        <v>34</v>
      </c>
      <c r="Z39" s="673" t="s">
        <v>389</v>
      </c>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3863.5</v>
      </c>
      <c r="N57" s="629">
        <f>SUM(N27:N56)</f>
        <v>14812.5</v>
      </c>
      <c r="O57" s="629">
        <f t="shared" ref="O57:W57" si="2">SUM(O27:O56)</f>
        <v>18159.133928571428</v>
      </c>
      <c r="P57" s="629">
        <f t="shared" si="2"/>
        <v>13937.142857142859</v>
      </c>
      <c r="Q57" s="629">
        <f t="shared" si="2"/>
        <v>0</v>
      </c>
      <c r="R57" s="629">
        <f t="shared" si="2"/>
        <v>0</v>
      </c>
      <c r="S57" s="629">
        <f t="shared" si="2"/>
        <v>6187.5</v>
      </c>
      <c r="T57" s="629">
        <f t="shared" si="2"/>
        <v>18562.5</v>
      </c>
      <c r="U57" s="629">
        <f t="shared" si="2"/>
        <v>101.25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2700</v>
      </c>
      <c r="N58" s="629">
        <f t="shared" ref="N58:W58" si="3">SUMIF($Z$27:$Z$56,"industrie",N27:N56)</f>
        <v>11025</v>
      </c>
      <c r="O58" s="629">
        <f t="shared" si="3"/>
        <v>12744.642857142857</v>
      </c>
      <c r="P58" s="629">
        <f t="shared" si="3"/>
        <v>3214.2857142857147</v>
      </c>
      <c r="Q58" s="629">
        <f t="shared" si="3"/>
        <v>0</v>
      </c>
      <c r="R58" s="629">
        <f t="shared" si="3"/>
        <v>0</v>
      </c>
      <c r="S58" s="629">
        <f t="shared" si="3"/>
        <v>6187.5</v>
      </c>
      <c r="T58" s="629">
        <f t="shared" si="3"/>
        <v>18562.5</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1163.5</v>
      </c>
      <c r="N59" s="629">
        <f ca="1">SUMIF($Z$27:AB56,"tertiair",N27:N56)</f>
        <v>3787.5</v>
      </c>
      <c r="O59" s="629">
        <f ca="1">SUMIF($Z$27:AC56,"tertiair",O27:O56)</f>
        <v>5414.4910714285716</v>
      </c>
      <c r="P59" s="629">
        <f ca="1">SUMIF($Z$27:AD56,"tertiair",P27:P56)</f>
        <v>10722.857142857143</v>
      </c>
      <c r="Q59" s="629">
        <f ca="1">SUMIF($Z$27:AE56,"tertiair",Q27:Q56)</f>
        <v>0</v>
      </c>
      <c r="R59" s="629">
        <f ca="1">SUMIF($Z$27:AF56,"tertiair",R27:R56)</f>
        <v>0</v>
      </c>
      <c r="S59" s="629">
        <f ca="1">SUMIF($Z$27:AG56,"tertiair",S27:S56)</f>
        <v>0</v>
      </c>
      <c r="T59" s="629">
        <f ca="1">SUMIF($Z$27:AH56,"tertiair",T27:T56)</f>
        <v>0</v>
      </c>
      <c r="U59" s="629">
        <f ca="1">SUMIF($Z$27:AI56,"tertiair",U27:U56)</f>
        <v>101.25</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44021</v>
      </c>
      <c r="C63" s="851">
        <v>9000</v>
      </c>
      <c r="D63" s="674" t="s">
        <v>892</v>
      </c>
      <c r="E63" s="674" t="s">
        <v>893</v>
      </c>
      <c r="F63" s="674" t="s">
        <v>894</v>
      </c>
      <c r="G63" s="674" t="s">
        <v>895</v>
      </c>
      <c r="H63" s="674" t="s">
        <v>896</v>
      </c>
      <c r="I63" s="674" t="s">
        <v>897</v>
      </c>
      <c r="J63" s="850">
        <v>38292</v>
      </c>
      <c r="K63" s="850">
        <v>38687</v>
      </c>
      <c r="L63" s="674" t="s">
        <v>898</v>
      </c>
      <c r="M63" s="674">
        <v>413</v>
      </c>
      <c r="N63" s="674">
        <v>1858.5</v>
      </c>
      <c r="O63" s="674">
        <v>0</v>
      </c>
      <c r="P63" s="674">
        <v>0</v>
      </c>
      <c r="Q63" s="674">
        <v>5310</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413</v>
      </c>
      <c r="N88" s="629">
        <f t="shared" ref="N88:W88" si="5">SUM(N63:N87)</f>
        <v>1858.5</v>
      </c>
      <c r="O88" s="629">
        <f t="shared" si="5"/>
        <v>0</v>
      </c>
      <c r="P88" s="629">
        <f t="shared" si="5"/>
        <v>0</v>
      </c>
      <c r="Q88" s="629">
        <f t="shared" si="5"/>
        <v>5310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413</v>
      </c>
      <c r="N90" s="629">
        <f t="shared" ref="N90:W90" si="7">SUMIF($Z$63:$Z$88,"tertiair",N63:N88)</f>
        <v>1858.5</v>
      </c>
      <c r="O90" s="629">
        <f t="shared" si="7"/>
        <v>0</v>
      </c>
      <c r="P90" s="629">
        <f t="shared" si="7"/>
        <v>0</v>
      </c>
      <c r="Q90" s="629">
        <f t="shared" si="7"/>
        <v>5310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0.55075019842543227</v>
      </c>
      <c r="C97" s="654">
        <f>IF(ISERROR(N57/(O57+N57)),0,N57/(N57+O57))</f>
        <v>0.44924980157456779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6261.2586630878341</v>
      </c>
      <c r="C100" s="663">
        <f t="shared" si="9"/>
        <v>0</v>
      </c>
      <c r="D100" s="663">
        <f t="shared" si="9"/>
        <v>0</v>
      </c>
      <c r="E100" s="663">
        <f t="shared" si="9"/>
        <v>2779.7331472426381</v>
      </c>
      <c r="F100" s="663">
        <f t="shared" si="9"/>
        <v>8339.1994417279147</v>
      </c>
      <c r="G100" s="663">
        <f t="shared" si="9"/>
        <v>45.486542409424992</v>
      </c>
      <c r="H100" s="663">
        <f t="shared" si="9"/>
        <v>0</v>
      </c>
      <c r="I100" s="664">
        <f t="shared" si="9"/>
        <v>0</v>
      </c>
      <c r="J100" s="621"/>
      <c r="K100" s="621"/>
      <c r="L100" s="659"/>
      <c r="M100" s="646"/>
      <c r="N100" s="646"/>
    </row>
    <row r="101" spans="1:14" ht="15.75" thickBot="1">
      <c r="A101" s="665" t="s">
        <v>286</v>
      </c>
      <c r="B101" s="666">
        <f>$B$97*P57</f>
        <v>7675.8841940550255</v>
      </c>
      <c r="C101" s="666">
        <f t="shared" ref="C101:H101" si="10">$B$97*Q57</f>
        <v>0</v>
      </c>
      <c r="D101" s="666">
        <f t="shared" si="10"/>
        <v>0</v>
      </c>
      <c r="E101" s="666">
        <f t="shared" si="10"/>
        <v>3407.7668527573624</v>
      </c>
      <c r="F101" s="666">
        <f t="shared" si="10"/>
        <v>10223.300558272087</v>
      </c>
      <c r="G101" s="666">
        <f t="shared" si="10"/>
        <v>55.763457590575015</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725670.81739666266</v>
      </c>
      <c r="D10" s="718">
        <f ca="1">tertiair!C16</f>
        <v>5414.4910714285716</v>
      </c>
      <c r="E10" s="718">
        <f ca="1">tertiair!D16</f>
        <v>823800.65273461409</v>
      </c>
      <c r="F10" s="718">
        <f>tertiair!E16</f>
        <v>8842.1897319057844</v>
      </c>
      <c r="G10" s="718">
        <f ca="1">tertiair!F16</f>
        <v>119958.26661513177</v>
      </c>
      <c r="H10" s="718">
        <f>tertiair!G16</f>
        <v>0</v>
      </c>
      <c r="I10" s="718">
        <f>tertiair!H16</f>
        <v>0</v>
      </c>
      <c r="J10" s="718">
        <f>tertiair!I16</f>
        <v>0</v>
      </c>
      <c r="K10" s="718">
        <f>tertiair!J16</f>
        <v>1.3561728621740694</v>
      </c>
      <c r="L10" s="718">
        <f>tertiair!K16</f>
        <v>0</v>
      </c>
      <c r="M10" s="718">
        <f ca="1">tertiair!L16</f>
        <v>0</v>
      </c>
      <c r="N10" s="718">
        <f>tertiair!M16</f>
        <v>0</v>
      </c>
      <c r="O10" s="718">
        <f ca="1">tertiair!N16</f>
        <v>49990.579719776186</v>
      </c>
      <c r="P10" s="718">
        <f>tertiair!O16</f>
        <v>46.9</v>
      </c>
      <c r="Q10" s="719">
        <f>tertiair!P16</f>
        <v>400.4</v>
      </c>
      <c r="R10" s="721">
        <f ca="1">SUM(C10:Q10)</f>
        <v>1734125.6534423812</v>
      </c>
      <c r="S10" s="67"/>
    </row>
    <row r="11" spans="1:19" s="474" customFormat="1">
      <c r="A11" s="870" t="s">
        <v>225</v>
      </c>
      <c r="B11" s="875"/>
      <c r="C11" s="718">
        <f>huishoudens!B8</f>
        <v>367191.3761106382</v>
      </c>
      <c r="D11" s="718">
        <f>huishoudens!C8</f>
        <v>0</v>
      </c>
      <c r="E11" s="718">
        <f>huishoudens!D8</f>
        <v>1119391.7674925569</v>
      </c>
      <c r="F11" s="718">
        <f>huishoudens!E8</f>
        <v>25106.314270058498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88005.554841053745</v>
      </c>
      <c r="P11" s="718">
        <f>huishoudens!O8</f>
        <v>2592.0066666666667</v>
      </c>
      <c r="Q11" s="719">
        <f>huishoudens!P8</f>
        <v>6539.8666666666668</v>
      </c>
      <c r="R11" s="721">
        <f>SUM(C11:Q11)</f>
        <v>1608826.8860476406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348108.34734549228</v>
      </c>
      <c r="D13" s="718">
        <f>industrie!C18</f>
        <v>12744.642857142857</v>
      </c>
      <c r="E13" s="718">
        <f>industrie!D18</f>
        <v>294839.79418882931</v>
      </c>
      <c r="F13" s="718">
        <f>industrie!E18</f>
        <v>15465.658791546673</v>
      </c>
      <c r="G13" s="718">
        <f>industrie!F18</f>
        <v>59206.525510153631</v>
      </c>
      <c r="H13" s="718">
        <f>industrie!G18</f>
        <v>0</v>
      </c>
      <c r="I13" s="718">
        <f>industrie!H18</f>
        <v>0</v>
      </c>
      <c r="J13" s="718">
        <f>industrie!I18</f>
        <v>0</v>
      </c>
      <c r="K13" s="718">
        <f>industrie!J18</f>
        <v>511.57833755192416</v>
      </c>
      <c r="L13" s="718">
        <f>industrie!K18</f>
        <v>0</v>
      </c>
      <c r="M13" s="718">
        <f>industrie!L18</f>
        <v>0</v>
      </c>
      <c r="N13" s="718">
        <f>industrie!M18</f>
        <v>0</v>
      </c>
      <c r="O13" s="718">
        <f>industrie!N18</f>
        <v>94047.770772103875</v>
      </c>
      <c r="P13" s="718">
        <f>industrie!O18</f>
        <v>0</v>
      </c>
      <c r="Q13" s="719">
        <f>industrie!P18</f>
        <v>0</v>
      </c>
      <c r="R13" s="721">
        <f>SUM(C13:Q13)</f>
        <v>824924.31780282059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1440970.5408527933</v>
      </c>
      <c r="D15" s="723">
        <f t="shared" ref="D15:Q15" ca="1" si="0">SUM(D9:D14)</f>
        <v>18159.133928571428</v>
      </c>
      <c r="E15" s="723">
        <f t="shared" ca="1" si="0"/>
        <v>2238032.2144160001</v>
      </c>
      <c r="F15" s="723">
        <f t="shared" si="0"/>
        <v>49414.162793510957</v>
      </c>
      <c r="G15" s="723">
        <f t="shared" ca="1" si="0"/>
        <v>179164.7921252854</v>
      </c>
      <c r="H15" s="723">
        <f t="shared" si="0"/>
        <v>0</v>
      </c>
      <c r="I15" s="723">
        <f t="shared" si="0"/>
        <v>0</v>
      </c>
      <c r="J15" s="723">
        <f t="shared" si="0"/>
        <v>0</v>
      </c>
      <c r="K15" s="723">
        <f t="shared" si="0"/>
        <v>512.93451041409821</v>
      </c>
      <c r="L15" s="723">
        <f t="shared" si="0"/>
        <v>0</v>
      </c>
      <c r="M15" s="723">
        <f t="shared" ca="1" si="0"/>
        <v>0</v>
      </c>
      <c r="N15" s="723">
        <f t="shared" si="0"/>
        <v>0</v>
      </c>
      <c r="O15" s="723">
        <f t="shared" ca="1" si="0"/>
        <v>232043.90533293382</v>
      </c>
      <c r="P15" s="723">
        <f t="shared" si="0"/>
        <v>2638.9066666666668</v>
      </c>
      <c r="Q15" s="724">
        <f t="shared" si="0"/>
        <v>6940.2666666666664</v>
      </c>
      <c r="R15" s="725">
        <f ca="1">SUM(R9:R14)</f>
        <v>4167876.8572928421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9085.4924944089871</v>
      </c>
      <c r="D18" s="718">
        <f>transport!C54</f>
        <v>0</v>
      </c>
      <c r="E18" s="718">
        <f>transport!D54</f>
        <v>0</v>
      </c>
      <c r="F18" s="718">
        <f>transport!E54</f>
        <v>0</v>
      </c>
      <c r="G18" s="718">
        <f>transport!F54</f>
        <v>0</v>
      </c>
      <c r="H18" s="718">
        <f>transport!G54</f>
        <v>36163.787494854383</v>
      </c>
      <c r="I18" s="718">
        <f>transport!H54</f>
        <v>0</v>
      </c>
      <c r="J18" s="718">
        <f>transport!I54</f>
        <v>0</v>
      </c>
      <c r="K18" s="718">
        <f>transport!J54</f>
        <v>0</v>
      </c>
      <c r="L18" s="718">
        <f>transport!K54</f>
        <v>0</v>
      </c>
      <c r="M18" s="718">
        <f>transport!L54</f>
        <v>0</v>
      </c>
      <c r="N18" s="718">
        <f>transport!M54</f>
        <v>2053.9434819054782</v>
      </c>
      <c r="O18" s="718">
        <f>transport!N54</f>
        <v>0</v>
      </c>
      <c r="P18" s="718">
        <f>transport!O54</f>
        <v>0</v>
      </c>
      <c r="Q18" s="719">
        <f>transport!P54</f>
        <v>0</v>
      </c>
      <c r="R18" s="721">
        <f>SUM(C18:Q18)</f>
        <v>47303.223471168851</v>
      </c>
      <c r="S18" s="67"/>
    </row>
    <row r="19" spans="1:19" s="474" customFormat="1" ht="15" thickBot="1">
      <c r="A19" s="870" t="s">
        <v>307</v>
      </c>
      <c r="B19" s="875"/>
      <c r="C19" s="727">
        <f>transport!B14</f>
        <v>749.04980530201601</v>
      </c>
      <c r="D19" s="727">
        <f>transport!C14</f>
        <v>0</v>
      </c>
      <c r="E19" s="727">
        <f>transport!D14</f>
        <v>2612.0383433764928</v>
      </c>
      <c r="F19" s="727">
        <f>transport!E14</f>
        <v>3914.380706710655</v>
      </c>
      <c r="G19" s="727">
        <f>transport!F14</f>
        <v>0</v>
      </c>
      <c r="H19" s="727">
        <f>transport!G14</f>
        <v>1643619.3632507042</v>
      </c>
      <c r="I19" s="727">
        <f>transport!H14</f>
        <v>300889.83312057343</v>
      </c>
      <c r="J19" s="727">
        <f>transport!I14</f>
        <v>0</v>
      </c>
      <c r="K19" s="727">
        <f>transport!J14</f>
        <v>0</v>
      </c>
      <c r="L19" s="727">
        <f>transport!K14</f>
        <v>0</v>
      </c>
      <c r="M19" s="727">
        <f>transport!L14</f>
        <v>0</v>
      </c>
      <c r="N19" s="727">
        <f>transport!M14</f>
        <v>104960.25746708924</v>
      </c>
      <c r="O19" s="727">
        <f>transport!N14</f>
        <v>0</v>
      </c>
      <c r="P19" s="727">
        <f>transport!O14</f>
        <v>0</v>
      </c>
      <c r="Q19" s="728">
        <f>transport!P14</f>
        <v>0</v>
      </c>
      <c r="R19" s="729">
        <f>SUM(C19:Q19)</f>
        <v>2056744.9226937559</v>
      </c>
      <c r="S19" s="67"/>
    </row>
    <row r="20" spans="1:19" s="474" customFormat="1" ht="15.75" thickBot="1">
      <c r="A20" s="730" t="s">
        <v>230</v>
      </c>
      <c r="B20" s="878"/>
      <c r="C20" s="873">
        <f>SUM(C17:C19)</f>
        <v>9834.5422997110036</v>
      </c>
      <c r="D20" s="731">
        <f t="shared" ref="D20:R20" si="1">SUM(D17:D19)</f>
        <v>0</v>
      </c>
      <c r="E20" s="731">
        <f t="shared" si="1"/>
        <v>2612.0383433764928</v>
      </c>
      <c r="F20" s="731">
        <f t="shared" si="1"/>
        <v>3914.380706710655</v>
      </c>
      <c r="G20" s="731">
        <f t="shared" si="1"/>
        <v>0</v>
      </c>
      <c r="H20" s="731">
        <f t="shared" si="1"/>
        <v>1679783.1507455586</v>
      </c>
      <c r="I20" s="731">
        <f t="shared" si="1"/>
        <v>300889.83312057343</v>
      </c>
      <c r="J20" s="731">
        <f t="shared" si="1"/>
        <v>0</v>
      </c>
      <c r="K20" s="731">
        <f t="shared" si="1"/>
        <v>0</v>
      </c>
      <c r="L20" s="731">
        <f t="shared" si="1"/>
        <v>0</v>
      </c>
      <c r="M20" s="731">
        <f t="shared" si="1"/>
        <v>0</v>
      </c>
      <c r="N20" s="731">
        <f t="shared" si="1"/>
        <v>107014.20094899471</v>
      </c>
      <c r="O20" s="731">
        <f t="shared" si="1"/>
        <v>0</v>
      </c>
      <c r="P20" s="731">
        <f t="shared" si="1"/>
        <v>0</v>
      </c>
      <c r="Q20" s="732">
        <f t="shared" si="1"/>
        <v>0</v>
      </c>
      <c r="R20" s="733">
        <f t="shared" si="1"/>
        <v>2104048.1461649248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3488.4364663012298</v>
      </c>
      <c r="D22" s="727">
        <f>+landbouw!C8</f>
        <v>0</v>
      </c>
      <c r="E22" s="727">
        <f>+landbouw!D8</f>
        <v>90772.115940978925</v>
      </c>
      <c r="F22" s="727">
        <f>+landbouw!E8</f>
        <v>102.53580265936745</v>
      </c>
      <c r="G22" s="727">
        <f>+landbouw!F8</f>
        <v>14532.637813398482</v>
      </c>
      <c r="H22" s="727">
        <f>+landbouw!G8</f>
        <v>0</v>
      </c>
      <c r="I22" s="727">
        <f>+landbouw!H8</f>
        <v>0</v>
      </c>
      <c r="J22" s="727">
        <f>+landbouw!I8</f>
        <v>0</v>
      </c>
      <c r="K22" s="727">
        <f>+landbouw!J8</f>
        <v>505.39952893639048</v>
      </c>
      <c r="L22" s="727">
        <f>+landbouw!K8</f>
        <v>0</v>
      </c>
      <c r="M22" s="727">
        <f>+landbouw!L8</f>
        <v>0</v>
      </c>
      <c r="N22" s="727">
        <f>+landbouw!M8</f>
        <v>0</v>
      </c>
      <c r="O22" s="727">
        <f>+landbouw!N8</f>
        <v>0</v>
      </c>
      <c r="P22" s="727">
        <f>+landbouw!O8</f>
        <v>0</v>
      </c>
      <c r="Q22" s="728">
        <f>+landbouw!P8</f>
        <v>0</v>
      </c>
      <c r="R22" s="729">
        <f>SUM(C22:Q22)</f>
        <v>109401.12555227439</v>
      </c>
      <c r="S22" s="67"/>
    </row>
    <row r="23" spans="1:19" s="474" customFormat="1" ht="17.25" thickTop="1" thickBot="1">
      <c r="A23" s="734" t="s">
        <v>116</v>
      </c>
      <c r="B23" s="864"/>
      <c r="C23" s="735">
        <f ca="1">C20+C15+C22</f>
        <v>1454293.5196188055</v>
      </c>
      <c r="D23" s="735">
        <f t="shared" ref="D23:Q23" ca="1" si="2">D20+D15+D22</f>
        <v>18159.133928571428</v>
      </c>
      <c r="E23" s="735">
        <f t="shared" ca="1" si="2"/>
        <v>2331416.3687003553</v>
      </c>
      <c r="F23" s="735">
        <f t="shared" si="2"/>
        <v>53431.079302880979</v>
      </c>
      <c r="G23" s="735">
        <f t="shared" ca="1" si="2"/>
        <v>193697.42993868387</v>
      </c>
      <c r="H23" s="735">
        <f t="shared" si="2"/>
        <v>1679783.1507455586</v>
      </c>
      <c r="I23" s="735">
        <f t="shared" si="2"/>
        <v>300889.83312057343</v>
      </c>
      <c r="J23" s="735">
        <f t="shared" si="2"/>
        <v>0</v>
      </c>
      <c r="K23" s="735">
        <f t="shared" si="2"/>
        <v>1018.3340393504886</v>
      </c>
      <c r="L23" s="735">
        <f t="shared" si="2"/>
        <v>0</v>
      </c>
      <c r="M23" s="735">
        <f t="shared" ca="1" si="2"/>
        <v>0</v>
      </c>
      <c r="N23" s="735">
        <f t="shared" si="2"/>
        <v>107014.20094899471</v>
      </c>
      <c r="O23" s="735">
        <f t="shared" ca="1" si="2"/>
        <v>232043.90533293382</v>
      </c>
      <c r="P23" s="735">
        <f t="shared" si="2"/>
        <v>2638.9066666666668</v>
      </c>
      <c r="Q23" s="736">
        <f t="shared" si="2"/>
        <v>6940.2666666666664</v>
      </c>
      <c r="R23" s="737">
        <f ca="1">R20+R15+R22</f>
        <v>6381326.1290100412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142074.04959430278</v>
      </c>
      <c r="D36" s="718">
        <f ca="1">tertiair!C20</f>
        <v>733.61574653717321</v>
      </c>
      <c r="E36" s="718">
        <f ca="1">tertiair!D20</f>
        <v>166407.73185239205</v>
      </c>
      <c r="F36" s="718">
        <f>tertiair!E20</f>
        <v>2007.1770691426132</v>
      </c>
      <c r="G36" s="718">
        <f ca="1">tertiair!F20</f>
        <v>32028.857186240184</v>
      </c>
      <c r="H36" s="718">
        <f>tertiair!G20</f>
        <v>0</v>
      </c>
      <c r="I36" s="718">
        <f>tertiair!H20</f>
        <v>0</v>
      </c>
      <c r="J36" s="718">
        <f>tertiair!I20</f>
        <v>0</v>
      </c>
      <c r="K36" s="718">
        <f>tertiair!J20</f>
        <v>0.48008519320962056</v>
      </c>
      <c r="L36" s="718">
        <f>tertiair!K20</f>
        <v>0</v>
      </c>
      <c r="M36" s="718">
        <f ca="1">tertiair!L20</f>
        <v>0</v>
      </c>
      <c r="N36" s="718">
        <f>tertiair!M20</f>
        <v>0</v>
      </c>
      <c r="O36" s="718">
        <f ca="1">tertiair!N20</f>
        <v>0</v>
      </c>
      <c r="P36" s="718">
        <f>tertiair!O20</f>
        <v>0</v>
      </c>
      <c r="Q36" s="828">
        <f>tertiair!P20</f>
        <v>0</v>
      </c>
      <c r="R36" s="917">
        <f ca="1">SUM(C36:Q36)</f>
        <v>343251.91153380804</v>
      </c>
    </row>
    <row r="37" spans="1:18">
      <c r="A37" s="885" t="s">
        <v>225</v>
      </c>
      <c r="B37" s="892"/>
      <c r="C37" s="718">
        <f ca="1">huishoudens!B12</f>
        <v>71889.849404853609</v>
      </c>
      <c r="D37" s="718">
        <f ca="1">huishoudens!C12</f>
        <v>0</v>
      </c>
      <c r="E37" s="718">
        <f>huishoudens!D12</f>
        <v>226117.13703349652</v>
      </c>
      <c r="F37" s="718">
        <f>huishoudens!E12</f>
        <v>5699.1333393032792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303706.11977765337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68153.715733507604</v>
      </c>
      <c r="D39" s="718">
        <f ca="1">industrie!C22</f>
        <v>1726.7866103481579</v>
      </c>
      <c r="E39" s="718">
        <f>industrie!D22</f>
        <v>59557.638426143523</v>
      </c>
      <c r="F39" s="718">
        <f>industrie!E22</f>
        <v>3510.7045456810952</v>
      </c>
      <c r="G39" s="718">
        <f>industrie!F22</f>
        <v>15808.142311211021</v>
      </c>
      <c r="H39" s="718">
        <f>industrie!G22</f>
        <v>0</v>
      </c>
      <c r="I39" s="718">
        <f>industrie!H22</f>
        <v>0</v>
      </c>
      <c r="J39" s="718">
        <f>industrie!I22</f>
        <v>0</v>
      </c>
      <c r="K39" s="718">
        <f>industrie!J22</f>
        <v>181.09873149338114</v>
      </c>
      <c r="L39" s="718">
        <f>industrie!K22</f>
        <v>0</v>
      </c>
      <c r="M39" s="718">
        <f>industrie!L22</f>
        <v>0</v>
      </c>
      <c r="N39" s="718">
        <f>industrie!M22</f>
        <v>0</v>
      </c>
      <c r="O39" s="718">
        <f>industrie!N22</f>
        <v>0</v>
      </c>
      <c r="P39" s="718">
        <f>industrie!O22</f>
        <v>0</v>
      </c>
      <c r="Q39" s="828">
        <f>industrie!P22</f>
        <v>0</v>
      </c>
      <c r="R39" s="918">
        <f ca="1">SUM(C39:Q39)</f>
        <v>148938.08635838478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282117.61473266396</v>
      </c>
      <c r="D41" s="763">
        <f t="shared" ref="D41:R41" ca="1" si="4">SUM(D35:D40)</f>
        <v>2460.4023568853308</v>
      </c>
      <c r="E41" s="763">
        <f t="shared" ca="1" si="4"/>
        <v>452082.5073120321</v>
      </c>
      <c r="F41" s="763">
        <f t="shared" si="4"/>
        <v>11217.014954126988</v>
      </c>
      <c r="G41" s="763">
        <f t="shared" ca="1" si="4"/>
        <v>47836.999497451208</v>
      </c>
      <c r="H41" s="763">
        <f t="shared" si="4"/>
        <v>0</v>
      </c>
      <c r="I41" s="763">
        <f t="shared" si="4"/>
        <v>0</v>
      </c>
      <c r="J41" s="763">
        <f t="shared" si="4"/>
        <v>0</v>
      </c>
      <c r="K41" s="763">
        <f t="shared" si="4"/>
        <v>181.57881668659076</v>
      </c>
      <c r="L41" s="763">
        <f t="shared" si="4"/>
        <v>0</v>
      </c>
      <c r="M41" s="763">
        <f t="shared" ca="1" si="4"/>
        <v>0</v>
      </c>
      <c r="N41" s="763">
        <f t="shared" si="4"/>
        <v>0</v>
      </c>
      <c r="O41" s="763">
        <f t="shared" ca="1" si="4"/>
        <v>0</v>
      </c>
      <c r="P41" s="763">
        <f t="shared" si="4"/>
        <v>0</v>
      </c>
      <c r="Q41" s="764">
        <f t="shared" si="4"/>
        <v>0</v>
      </c>
      <c r="R41" s="765">
        <f t="shared" ca="1" si="4"/>
        <v>795896.11766984628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1778.7854772362307</v>
      </c>
      <c r="D44" s="718">
        <f ca="1">transport!C58</f>
        <v>0</v>
      </c>
      <c r="E44" s="718">
        <f>transport!D58</f>
        <v>0</v>
      </c>
      <c r="F44" s="718">
        <f>transport!E58</f>
        <v>0</v>
      </c>
      <c r="G44" s="718">
        <f>transport!F58</f>
        <v>0</v>
      </c>
      <c r="H44" s="718">
        <f>transport!G58</f>
        <v>9655.7312611261204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11434.516738362352</v>
      </c>
    </row>
    <row r="45" spans="1:18" ht="15" thickBot="1">
      <c r="A45" s="888" t="s">
        <v>307</v>
      </c>
      <c r="B45" s="898"/>
      <c r="C45" s="727">
        <f ca="1">transport!B18</f>
        <v>146.65125927051079</v>
      </c>
      <c r="D45" s="727">
        <f>transport!C18</f>
        <v>0</v>
      </c>
      <c r="E45" s="727">
        <f>transport!D18</f>
        <v>527.63174536205156</v>
      </c>
      <c r="F45" s="727">
        <f>transport!E18</f>
        <v>888.56442042331867</v>
      </c>
      <c r="G45" s="727">
        <f>transport!F18</f>
        <v>0</v>
      </c>
      <c r="H45" s="727">
        <f>transport!G18</f>
        <v>438846.36998793809</v>
      </c>
      <c r="I45" s="727">
        <f>transport!H18</f>
        <v>74921.568447022786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515330.78586001671</v>
      </c>
    </row>
    <row r="46" spans="1:18" ht="15.75" thickBot="1">
      <c r="A46" s="886" t="s">
        <v>230</v>
      </c>
      <c r="B46" s="899"/>
      <c r="C46" s="763">
        <f t="shared" ref="C46:R46" ca="1" si="5">SUM(C43:C45)</f>
        <v>1925.4367365067415</v>
      </c>
      <c r="D46" s="763">
        <f t="shared" ca="1" si="5"/>
        <v>0</v>
      </c>
      <c r="E46" s="763">
        <f t="shared" si="5"/>
        <v>527.63174536205156</v>
      </c>
      <c r="F46" s="763">
        <f t="shared" si="5"/>
        <v>888.56442042331867</v>
      </c>
      <c r="G46" s="763">
        <f t="shared" si="5"/>
        <v>0</v>
      </c>
      <c r="H46" s="763">
        <f t="shared" si="5"/>
        <v>448502.1012490642</v>
      </c>
      <c r="I46" s="763">
        <f t="shared" si="5"/>
        <v>74921.568447022786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526765.30259837909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682.97674873832489</v>
      </c>
      <c r="D48" s="718">
        <f ca="1">+landbouw!C12</f>
        <v>0</v>
      </c>
      <c r="E48" s="718">
        <f>+landbouw!D12</f>
        <v>18335.967420077744</v>
      </c>
      <c r="F48" s="718">
        <f>+landbouw!E12</f>
        <v>23.275627203676411</v>
      </c>
      <c r="G48" s="718">
        <f>+landbouw!F12</f>
        <v>3880.2142961773948</v>
      </c>
      <c r="H48" s="718">
        <f>+landbouw!G12</f>
        <v>0</v>
      </c>
      <c r="I48" s="718">
        <f>+landbouw!H12</f>
        <v>0</v>
      </c>
      <c r="J48" s="718">
        <f>+landbouw!I12</f>
        <v>0</v>
      </c>
      <c r="K48" s="718">
        <f>+landbouw!J12</f>
        <v>178.91143324348221</v>
      </c>
      <c r="L48" s="718">
        <f>+landbouw!K12</f>
        <v>0</v>
      </c>
      <c r="M48" s="718">
        <f>+landbouw!L12</f>
        <v>0</v>
      </c>
      <c r="N48" s="718">
        <f>+landbouw!M12</f>
        <v>0</v>
      </c>
      <c r="O48" s="718">
        <f>+landbouw!N12</f>
        <v>0</v>
      </c>
      <c r="P48" s="718">
        <f>+landbouw!O12</f>
        <v>0</v>
      </c>
      <c r="Q48" s="719">
        <f>+landbouw!P12</f>
        <v>0</v>
      </c>
      <c r="R48" s="761">
        <f ca="1">SUM(C48:Q48)</f>
        <v>23101.345525440622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284726.02821790904</v>
      </c>
      <c r="D53" s="773">
        <f t="shared" ref="D53:Q53" ca="1" si="6">D41+D46+D48</f>
        <v>2460.4023568853308</v>
      </c>
      <c r="E53" s="773">
        <f t="shared" ca="1" si="6"/>
        <v>470946.10647747194</v>
      </c>
      <c r="F53" s="773">
        <f t="shared" si="6"/>
        <v>12128.855001753984</v>
      </c>
      <c r="G53" s="773">
        <f t="shared" ca="1" si="6"/>
        <v>51717.213793628602</v>
      </c>
      <c r="H53" s="773">
        <f t="shared" si="6"/>
        <v>448502.1012490642</v>
      </c>
      <c r="I53" s="773">
        <f t="shared" si="6"/>
        <v>74921.568447022786</v>
      </c>
      <c r="J53" s="773">
        <f t="shared" si="6"/>
        <v>0</v>
      </c>
      <c r="K53" s="773">
        <f t="shared" si="6"/>
        <v>360.49024993007299</v>
      </c>
      <c r="L53" s="773">
        <f t="shared" si="6"/>
        <v>0</v>
      </c>
      <c r="M53" s="773">
        <f t="shared" ca="1" si="6"/>
        <v>0</v>
      </c>
      <c r="N53" s="773">
        <f t="shared" si="6"/>
        <v>0</v>
      </c>
      <c r="O53" s="773">
        <f t="shared" ca="1" si="6"/>
        <v>0</v>
      </c>
      <c r="P53" s="773">
        <f>P41+P46+P48</f>
        <v>0</v>
      </c>
      <c r="Q53" s="774">
        <f t="shared" si="6"/>
        <v>0</v>
      </c>
      <c r="R53" s="775">
        <f ca="1">R41+R46+R48</f>
        <v>1345762.765793666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0.19578305505517241</v>
      </c>
      <c r="D55" s="836">
        <f t="shared" ca="1" si="7"/>
        <v>0.13549117301316638</v>
      </c>
      <c r="E55" s="836">
        <f t="shared" ca="1" si="7"/>
        <v>0.20200000000000007</v>
      </c>
      <c r="F55" s="836">
        <f t="shared" si="7"/>
        <v>0.22700000000000004</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102566.15369812425</v>
      </c>
      <c r="C64" s="795">
        <f>'lokale energieproductie'!B4</f>
        <v>102566.15369812425</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55784.577605515748</v>
      </c>
      <c r="C66" s="795">
        <f>'lokale energieproductie'!B6</f>
        <v>55784.577605515748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14812.5</v>
      </c>
      <c r="C67" s="794">
        <f>B67*IFERROR(SUM(J67:L67)/SUM(D67:M67),0)</f>
        <v>7127.307333747669</v>
      </c>
      <c r="D67" s="826">
        <f>'lokale energieproductie'!C7</f>
        <v>6261.2586630878341</v>
      </c>
      <c r="E67" s="827">
        <f>'lokale energieproductie'!D7</f>
        <v>0</v>
      </c>
      <c r="F67" s="827">
        <f>'lokale energieproductie'!E7</f>
        <v>2779.7331472426381</v>
      </c>
      <c r="G67" s="827">
        <f>'lokale energieproductie'!F7</f>
        <v>0</v>
      </c>
      <c r="H67" s="827">
        <f>'lokale energieproductie'!G7</f>
        <v>0</v>
      </c>
      <c r="I67" s="827">
        <f>'lokale energieproductie'!H7</f>
        <v>0</v>
      </c>
      <c r="J67" s="827">
        <f>'lokale energieproductie'!I7</f>
        <v>8384.6859841373389</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2006.9630002575268</v>
      </c>
      <c r="P67" s="922">
        <v>0</v>
      </c>
      <c r="Q67" s="785"/>
      <c r="R67" s="742"/>
    </row>
    <row r="68" spans="1:18" ht="30.75" thickBot="1">
      <c r="A68" s="801" t="s">
        <v>353</v>
      </c>
      <c r="B68" s="794">
        <f>'lokale energieproductie'!B8</f>
        <v>1858.5</v>
      </c>
      <c r="C68" s="794">
        <f>B68*IFERROR(SUM(J68:L68)/SUM(D68:M68),0)</f>
        <v>1858.5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5310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175021.73130364</v>
      </c>
      <c r="C69" s="803">
        <f>SUM(C64:C68)</f>
        <v>167336.53863738768</v>
      </c>
      <c r="D69" s="804">
        <f t="shared" ref="D69:M69" si="8">SUM(D67:D68)</f>
        <v>6261.2586630878341</v>
      </c>
      <c r="E69" s="804">
        <f t="shared" si="8"/>
        <v>0</v>
      </c>
      <c r="F69" s="804">
        <f t="shared" si="8"/>
        <v>2779.7331472426381</v>
      </c>
      <c r="G69" s="804">
        <f t="shared" si="8"/>
        <v>0</v>
      </c>
      <c r="H69" s="804">
        <f t="shared" si="8"/>
        <v>0</v>
      </c>
      <c r="I69" s="804">
        <f t="shared" si="8"/>
        <v>0</v>
      </c>
      <c r="J69" s="804">
        <f t="shared" si="8"/>
        <v>8384.6859841373389</v>
      </c>
      <c r="K69" s="804">
        <f t="shared" si="8"/>
        <v>5310</v>
      </c>
      <c r="L69" s="804">
        <f t="shared" si="8"/>
        <v>0</v>
      </c>
      <c r="M69" s="930">
        <f t="shared" si="8"/>
        <v>0</v>
      </c>
      <c r="N69" s="805">
        <v>0</v>
      </c>
      <c r="O69" s="805">
        <f>SUM(O67:O68)</f>
        <v>2006.9630002575268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18159.133928571428</v>
      </c>
      <c r="C78" s="817">
        <f>B78*IFERROR(SUM(I78:L78)/SUM(D78:M78),0)</f>
        <v>8737.6019188937225</v>
      </c>
      <c r="D78" s="832">
        <f>'lokale energieproductie'!C16</f>
        <v>7675.8841940550255</v>
      </c>
      <c r="E78" s="832">
        <f>'lokale energieproductie'!D16</f>
        <v>0</v>
      </c>
      <c r="F78" s="832">
        <f>'lokale energieproductie'!E16</f>
        <v>3407.7668527573624</v>
      </c>
      <c r="G78" s="832">
        <f>'lokale energieproductie'!F16</f>
        <v>0</v>
      </c>
      <c r="H78" s="832">
        <f>'lokale energieproductie'!G16</f>
        <v>0</v>
      </c>
      <c r="I78" s="832">
        <f>'lokale energieproductie'!H16</f>
        <v>0</v>
      </c>
      <c r="J78" s="832">
        <f>'lokale energieproductie'!I16</f>
        <v>10279.064015862663</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2460.4023568853308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18159.133928571428</v>
      </c>
      <c r="C81" s="803">
        <f>SUM(C78:C80)</f>
        <v>8737.6019188937225</v>
      </c>
      <c r="D81" s="803">
        <f t="shared" ref="D81:P81" si="9">SUM(D78:D80)</f>
        <v>7675.8841940550255</v>
      </c>
      <c r="E81" s="803">
        <f t="shared" si="9"/>
        <v>0</v>
      </c>
      <c r="F81" s="803">
        <f t="shared" si="9"/>
        <v>3407.7668527573624</v>
      </c>
      <c r="G81" s="803">
        <f t="shared" si="9"/>
        <v>0</v>
      </c>
      <c r="H81" s="803">
        <f t="shared" si="9"/>
        <v>0</v>
      </c>
      <c r="I81" s="803">
        <f t="shared" si="9"/>
        <v>0</v>
      </c>
      <c r="J81" s="803">
        <f t="shared" si="9"/>
        <v>10279.064015862663</v>
      </c>
      <c r="K81" s="803">
        <f t="shared" si="9"/>
        <v>0</v>
      </c>
      <c r="L81" s="803">
        <f t="shared" si="9"/>
        <v>0</v>
      </c>
      <c r="M81" s="803">
        <f t="shared" si="9"/>
        <v>0</v>
      </c>
      <c r="N81" s="803">
        <v>0</v>
      </c>
      <c r="O81" s="803">
        <f>SUM(O78:O80)</f>
        <v>2460.4023568853308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367191.3761106382</v>
      </c>
      <c r="C4" s="478">
        <f>huishoudens!C8</f>
        <v>0</v>
      </c>
      <c r="D4" s="478">
        <f>huishoudens!D8</f>
        <v>1119391.7674925569</v>
      </c>
      <c r="E4" s="478">
        <f>huishoudens!E8</f>
        <v>25106.314270058498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88005.554841053745</v>
      </c>
      <c r="O4" s="478">
        <f>huishoudens!O8</f>
        <v>2592.0066666666667</v>
      </c>
      <c r="P4" s="479">
        <f>huishoudens!P8</f>
        <v>6539.8666666666668</v>
      </c>
      <c r="Q4" s="480">
        <f>SUM(B4:P4)</f>
        <v>1608826.8860476406</v>
      </c>
    </row>
    <row r="5" spans="1:17">
      <c r="A5" s="477" t="s">
        <v>156</v>
      </c>
      <c r="B5" s="478">
        <f ca="1">tertiair!B16</f>
        <v>711887.09339666262</v>
      </c>
      <c r="C5" s="478">
        <f ca="1">tertiair!C16</f>
        <v>5414.4910714285716</v>
      </c>
      <c r="D5" s="478">
        <f ca="1">tertiair!D16</f>
        <v>823800.65273461409</v>
      </c>
      <c r="E5" s="478">
        <f>tertiair!E16</f>
        <v>8842.1897319057844</v>
      </c>
      <c r="F5" s="478">
        <f ca="1">tertiair!F16</f>
        <v>119958.26661513177</v>
      </c>
      <c r="G5" s="478">
        <f>tertiair!G16</f>
        <v>0</v>
      </c>
      <c r="H5" s="478">
        <f>tertiair!H16</f>
        <v>0</v>
      </c>
      <c r="I5" s="478">
        <f>tertiair!I16</f>
        <v>0</v>
      </c>
      <c r="J5" s="478">
        <f>tertiair!J16</f>
        <v>1.3561728621740694</v>
      </c>
      <c r="K5" s="478">
        <f>tertiair!K16</f>
        <v>0</v>
      </c>
      <c r="L5" s="478">
        <f ca="1">tertiair!L16</f>
        <v>0</v>
      </c>
      <c r="M5" s="478">
        <f>tertiair!M16</f>
        <v>0</v>
      </c>
      <c r="N5" s="478">
        <f ca="1">tertiair!N16</f>
        <v>49990.579719776186</v>
      </c>
      <c r="O5" s="478">
        <f>tertiair!O16</f>
        <v>46.9</v>
      </c>
      <c r="P5" s="479">
        <f>tertiair!P16</f>
        <v>400.4</v>
      </c>
      <c r="Q5" s="477">
        <f t="shared" ref="Q5:Q13" ca="1" si="0">SUM(B5:P5)</f>
        <v>1720341.9294423813</v>
      </c>
    </row>
    <row r="6" spans="1:17">
      <c r="A6" s="477" t="s">
        <v>194</v>
      </c>
      <c r="B6" s="478">
        <f>'openbare verlichting'!B8</f>
        <v>13783.724</v>
      </c>
      <c r="C6" s="478"/>
      <c r="D6" s="478"/>
      <c r="E6" s="478"/>
      <c r="F6" s="478"/>
      <c r="G6" s="478"/>
      <c r="H6" s="478"/>
      <c r="I6" s="478"/>
      <c r="J6" s="478"/>
      <c r="K6" s="478"/>
      <c r="L6" s="478"/>
      <c r="M6" s="478"/>
      <c r="N6" s="478"/>
      <c r="O6" s="478"/>
      <c r="P6" s="479"/>
      <c r="Q6" s="477">
        <f t="shared" si="0"/>
        <v>13783.724</v>
      </c>
    </row>
    <row r="7" spans="1:17">
      <c r="A7" s="477" t="s">
        <v>112</v>
      </c>
      <c r="B7" s="478">
        <f>landbouw!B8</f>
        <v>3488.4364663012298</v>
      </c>
      <c r="C7" s="478">
        <f>landbouw!C8</f>
        <v>0</v>
      </c>
      <c r="D7" s="478">
        <f>landbouw!D8</f>
        <v>90772.115940978925</v>
      </c>
      <c r="E7" s="478">
        <f>landbouw!E8</f>
        <v>102.53580265936745</v>
      </c>
      <c r="F7" s="478">
        <f>landbouw!F8</f>
        <v>14532.637813398482</v>
      </c>
      <c r="G7" s="478">
        <f>landbouw!G8</f>
        <v>0</v>
      </c>
      <c r="H7" s="478">
        <f>landbouw!H8</f>
        <v>0</v>
      </c>
      <c r="I7" s="478">
        <f>landbouw!I8</f>
        <v>0</v>
      </c>
      <c r="J7" s="478">
        <f>landbouw!J8</f>
        <v>505.39952893639048</v>
      </c>
      <c r="K7" s="478">
        <f>landbouw!K8</f>
        <v>0</v>
      </c>
      <c r="L7" s="478">
        <f>landbouw!L8</f>
        <v>0</v>
      </c>
      <c r="M7" s="478">
        <f>landbouw!M8</f>
        <v>0</v>
      </c>
      <c r="N7" s="478">
        <f>landbouw!N8</f>
        <v>0</v>
      </c>
      <c r="O7" s="478">
        <f>landbouw!O8</f>
        <v>0</v>
      </c>
      <c r="P7" s="479">
        <f>landbouw!P8</f>
        <v>0</v>
      </c>
      <c r="Q7" s="477">
        <f t="shared" si="0"/>
        <v>109401.12555227439</v>
      </c>
    </row>
    <row r="8" spans="1:17">
      <c r="A8" s="477" t="s">
        <v>635</v>
      </c>
      <c r="B8" s="478">
        <f>industrie!B18</f>
        <v>348108.34734549228</v>
      </c>
      <c r="C8" s="478">
        <f>industrie!C18</f>
        <v>12744.642857142857</v>
      </c>
      <c r="D8" s="478">
        <f>industrie!D18</f>
        <v>294839.79418882931</v>
      </c>
      <c r="E8" s="478">
        <f>industrie!E18</f>
        <v>15465.658791546673</v>
      </c>
      <c r="F8" s="478">
        <f>industrie!F18</f>
        <v>59206.525510153631</v>
      </c>
      <c r="G8" s="478">
        <f>industrie!G18</f>
        <v>0</v>
      </c>
      <c r="H8" s="478">
        <f>industrie!H18</f>
        <v>0</v>
      </c>
      <c r="I8" s="478">
        <f>industrie!I18</f>
        <v>0</v>
      </c>
      <c r="J8" s="478">
        <f>industrie!J18</f>
        <v>511.57833755192416</v>
      </c>
      <c r="K8" s="478">
        <f>industrie!K18</f>
        <v>0</v>
      </c>
      <c r="L8" s="478">
        <f>industrie!L18</f>
        <v>0</v>
      </c>
      <c r="M8" s="478">
        <f>industrie!M18</f>
        <v>0</v>
      </c>
      <c r="N8" s="478">
        <f>industrie!N18</f>
        <v>94047.770772103875</v>
      </c>
      <c r="O8" s="478">
        <f>industrie!O18</f>
        <v>0</v>
      </c>
      <c r="P8" s="479">
        <f>industrie!P18</f>
        <v>0</v>
      </c>
      <c r="Q8" s="477">
        <f t="shared" si="0"/>
        <v>824924.31780282059</v>
      </c>
    </row>
    <row r="9" spans="1:17" s="483" customFormat="1">
      <c r="A9" s="481" t="s">
        <v>561</v>
      </c>
      <c r="B9" s="482">
        <f>transport!B14</f>
        <v>749.04980530201601</v>
      </c>
      <c r="C9" s="482"/>
      <c r="D9" s="482">
        <f>transport!D14</f>
        <v>2612.0383433764928</v>
      </c>
      <c r="E9" s="482">
        <f>transport!E14</f>
        <v>3914.380706710655</v>
      </c>
      <c r="F9" s="482"/>
      <c r="G9" s="482">
        <f>transport!G14</f>
        <v>1643619.3632507042</v>
      </c>
      <c r="H9" s="482">
        <f>transport!H14</f>
        <v>300889.83312057343</v>
      </c>
      <c r="I9" s="482"/>
      <c r="J9" s="482"/>
      <c r="K9" s="482"/>
      <c r="L9" s="482"/>
      <c r="M9" s="482">
        <f>transport!M14</f>
        <v>104960.25746708924</v>
      </c>
      <c r="N9" s="482"/>
      <c r="O9" s="482"/>
      <c r="P9" s="482"/>
      <c r="Q9" s="481">
        <f>SUM(B9:P9)</f>
        <v>2056744.9226937559</v>
      </c>
    </row>
    <row r="10" spans="1:17">
      <c r="A10" s="477" t="s">
        <v>551</v>
      </c>
      <c r="B10" s="478">
        <f>transport!B54</f>
        <v>9085.4924944089871</v>
      </c>
      <c r="C10" s="478"/>
      <c r="D10" s="478">
        <f>transport!D54</f>
        <v>0</v>
      </c>
      <c r="E10" s="478"/>
      <c r="F10" s="478"/>
      <c r="G10" s="478">
        <f>transport!G54</f>
        <v>36163.787494854383</v>
      </c>
      <c r="H10" s="478"/>
      <c r="I10" s="478"/>
      <c r="J10" s="478"/>
      <c r="K10" s="478"/>
      <c r="L10" s="478"/>
      <c r="M10" s="478">
        <f>transport!M54</f>
        <v>2053.9434819054782</v>
      </c>
      <c r="N10" s="478"/>
      <c r="O10" s="478"/>
      <c r="P10" s="479"/>
      <c r="Q10" s="477">
        <f t="shared" si="0"/>
        <v>47303.223471168851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1454293.5196188053</v>
      </c>
      <c r="C14" s="488">
        <f t="shared" ref="C14:Q14" ca="1" si="1">SUM(C4:C13)</f>
        <v>18159.133928571428</v>
      </c>
      <c r="D14" s="488">
        <f t="shared" ca="1" si="1"/>
        <v>2331416.3687003558</v>
      </c>
      <c r="E14" s="488">
        <f t="shared" si="1"/>
        <v>53431.079302880979</v>
      </c>
      <c r="F14" s="488">
        <f t="shared" ca="1" si="1"/>
        <v>193697.42993868387</v>
      </c>
      <c r="G14" s="488">
        <f t="shared" si="1"/>
        <v>1679783.1507455586</v>
      </c>
      <c r="H14" s="488">
        <f t="shared" si="1"/>
        <v>300889.83312057343</v>
      </c>
      <c r="I14" s="488">
        <f t="shared" si="1"/>
        <v>0</v>
      </c>
      <c r="J14" s="488">
        <f t="shared" si="1"/>
        <v>1018.3340393504886</v>
      </c>
      <c r="K14" s="488">
        <f t="shared" si="1"/>
        <v>0</v>
      </c>
      <c r="L14" s="488">
        <f t="shared" ca="1" si="1"/>
        <v>0</v>
      </c>
      <c r="M14" s="488">
        <f t="shared" si="1"/>
        <v>107014.20094899471</v>
      </c>
      <c r="N14" s="488">
        <f t="shared" ca="1" si="1"/>
        <v>232043.90533293382</v>
      </c>
      <c r="O14" s="488">
        <f t="shared" si="1"/>
        <v>2638.9066666666668</v>
      </c>
      <c r="P14" s="489">
        <f t="shared" si="1"/>
        <v>6940.2666666666664</v>
      </c>
      <c r="Q14" s="489">
        <f t="shared" ca="1" si="1"/>
        <v>6381326.1290100403</v>
      </c>
    </row>
    <row r="16" spans="1:17">
      <c r="A16" s="491" t="s">
        <v>556</v>
      </c>
      <c r="B16" s="841">
        <f ca="1">huishoudens!B10</f>
        <v>0.19578305505517243</v>
      </c>
      <c r="C16" s="841">
        <f ca="1">huishoudens!C10</f>
        <v>0.13549117301316638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71889.849404853609</v>
      </c>
      <c r="C21" s="478">
        <f t="shared" ref="C21:C28" ca="1" si="3">C4*$C$16</f>
        <v>0</v>
      </c>
      <c r="D21" s="478">
        <f t="shared" ref="D21:D30" si="4">D4*$D$16</f>
        <v>226117.13703349652</v>
      </c>
      <c r="E21" s="478">
        <f t="shared" ref="E21:E30" si="5">E4*$E$16</f>
        <v>5699.1333393032792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303706.11977765337</v>
      </c>
    </row>
    <row r="22" spans="1:17">
      <c r="A22" s="477" t="s">
        <v>156</v>
      </c>
      <c r="B22" s="478">
        <f t="shared" ca="1" si="2"/>
        <v>139375.42999954548</v>
      </c>
      <c r="C22" s="478">
        <f t="shared" ca="1" si="3"/>
        <v>733.61574653717321</v>
      </c>
      <c r="D22" s="478">
        <f t="shared" ca="1" si="4"/>
        <v>166407.73185239205</v>
      </c>
      <c r="E22" s="478">
        <f t="shared" si="5"/>
        <v>2007.1770691426132</v>
      </c>
      <c r="F22" s="478">
        <f t="shared" ca="1" si="6"/>
        <v>32028.857186240184</v>
      </c>
      <c r="G22" s="478">
        <f t="shared" si="7"/>
        <v>0</v>
      </c>
      <c r="H22" s="478">
        <f t="shared" si="8"/>
        <v>0</v>
      </c>
      <c r="I22" s="478">
        <f t="shared" si="9"/>
        <v>0</v>
      </c>
      <c r="J22" s="478">
        <f t="shared" si="10"/>
        <v>0.48008519320962056</v>
      </c>
      <c r="K22" s="478">
        <f t="shared" si="11"/>
        <v>0</v>
      </c>
      <c r="L22" s="478">
        <f t="shared" ca="1" si="12"/>
        <v>0</v>
      </c>
      <c r="M22" s="478">
        <f t="shared" si="13"/>
        <v>0</v>
      </c>
      <c r="N22" s="478">
        <f t="shared" ca="1" si="14"/>
        <v>0</v>
      </c>
      <c r="O22" s="478">
        <f t="shared" si="15"/>
        <v>0</v>
      </c>
      <c r="P22" s="479">
        <f t="shared" si="16"/>
        <v>0</v>
      </c>
      <c r="Q22" s="477">
        <f t="shared" ref="Q22:Q30" ca="1" si="17">SUM(B22:P22)</f>
        <v>340553.29193905077</v>
      </c>
    </row>
    <row r="23" spans="1:17">
      <c r="A23" s="477" t="s">
        <v>194</v>
      </c>
      <c r="B23" s="478">
        <f t="shared" ca="1" si="2"/>
        <v>2698.6195947573015</v>
      </c>
      <c r="C23" s="478"/>
      <c r="D23" s="478"/>
      <c r="E23" s="478"/>
      <c r="F23" s="478"/>
      <c r="G23" s="478"/>
      <c r="H23" s="478"/>
      <c r="I23" s="478"/>
      <c r="J23" s="478"/>
      <c r="K23" s="478"/>
      <c r="L23" s="478"/>
      <c r="M23" s="478"/>
      <c r="N23" s="478"/>
      <c r="O23" s="478"/>
      <c r="P23" s="479"/>
      <c r="Q23" s="477">
        <f t="shared" ca="1" si="17"/>
        <v>2698.6195947573015</v>
      </c>
    </row>
    <row r="24" spans="1:17">
      <c r="A24" s="477" t="s">
        <v>112</v>
      </c>
      <c r="B24" s="478">
        <f t="shared" ca="1" si="2"/>
        <v>682.97674873832489</v>
      </c>
      <c r="C24" s="478">
        <f t="shared" ca="1" si="3"/>
        <v>0</v>
      </c>
      <c r="D24" s="478">
        <f t="shared" si="4"/>
        <v>18335.967420077744</v>
      </c>
      <c r="E24" s="478">
        <f t="shared" si="5"/>
        <v>23.275627203676411</v>
      </c>
      <c r="F24" s="478">
        <f t="shared" si="6"/>
        <v>3880.2142961773948</v>
      </c>
      <c r="G24" s="478">
        <f t="shared" si="7"/>
        <v>0</v>
      </c>
      <c r="H24" s="478">
        <f t="shared" si="8"/>
        <v>0</v>
      </c>
      <c r="I24" s="478">
        <f t="shared" si="9"/>
        <v>0</v>
      </c>
      <c r="J24" s="478">
        <f t="shared" si="10"/>
        <v>178.91143324348221</v>
      </c>
      <c r="K24" s="478">
        <f t="shared" si="11"/>
        <v>0</v>
      </c>
      <c r="L24" s="478">
        <f t="shared" si="12"/>
        <v>0</v>
      </c>
      <c r="M24" s="478">
        <f t="shared" si="13"/>
        <v>0</v>
      </c>
      <c r="N24" s="478">
        <f t="shared" si="14"/>
        <v>0</v>
      </c>
      <c r="O24" s="478">
        <f t="shared" si="15"/>
        <v>0</v>
      </c>
      <c r="P24" s="479">
        <f t="shared" si="16"/>
        <v>0</v>
      </c>
      <c r="Q24" s="477">
        <f t="shared" ca="1" si="17"/>
        <v>23101.345525440622</v>
      </c>
    </row>
    <row r="25" spans="1:17">
      <c r="A25" s="477" t="s">
        <v>635</v>
      </c>
      <c r="B25" s="478">
        <f t="shared" ca="1" si="2"/>
        <v>68153.715733507604</v>
      </c>
      <c r="C25" s="478">
        <f t="shared" ca="1" si="3"/>
        <v>1726.7866103481579</v>
      </c>
      <c r="D25" s="478">
        <f t="shared" si="4"/>
        <v>59557.638426143523</v>
      </c>
      <c r="E25" s="478">
        <f t="shared" si="5"/>
        <v>3510.7045456810952</v>
      </c>
      <c r="F25" s="478">
        <f t="shared" si="6"/>
        <v>15808.142311211021</v>
      </c>
      <c r="G25" s="478">
        <f t="shared" si="7"/>
        <v>0</v>
      </c>
      <c r="H25" s="478">
        <f t="shared" si="8"/>
        <v>0</v>
      </c>
      <c r="I25" s="478">
        <f t="shared" si="9"/>
        <v>0</v>
      </c>
      <c r="J25" s="478">
        <f t="shared" si="10"/>
        <v>181.09873149338114</v>
      </c>
      <c r="K25" s="478">
        <f t="shared" si="11"/>
        <v>0</v>
      </c>
      <c r="L25" s="478">
        <f t="shared" si="12"/>
        <v>0</v>
      </c>
      <c r="M25" s="478">
        <f t="shared" si="13"/>
        <v>0</v>
      </c>
      <c r="N25" s="478">
        <f t="shared" si="14"/>
        <v>0</v>
      </c>
      <c r="O25" s="478">
        <f t="shared" si="15"/>
        <v>0</v>
      </c>
      <c r="P25" s="479">
        <f t="shared" si="16"/>
        <v>0</v>
      </c>
      <c r="Q25" s="477">
        <f t="shared" ca="1" si="17"/>
        <v>148938.08635838478</v>
      </c>
    </row>
    <row r="26" spans="1:17" s="483" customFormat="1">
      <c r="A26" s="481" t="s">
        <v>561</v>
      </c>
      <c r="B26" s="835">
        <f t="shared" ca="1" si="2"/>
        <v>146.65125927051079</v>
      </c>
      <c r="C26" s="482"/>
      <c r="D26" s="482">
        <f t="shared" si="4"/>
        <v>527.63174536205156</v>
      </c>
      <c r="E26" s="482">
        <f t="shared" si="5"/>
        <v>888.56442042331867</v>
      </c>
      <c r="F26" s="482"/>
      <c r="G26" s="482">
        <f t="shared" si="7"/>
        <v>438846.36998793809</v>
      </c>
      <c r="H26" s="482">
        <f t="shared" si="8"/>
        <v>74921.568447022786</v>
      </c>
      <c r="I26" s="482"/>
      <c r="J26" s="482"/>
      <c r="K26" s="482"/>
      <c r="L26" s="482"/>
      <c r="M26" s="482">
        <f t="shared" si="13"/>
        <v>0</v>
      </c>
      <c r="N26" s="482"/>
      <c r="O26" s="482"/>
      <c r="P26" s="493"/>
      <c r="Q26" s="481">
        <f t="shared" ca="1" si="17"/>
        <v>515330.78586001671</v>
      </c>
    </row>
    <row r="27" spans="1:17">
      <c r="A27" s="477" t="s">
        <v>551</v>
      </c>
      <c r="B27" s="478">
        <f t="shared" ca="1" si="2"/>
        <v>1778.7854772362307</v>
      </c>
      <c r="C27" s="478"/>
      <c r="D27" s="482">
        <f t="shared" si="4"/>
        <v>0</v>
      </c>
      <c r="E27" s="478"/>
      <c r="F27" s="478"/>
      <c r="G27" s="478">
        <f t="shared" si="7"/>
        <v>9655.7312611261204</v>
      </c>
      <c r="H27" s="478"/>
      <c r="I27" s="478"/>
      <c r="J27" s="478"/>
      <c r="K27" s="478"/>
      <c r="L27" s="478"/>
      <c r="M27" s="478">
        <f t="shared" si="13"/>
        <v>0</v>
      </c>
      <c r="N27" s="478"/>
      <c r="O27" s="478"/>
      <c r="P27" s="479"/>
      <c r="Q27" s="477">
        <f t="shared" ca="1" si="17"/>
        <v>11434.516738362352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284726.02821790904</v>
      </c>
      <c r="C31" s="488">
        <f t="shared" ca="1" si="18"/>
        <v>2460.4023568853308</v>
      </c>
      <c r="D31" s="488">
        <f t="shared" ca="1" si="18"/>
        <v>470946.10647747194</v>
      </c>
      <c r="E31" s="488">
        <f t="shared" si="18"/>
        <v>12128.855001753984</v>
      </c>
      <c r="F31" s="488">
        <f t="shared" ca="1" si="18"/>
        <v>51717.213793628602</v>
      </c>
      <c r="G31" s="488">
        <f t="shared" si="18"/>
        <v>448502.1012490642</v>
      </c>
      <c r="H31" s="488">
        <f t="shared" si="18"/>
        <v>74921.568447022786</v>
      </c>
      <c r="I31" s="488">
        <f t="shared" si="18"/>
        <v>0</v>
      </c>
      <c r="J31" s="488">
        <f t="shared" si="18"/>
        <v>360.49024993007299</v>
      </c>
      <c r="K31" s="488">
        <f t="shared" si="18"/>
        <v>0</v>
      </c>
      <c r="L31" s="488">
        <f t="shared" ca="1" si="18"/>
        <v>0</v>
      </c>
      <c r="M31" s="488">
        <f t="shared" si="18"/>
        <v>0</v>
      </c>
      <c r="N31" s="488">
        <f t="shared" ca="1" si="18"/>
        <v>0</v>
      </c>
      <c r="O31" s="488">
        <f t="shared" si="18"/>
        <v>0</v>
      </c>
      <c r="P31" s="489">
        <f t="shared" si="18"/>
        <v>0</v>
      </c>
      <c r="Q31" s="489">
        <f t="shared" ca="1" si="18"/>
        <v>1345762.765793666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0.19578305505517243</v>
      </c>
      <c r="C17" s="528">
        <f ca="1">'EF ele_warmte'!B22</f>
        <v>0.13549117301316638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3</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57.2</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0.19578305505517243</v>
      </c>
      <c r="C17" s="528">
        <f ca="1">'EF ele_warmte'!B22</f>
        <v>0.13549117301316638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0.19578305505517243</v>
      </c>
      <c r="C29" s="529">
        <f ca="1">'EF ele_warmte'!B22</f>
        <v>0.13549117301316638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2019-01-01T21:20:48Z</dcterms:modified>
</cp:coreProperties>
</file>