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D16" i="16"/>
  <c r="B13" i="15"/>
  <c r="F6" i="17"/>
  <c r="B8" i="9"/>
  <c r="D6" i="17"/>
  <c r="I8" i="18"/>
  <c r="J68" i="14"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F28" i="48" l="1"/>
  <c r="I20" i="15"/>
  <c r="J36" i="14" s="1"/>
  <c r="K28" i="48"/>
  <c r="D28"/>
  <c r="D30"/>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F10" i="14" l="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6" i="22" l="1"/>
  <c r="C10" i="17"/>
  <c r="C12" s="1"/>
  <c r="D48" i="14" s="1"/>
  <c r="C56" i="22"/>
  <c r="C58" s="1"/>
  <c r="D44" i="14" s="1"/>
  <c r="D46" s="1"/>
  <c r="C17" i="49"/>
  <c r="C17" i="19"/>
  <c r="C19" s="1"/>
  <c r="D35" i="14" s="1"/>
  <c r="C20" i="16"/>
  <c r="C22" s="1"/>
  <c r="D39" i="14" s="1"/>
  <c r="C18" i="15"/>
  <c r="C20" s="1"/>
  <c r="D36" i="14" s="1"/>
  <c r="C10" i="13"/>
  <c r="C16" i="48" s="1"/>
  <c r="C29" i="20"/>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F25" i="48"/>
  <c r="F31" s="1"/>
  <c r="F14"/>
  <c r="E14" l="1"/>
  <c r="N25"/>
  <c r="N31" s="1"/>
  <c r="D41" i="14"/>
  <c r="K55"/>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<sst xmlns="http://schemas.openxmlformats.org/spreadsheetml/2006/main" count="2124" uniqueCount="859">
  <si>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</si>
  <si>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</si>
  <si>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</si>
  <si>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</si>
  <si>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</si>
  <si>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</si>
  <si>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</si>
  <si>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</si>
  <si>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</si>
  <si>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</si>
  <si>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</si>
  <si>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</si>
  <si>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</si>
  <si>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</si>
  <si>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</si>
  <si>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</si>
  <si>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</si>
  <si>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</si>
  <si>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</si>
  <si>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</si>
  <si>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</si>
  <si>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</si>
  <si>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</si>
  <si>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</si>
  <si>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</si>
  <si>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</si>
  <si>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</si>
  <si>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</si>
  <si>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</si>
  <si>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</si>
  <si>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</si>
  <si>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</si>
  <si>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</si>
  <si>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</si>
  <si>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</si>
  <si>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</si>
  <si>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</si>
  <si>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</si>
  <si>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</si>
  <si>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</si>
  <si>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</si>
  <si>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</si>
  <si>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</si>
  <si>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</si>
  <si>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</si>
  <si>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</si>
  <si>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</si>
  <si>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</si>
  <si>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</si>
  <si>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</si>
  <si>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</si>
  <si>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</si>
  <si>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</si>
  <si>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</si>
  <si>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</si>
  <si>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</si>
  <si>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</si>
  <si>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</si>
  <si>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</si>
  <si>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</si>
  <si>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</si>
  <si>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</si>
  <si>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</si>
  <si>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</si>
  <si>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</si>
  <si>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</si>
  <si>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</si>
  <si>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</si>
  <si>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</si>
  <si>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</si>
  <si>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</si>
  <si>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</si>
  <si>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</si>
  <si>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</si>
  <si>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</si>
  <si>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</si>
  <si>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</si>
  <si>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</si>
  <si>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</si>
  <si>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</si>
  <si>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</si>
  <si>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</si>
  <si>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</si>
  <si>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</si>
  <si>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</si>
  <si>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</si>
  <si>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</si>
  <si>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</si>
  <si>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</si>
  <si>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</si>
  <si>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</si>
  <si>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</si>
  <si>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</si>
  <si>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</si>
  <si>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</si>
  <si>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</si>
  <si>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</si>
  <si>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</si>
  <si>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</si>
  <si>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</si>
  <si>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</si>
  <si>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</si>
  <si>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</si>
  <si>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</si>
  <si>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</si>
  <si>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</si>
  <si>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</si>
  <si>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</si>
  <si>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</si>
  <si>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</si>
  <si>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</si>
  <si>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</si>
  <si>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</si>
  <si>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</si>
  <si>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</si>
  <si>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</si>
  <si>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</si>
  <si>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</si>
  <si>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</si>
  <si>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</si>
  <si>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</si>
  <si>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</si>
  <si>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</si>
  <si>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</si>
  <si>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</si>
  <si>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</si>
  <si>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</si>
  <si>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</si>
  <si>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</si>
  <si>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</si>
  <si>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</si>
  <si>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</si>
  <si>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</si>
  <si>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</si>
  <si>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</si>
  <si>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</si>
  <si>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</si>
  <si>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</si>
  <si>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</si>
  <si>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</si>
  <si>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</si>
  <si>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</si>
  <si>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</si>
  <si>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</si>
  <si>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</si>
  <si>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</si>
  <si>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</si>
  <si>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</si>
  <si>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</si>
  <si>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</si>
  <si>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</si>
  <si>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</si>
  <si>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</si>
  <si>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</si>
  <si>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</si>
  <si>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</si>
  <si>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</si>
  <si>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</si>
  <si>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</si>
  <si>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</si>
  <si>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</si>
  <si>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</si>
  <si>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</si>
  <si>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</si>
  <si>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</si>
  <si>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</si>
  <si>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</si>
  <si>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</si>
  <si>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</si>
  <si>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</si>
  <si>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</si>
  <si>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</si>
  <si>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</si>
  <si>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</si>
  <si>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</si>
  <si>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</si>
  <si>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</si>
  <si>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</si>
  <si>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</si>
  <si>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</si>
  <si>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</si>
  <si>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</si>
  <si>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</si>
  <si>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</si>
  <si>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</si>
  <si>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</si>
  <si>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</si>
  <si>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</si>
  <si>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</si>
  <si>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</si>
  <si>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</si>
  <si>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</si>
  <si>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</si>
  <si>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</si>
  <si>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</si>
  <si>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</si>
  <si>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</si>
  <si>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</si>
  <si>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</si>
  <si>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</si>
  <si>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</si>
  <si>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</si>
  <si>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</si>
  <si>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</si>
  <si>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</si>
  <si>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</si>
  <si>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</si>
  <si>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</si>
  <si>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</si>
  <si>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</si>
  <si>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</si>
  <si>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</si>
  <si>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</si>
  <si>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</si>
  <si>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</si>
  <si>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</si>
  <si>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</si>
  <si>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</si>
  <si>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</si>
  <si>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</si>
  <si>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</si>
  <si>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</si>
  <si>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</si>
  <si>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</si>
  <si>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</si>
  <si>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</si>
  <si>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</si>
  <si>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</si>
  <si>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</si>
  <si>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</si>
  <si>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</si>
  <si>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</si>
  <si>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</si>
  <si>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</si>
  <si>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</si>
  <si>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</si>
  <si>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</si>
  <si>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</si>
  <si>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</si>
  <si>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</si>
  <si>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</si>
  <si>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</si>
  <si>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</si>
  <si>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</si>
  <si>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</si>
  <si>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</si>
  <si>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</si>
  <si>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</si>
  <si>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</si>
  <si>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</si>
  <si>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</si>
  <si>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</si>
  <si>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</si>
  <si>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</si>
  <si>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</si>
  <si>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</si>
  <si>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</si>
  <si>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</si>
  <si>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</si>
  <si>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</si>
  <si>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</si>
  <si>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</si>
  <si>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</si>
  <si>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</si>
  <si>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</si>
  <si>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</si>
  <si>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</si>
  <si>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</si>
  <si>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</si>
  <si>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</si>
  <si>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</si>
  <si>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</si>
  <si>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</si>
  <si>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</si>
  <si>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</si>
  <si>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</si>
  <si>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</si>
  <si>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</si>
  <si>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</si>
  <si>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</si>
  <si>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</si>
  <si>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</si>
  <si>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</si>
  <si>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</si>
  <si>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</si>
  <si>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</si>
  <si>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</si>
  <si>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</si>
  <si>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</si>
  <si>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</si>
  <si>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</si>
  <si>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</si>
  <si>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</si>
  <si>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</si>
  <si>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</si>
  <si>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</si>
  <si>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</si>
  <si>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</si>
  <si>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</si>
  <si>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</si>
  <si>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</si>
  <si>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</si>
  <si>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</si>
  <si>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</si>
  <si>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</si>
  <si>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</si>
  <si>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</si>
  <si>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</si>
  <si>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</si>
  <si>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</si>
  <si>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</si>
  <si>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</si>
  <si>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</si>
  <si>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</si>
  <si>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</si>
  <si>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</si>
  <si>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</si>
  <si>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</si>
  <si>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</si>
  <si>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</si>
  <si>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</si>
  <si>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</si>
  <si>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</si>
  <si>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</si>
  <si>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</si>
  <si>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</si>
  <si>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</si>
  <si>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</si>
  <si>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</si>
  <si>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</si>
  <si>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</si>
  <si>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</si>
  <si>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</si>
  <si>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</si>
  <si>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</si>
  <si>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</si>
  <si>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</si>
  <si>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</si>
  <si>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</si>
  <si>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</si>
  <si>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</si>
  <si>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</si>
  <si>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</si>
  <si>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</si>
  <si>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</si>
  <si>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</si>
  <si>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</si>
  <si>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</si>
  <si>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</si>
  <si>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</si>
  <si>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</si>
  <si>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</si>
  <si>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</si>
  <si>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</si>
  <si>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</si>
  <si>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</si>
  <si>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</si>
  <si>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</si>
  <si>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</si>
  <si>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</si>
  <si>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</si>
  <si>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</si>
  <si>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</si>
  <si>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</si>
  <si>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</si>
  <si>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</si>
  <si>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</si>
  <si>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</si>
  <si>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</si>
  <si>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</si>
  <si>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</si>
  <si>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</si>
  <si>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</si>
  <si>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</si>
  <si>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</si>
  <si>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</si>
  <si>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</si>
  <si>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</si>
  <si>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</si>
  <si>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</si>
  <si>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</si>
  <si>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</si>
  <si>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</si>
  <si>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</si>
  <si>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</si>
  <si>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</si>
  <si>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</si>
  <si>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</si>
  <si>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</si>
  <si>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</si>
  <si>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</si>
  <si>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</si>
  <si>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</si>
  <si>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</si>
  <si>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</si>
  <si>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</si>
  <si>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</si>
  <si>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</si>
  <si>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</si>
  <si>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</si>
  <si>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</si>
  <si>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</si>
  <si>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</si>
  <si>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</si>
  <si>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</si>
  <si>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</si>
  <si>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</si>
  <si>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</si>
  <si>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</si>
  <si>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</si>
  <si>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</si>
  <si>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</si>
  <si>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</si>
  <si>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</si>
  <si>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</si>
  <si>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</si>
  <si>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</si>
  <si>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</si>
  <si>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</si>
  <si>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</si>
  <si>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</si>
  <si>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</si>
  <si>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</si>
  <si>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</si>
  <si>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</si>
  <si>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</si>
  <si>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</si>
  <si>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</si>
  <si>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</si>
  <si>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</si>
  <si>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</si>
  <si>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</si>
  <si>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</si>
  <si>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</si>
  <si>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</si>
  <si>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</si>
  <si>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</si>
  <si>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</si>
  <si>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</si>
  <si>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</si>
  <si>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</si>
  <si>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</si>
  <si>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</si>
  <si>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</si>
  <si>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</si>
  <si>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</si>
  <si>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</si>
  <si>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</si>
  <si>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</si>
  <si>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</si>
  <si>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</si>
  <si>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</si>
  <si>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</si>
  <si>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</si>
  <si>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</si>
  <si>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</si>
  <si>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</si>
  <si>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</si>
  <si>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</si>
  <si>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</si>
  <si>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</si>
  <si>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</si>
  <si>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</si>
  <si>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</si>
  <si>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</si>
  <si>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</si>
  <si>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</si>
  <si>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</si>
  <si>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</si>
  <si>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</si>
  <si>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</si>
  <si>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</si>
  <si>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</si>
  <si>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</si>
  <si>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</si>
  <si>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</si>
  <si>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</si>
  <si>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</si>
  <si>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</si>
  <si>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</si>
  <si>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</si>
  <si>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</si>
  <si>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</si>
  <si>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</si>
  <si>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</si>
  <si>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</si>
  <si>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</si>
  <si>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</si>
  <si>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</si>
  <si>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</si>
  <si>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</si>
  <si>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</si>
  <si>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</si>
  <si>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</si>
  <si>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</si>
  <si>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</si>
  <si>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</si>
  <si>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</si>
  <si>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</si>
  <si>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</si>
  <si>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</si>
  <si>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</si>
  <si>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</si>
  <si>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</si>
  <si>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</si>
  <si>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</si>
  <si>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</si>
  <si>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</si>
  <si>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</si>
  <si>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</si>
  <si>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</si>
  <si>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</si>
  <si>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</si>
  <si>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</si>
  <si>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</si>
  <si>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</si>
  <si>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</si>
  <si>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</si>
  <si>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</si>
  <si>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</si>
  <si>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</si>
  <si>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</si>
  <si>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</si>
  <si>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</si>
  <si>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</si>
  <si>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</si>
  <si>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</si>
  <si>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</si>
  <si>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</si>
  <si>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</si>
  <si>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</si>
  <si>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</si>
  <si>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</si>
  <si>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</si>
  <si>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</si>
  <si>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</si>
  <si>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</si>
  <si>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</si>
  <si>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</si>
  <si>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</si>
  <si>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</si>
  <si>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</si>
  <si>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</si>
  <si>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</si>
  <si>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</si>
  <si>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</si>
  <si>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</si>
  <si>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</si>
  <si>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</si>
  <si>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</si>
  <si>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</si>
  <si>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</si>
  <si>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</si>
  <si>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</si>
  <si>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</si>
  <si>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</si>
  <si>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</si>
  <si>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</si>
  <si>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</si>
  <si>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</si>
  <si>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</si>
  <si>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</si>
  <si>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</si>
  <si>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</si>
  <si>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</si>
  <si>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</si>
  <si>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</si>
  <si>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</si>
  <si>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</si>
  <si>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</si>
  <si>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</si>
  <si>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</si>
  <si>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</si>
  <si>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</si>
  <si>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</si>
  <si>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</si>
  <si>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</si>
  <si>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</si>
  <si>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</si>
  <si>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</si>
  <si>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</si>
  <si>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</si>
  <si>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</si>
  <si>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</si>
  <si>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</si>
  <si>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</si>
  <si>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</si>
  <si>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</si>
  <si>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</si>
  <si>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</si>
  <si>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</si>
  <si>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</si>
  <si>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</si>
  <si>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</si>
  <si>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</si>
  <si>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</si>
  <si>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</si>
  <si>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</si>
  <si>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</si>
  <si>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</si>
  <si>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</si>
  <si>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</si>
  <si>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</si>
  <si>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</si>
  <si>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</si>
  <si>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</si>
  <si>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</si>
  <si>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</si>
  <si>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</si>
  <si>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</si>
  <si>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</si>
  <si>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</si>
  <si>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</si>
  <si>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</si>
  <si>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</si>
  <si>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</si>
  <si>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</si>
  <si>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</si>
  <si>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</si>
  <si>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</si>
  <si>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</si>
  <si>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</si>
  <si>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</si>
  <si>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</si>
  <si>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</si>
  <si>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</si>
  <si>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</si>
  <si>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</si>
  <si>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</si>
  <si>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</si>
  <si>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</si>
  <si>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</si>
  <si>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</si>
  <si>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</si>
  <si>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</si>
  <si>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</si>
  <si>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</si>
  <si>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</si>
  <si>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</si>
  <si>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</si>
  <si>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</si>
  <si>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</si>
  <si>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</si>
  <si>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</si>
  <si>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</si>
  <si>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</si>
  <si>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</si>
  <si>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</si>
  <si>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</si>
  <si>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</si>
  <si>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</si>
  <si>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</si>
  <si>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</si>
  <si>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</si>
  <si>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</si>
  <si>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</si>
  <si>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</si>
  <si>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</si>
  <si>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</si>
  <si>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</si>
  <si>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</si>
  <si>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</si>
  <si>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</si>
  <si>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</si>
  <si>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</si>
  <si>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</si>
  <si>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</si>
  <si>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</si>
  <si>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</si>
  <si>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</si>
  <si>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</si>
  <si>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</si>
  <si>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</si>
  <si>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</si>
  <si>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</si>
  <si>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</si>
  <si>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</si>
  <si>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</si>
  <si>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</si>
  <si>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</si>
  <si>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</si>
  <si>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</si>
  <si>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</si>
  <si>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</si>
  <si>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</si>
  <si>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</si>
  <si>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</si>
  <si>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</si>
  <si>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</si>
  <si>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</si>
  <si>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</si>
  <si>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</si>
  <si>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</si>
  <si>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</si>
  <si>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</si>
  <si>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</si>
  <si>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</si>
  <si>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</si>
  <si>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</si>
  <si>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</si>
  <si>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</si>
  <si>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</si>
  <si>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</si>
  <si>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</si>
  <si>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</si>
  <si>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</si>
  <si>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</si>
  <si>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</si>
  <si>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</si>
  <si>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</si>
  <si>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</si>
  <si>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</si>
  <si>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</si>
  <si>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</si>
  <si>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</si>
  <si>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</si>
  <si>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</si>
  <si>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</si>
  <si>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</si>
  <si>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</si>
  <si>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</si>
  <si>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</si>
  <si>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</si>
  <si>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</si>
  <si>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</si>
  <si>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</si>
  <si>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</si>
  <si>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</si>
  <si>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</si>
  <si>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</si>
  <si>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</si>
  <si>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</si>
  <si>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</si>
  <si>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</si>
  <si>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</si>
  <si>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</si>
  <si>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</si>
  <si>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</si>
  <si>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</si>
  <si>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</si>
  <si>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</si>
  <si>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</si>
  <si>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</si>
  <si>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</si>
  <si>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</si>
  <si>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</si>
  <si>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</si>
  <si>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</si>
  <si>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</si>
  <si>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</si>
  <si>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</si>
  <si>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</si>
  <si>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</si>
  <si>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</si>
  <si>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</si>
  <si>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</si>
  <si>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</si>
  <si>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</si>
  <si>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</si>
  <si>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</si>
  <si>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</si>
  <si>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</si>
  <si>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</si>
  <si>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</si>
  <si>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</si>
  <si>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</si>
  <si>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</si>
  <si>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</si>
  <si>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</si>
  <si>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</si>
  <si>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</si>
  <si>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</si>
  <si>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</si>
  <si>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</si>
  <si>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</si>
  <si>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</si>
  <si>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</si>
  <si>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</si>
  <si>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</si>
  <si>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</si>
  <si>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</si>
  <si>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</si>
  <si>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</si>
  <si>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</si>
  <si>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</si>
  <si>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</si>
  <si>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</si>
  <si>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</si>
  <si>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</si>
  <si>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</si>
  <si>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</si>
  <si>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</si>
  <si>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</si>
  <si>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</si>
  <si>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</si>
  <si>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</si>
  <si>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</si>
  <si>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</si>
  <si>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</si>
  <si>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</si>
  <si>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</si>
  <si>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</si>
  <si>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</si>
  <si>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</si>
  <si>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</si>
  <si>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</si>
  <si>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</si>
  <si>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</si>
  <si>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</si>
  <si>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</si>
  <si>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</si>
  <si>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</si>
  <si>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</si>
  <si>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</si>
  <si>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</si>
  <si>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</si>
  <si>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</si>
  <si>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</si>
  <si>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</si>
  <si>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</si>
  <si>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</si>
  <si>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</si>
  <si>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</si>
  <si>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</si>
  <si>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</si>
  <si>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</si>
  <si>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</si>
  <si>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</si>
  <si>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</si>
  <si>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</si>
  <si>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</si>
  <si>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</si>
  <si>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</si>
  <si>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</si>
  <si>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</si>
  <si>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</si>
  <si>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42006</t>
  </si>
  <si>
    <t>DENDERMONDE</t>
  </si>
  <si>
    <t>Eandis (januari 2018); Infrax (juni 2018)</t>
  </si>
  <si>
    <t>MOW (september 2017)</t>
  </si>
  <si>
    <t>referentietaak LNE (2017); Jaarverslag De Lijn (2016)</t>
  </si>
  <si>
    <t>VEA (april 2018)</t>
  </si>
  <si>
    <t>VEA (januari 2017)</t>
  </si>
  <si>
    <t>VEA (juni 2018)</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</si>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</sst>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327009.4690340464</c:v>
                </c:pt>
                <c:pt idx="1">
                  <c:v>195910.503301858</c:v>
                </c:pt>
                <c:pt idx="2">
                  <c:v>3009.0720000000001</c:v>
                </c:pt>
                <c:pt idx="3">
                  <c:v>14817.623082014808</c:v>
                </c:pt>
                <c:pt idx="4">
                  <c:v>185563.84840114863</c:v>
                </c:pt>
                <c:pt idx="5">
                  <c:v>208850.74386742534</c:v>
                </c:pt>
                <c:pt idx="6">
                  <c:v>3956.6634018554155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83776"/>
        <c:axId val="183493760"/>
      </c:barChart>
      <c:catAx>
        <c:axId val="183483776"/>
        <c:scaling>
          <c:orientation val="minMax"/>
        </c:scaling>
        <c:axPos val="b"/>
        <c:numFmt formatCode="General" sourceLinked="0"/>
        <c:tickLblPos val="nextTo"/>
        <c:crossAx val="183493760"/>
        <c:crosses val="autoZero"/>
        <c:auto val="1"/>
        <c:lblAlgn val="ctr"/>
        <c:lblOffset val="100"/>
      </c:catAx>
      <c:valAx>
        <c:axId val="183493760"/>
        <c:scaling>
          <c:orientation val="minMax"/>
        </c:scaling>
        <c:axPos val="l"/>
        <c:majorGridlines>
          <c:spPr>
            <a:ln>
              <a:noFill/>
            </a:ln>
          </c:spPr>
        </c:majorGridlines>
        <c:numFmt formatCode="#,##0" sourceLinked="1"/>
        <c:tickLblPos val="nextTo"/>
        <c:crossAx val="183483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327009.4690340464</c:v>
                </c:pt>
                <c:pt idx="1">
                  <c:v>195910.503301858</c:v>
                </c:pt>
                <c:pt idx="2">
                  <c:v>3009.0720000000001</c:v>
                </c:pt>
                <c:pt idx="3">
                  <c:v>14817.623082014808</c:v>
                </c:pt>
                <c:pt idx="4">
                  <c:v>185563.84840114863</c:v>
                </c:pt>
                <c:pt idx="5">
                  <c:v>208850.74386742534</c:v>
                </c:pt>
                <c:pt idx="6">
                  <c:v>3956.6634018554155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59332.63558042128</c:v>
                </c:pt>
                <c:pt idx="1">
                  <c:v>38761.334049778445</c:v>
                </c:pt>
                <c:pt idx="2">
                  <c:v>565.49294073119302</c:v>
                </c:pt>
                <c:pt idx="3">
                  <c:v>3271.6106760868061</c:v>
                </c:pt>
                <c:pt idx="4">
                  <c:v>34788.418118463764</c:v>
                </c:pt>
                <c:pt idx="5">
                  <c:v>52268.739739492026</c:v>
                </c:pt>
                <c:pt idx="6">
                  <c:v>999.65323745360604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59332.63558042128</c:v>
                </c:pt>
                <c:pt idx="1">
                  <c:v>38761.334049778445</c:v>
                </c:pt>
                <c:pt idx="2">
                  <c:v>565.49294073119302</c:v>
                </c:pt>
                <c:pt idx="3">
                  <c:v>3271.6106760868061</c:v>
                </c:pt>
                <c:pt idx="4">
                  <c:v>34788.418118463764</c:v>
                </c:pt>
                <c:pt idx="5">
                  <c:v>52268.739739492026</c:v>
                </c:pt>
                <c:pt idx="6">
                  <c:v>999.65323745360604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42006</v>
      </c>
      <c r="B6" s="415"/>
      <c r="C6" s="416"/>
    </row>
    <row r="7" spans="1:7" s="413" customFormat="1" ht="15.75" customHeight="1">
      <c r="A7" s="417" t="str">
        <f>txtMunicipality</f>
        <v>DENDERMONDE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19837</v>
      </c>
      <c r="C9" s="342">
        <v>20245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2094.65</v>
      </c>
    </row>
    <row r="15" spans="1:6">
      <c r="A15" s="348" t="s">
        <v>184</v>
      </c>
      <c r="B15" s="334">
        <v>515</v>
      </c>
    </row>
    <row r="16" spans="1:6">
      <c r="A16" s="348" t="s">
        <v>6</v>
      </c>
      <c r="B16" s="334">
        <v>752</v>
      </c>
    </row>
    <row r="17" spans="1:6">
      <c r="A17" s="348" t="s">
        <v>7</v>
      </c>
      <c r="B17" s="334">
        <v>926</v>
      </c>
    </row>
    <row r="18" spans="1:6">
      <c r="A18" s="348" t="s">
        <v>8</v>
      </c>
      <c r="B18" s="334">
        <v>1134</v>
      </c>
    </row>
    <row r="19" spans="1:6">
      <c r="A19" s="348" t="s">
        <v>9</v>
      </c>
      <c r="B19" s="334">
        <v>1044</v>
      </c>
    </row>
    <row r="20" spans="1:6">
      <c r="A20" s="348" t="s">
        <v>10</v>
      </c>
      <c r="B20" s="334">
        <v>836</v>
      </c>
    </row>
    <row r="21" spans="1:6">
      <c r="A21" s="348" t="s">
        <v>11</v>
      </c>
      <c r="B21" s="334">
        <v>0</v>
      </c>
    </row>
    <row r="22" spans="1:6">
      <c r="A22" s="348" t="s">
        <v>12</v>
      </c>
      <c r="B22" s="334">
        <v>3772</v>
      </c>
    </row>
    <row r="23" spans="1:6">
      <c r="A23" s="348" t="s">
        <v>13</v>
      </c>
      <c r="B23" s="334">
        <v>0</v>
      </c>
    </row>
    <row r="24" spans="1:6">
      <c r="A24" s="348" t="s">
        <v>14</v>
      </c>
      <c r="B24" s="334">
        <v>0</v>
      </c>
    </row>
    <row r="25" spans="1:6">
      <c r="A25" s="348" t="s">
        <v>15</v>
      </c>
      <c r="B25" s="334">
        <v>0</v>
      </c>
    </row>
    <row r="26" spans="1:6">
      <c r="A26" s="348" t="s">
        <v>16</v>
      </c>
      <c r="B26" s="334">
        <v>844</v>
      </c>
    </row>
    <row r="27" spans="1:6">
      <c r="A27" s="348" t="s">
        <v>17</v>
      </c>
      <c r="B27" s="334">
        <v>0</v>
      </c>
    </row>
    <row r="28" spans="1:6" s="356" customFormat="1">
      <c r="A28" s="355" t="s">
        <v>18</v>
      </c>
      <c r="B28" s="355">
        <v>78724</v>
      </c>
    </row>
    <row r="29" spans="1:6">
      <c r="A29" s="355" t="s">
        <v>744</v>
      </c>
      <c r="B29" s="355">
        <v>327</v>
      </c>
      <c r="C29" s="356"/>
      <c r="D29" s="356"/>
      <c r="E29" s="356"/>
      <c r="F29" s="356"/>
    </row>
    <row r="30" spans="1:6">
      <c r="A30" s="341" t="s">
        <v>745</v>
      </c>
      <c r="B30" s="341">
        <v>61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3021694.0767164198</v>
      </c>
      <c r="E36" s="334">
        <v>5</v>
      </c>
      <c r="F36" s="334">
        <v>14726.167619891001</v>
      </c>
    </row>
    <row r="37" spans="1:6">
      <c r="A37" s="348" t="s">
        <v>25</v>
      </c>
      <c r="B37" s="348" t="s">
        <v>28</v>
      </c>
      <c r="C37" s="334">
        <v>0</v>
      </c>
      <c r="D37" s="334">
        <v>0</v>
      </c>
      <c r="E37" s="334">
        <v>0</v>
      </c>
      <c r="F37" s="334">
        <v>0</v>
      </c>
    </row>
    <row r="38" spans="1:6">
      <c r="A38" s="348" t="s">
        <v>25</v>
      </c>
      <c r="B38" s="348" t="s">
        <v>29</v>
      </c>
      <c r="C38" s="334">
        <v>0</v>
      </c>
      <c r="D38" s="334">
        <v>0</v>
      </c>
      <c r="E38" s="334">
        <v>4</v>
      </c>
      <c r="F38" s="334">
        <v>63807.938012400002</v>
      </c>
    </row>
    <row r="39" spans="1:6">
      <c r="A39" s="348" t="s">
        <v>30</v>
      </c>
      <c r="B39" s="348" t="s">
        <v>31</v>
      </c>
      <c r="C39" s="334">
        <v>15021</v>
      </c>
      <c r="D39" s="334">
        <v>228911984.118552</v>
      </c>
      <c r="E39" s="334">
        <v>19853</v>
      </c>
      <c r="F39" s="334">
        <v>66185193.653364003</v>
      </c>
    </row>
    <row r="40" spans="1:6">
      <c r="A40" s="348" t="s">
        <v>30</v>
      </c>
      <c r="B40" s="348" t="s">
        <v>29</v>
      </c>
      <c r="C40" s="334">
        <v>0</v>
      </c>
      <c r="D40" s="334">
        <v>0</v>
      </c>
      <c r="E40" s="334">
        <v>0</v>
      </c>
      <c r="F40" s="334">
        <v>0</v>
      </c>
    </row>
    <row r="41" spans="1:6">
      <c r="A41" s="348" t="s">
        <v>32</v>
      </c>
      <c r="B41" s="348" t="s">
        <v>33</v>
      </c>
      <c r="C41" s="334">
        <v>187</v>
      </c>
      <c r="D41" s="334">
        <v>4770509.2265965296</v>
      </c>
      <c r="E41" s="334">
        <v>375</v>
      </c>
      <c r="F41" s="334">
        <v>12525333.4098635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6926527.8705504797</v>
      </c>
      <c r="E44" s="334">
        <v>33</v>
      </c>
      <c r="F44" s="334">
        <v>9976644.0703793596</v>
      </c>
    </row>
    <row r="45" spans="1:6">
      <c r="A45" s="348" t="s">
        <v>32</v>
      </c>
      <c r="B45" s="348" t="s">
        <v>37</v>
      </c>
      <c r="C45" s="334">
        <v>0</v>
      </c>
      <c r="D45" s="334">
        <v>0</v>
      </c>
      <c r="E45" s="334">
        <v>5</v>
      </c>
      <c r="F45" s="334">
        <v>176584.27157091201</v>
      </c>
    </row>
    <row r="46" spans="1:6">
      <c r="A46" s="348" t="s">
        <v>32</v>
      </c>
      <c r="B46" s="348" t="s">
        <v>38</v>
      </c>
      <c r="C46" s="334">
        <v>0</v>
      </c>
      <c r="D46" s="334">
        <v>0</v>
      </c>
      <c r="E46" s="334">
        <v>0</v>
      </c>
      <c r="F46" s="334">
        <v>0</v>
      </c>
    </row>
    <row r="47" spans="1:6">
      <c r="A47" s="348" t="s">
        <v>32</v>
      </c>
      <c r="B47" s="348" t="s">
        <v>39</v>
      </c>
      <c r="C47" s="334">
        <v>16</v>
      </c>
      <c r="D47" s="334">
        <v>2837905.54665385</v>
      </c>
      <c r="E47" s="334">
        <v>19</v>
      </c>
      <c r="F47" s="334">
        <v>581418.90776705602</v>
      </c>
    </row>
    <row r="48" spans="1:6">
      <c r="A48" s="348" t="s">
        <v>32</v>
      </c>
      <c r="B48" s="348" t="s">
        <v>29</v>
      </c>
      <c r="C48" s="334">
        <v>48</v>
      </c>
      <c r="D48" s="334">
        <v>57693982.021943003</v>
      </c>
      <c r="E48" s="334">
        <v>56</v>
      </c>
      <c r="F48" s="334">
        <v>36542374.918135397</v>
      </c>
    </row>
    <row r="49" spans="1:6">
      <c r="A49" s="348" t="s">
        <v>32</v>
      </c>
      <c r="B49" s="348" t="s">
        <v>40</v>
      </c>
      <c r="C49" s="334">
        <v>0</v>
      </c>
      <c r="D49" s="334">
        <v>0</v>
      </c>
      <c r="E49" s="334">
        <v>0</v>
      </c>
      <c r="F49" s="334">
        <v>0</v>
      </c>
    </row>
    <row r="50" spans="1:6">
      <c r="A50" s="348" t="s">
        <v>32</v>
      </c>
      <c r="B50" s="348" t="s">
        <v>41</v>
      </c>
      <c r="C50" s="334">
        <v>28</v>
      </c>
      <c r="D50" s="334">
        <v>6692738.9708046997</v>
      </c>
      <c r="E50" s="334">
        <v>55</v>
      </c>
      <c r="F50" s="334">
        <v>14229358.1414974</v>
      </c>
    </row>
    <row r="51" spans="1:6">
      <c r="A51" s="348" t="s">
        <v>42</v>
      </c>
      <c r="B51" s="348" t="s">
        <v>43</v>
      </c>
      <c r="C51" s="334">
        <v>13</v>
      </c>
      <c r="D51" s="334">
        <v>234335.80038613701</v>
      </c>
      <c r="E51" s="334">
        <v>77</v>
      </c>
      <c r="F51" s="334">
        <v>841235.02072974702</v>
      </c>
    </row>
    <row r="52" spans="1:6">
      <c r="A52" s="348" t="s">
        <v>42</v>
      </c>
      <c r="B52" s="348" t="s">
        <v>29</v>
      </c>
      <c r="C52" s="334">
        <v>8</v>
      </c>
      <c r="D52" s="334">
        <v>2489353.3017635499</v>
      </c>
      <c r="E52" s="334">
        <v>8</v>
      </c>
      <c r="F52" s="334">
        <v>146671.276851745</v>
      </c>
    </row>
    <row r="53" spans="1:6">
      <c r="A53" s="348" t="s">
        <v>44</v>
      </c>
      <c r="B53" s="348" t="s">
        <v>45</v>
      </c>
      <c r="C53" s="334">
        <v>369</v>
      </c>
      <c r="D53" s="334">
        <v>7769487.9319204995</v>
      </c>
      <c r="E53" s="334">
        <v>720</v>
      </c>
      <c r="F53" s="334">
        <v>2754634.7094330299</v>
      </c>
    </row>
    <row r="54" spans="1:6">
      <c r="A54" s="348" t="s">
        <v>46</v>
      </c>
      <c r="B54" s="348" t="s">
        <v>47</v>
      </c>
      <c r="C54" s="334">
        <v>0</v>
      </c>
      <c r="D54" s="334">
        <v>0</v>
      </c>
      <c r="E54" s="334">
        <v>1</v>
      </c>
      <c r="F54" s="334">
        <v>3009072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177</v>
      </c>
      <c r="D57" s="334">
        <v>16611419.287499901</v>
      </c>
      <c r="E57" s="334">
        <v>378</v>
      </c>
      <c r="F57" s="334">
        <v>11746847.9165681</v>
      </c>
    </row>
    <row r="58" spans="1:6">
      <c r="A58" s="348" t="s">
        <v>49</v>
      </c>
      <c r="B58" s="348" t="s">
        <v>51</v>
      </c>
      <c r="C58" s="334">
        <v>84</v>
      </c>
      <c r="D58" s="334">
        <v>19868840.683655001</v>
      </c>
      <c r="E58" s="334">
        <v>129</v>
      </c>
      <c r="F58" s="334">
        <v>7803217.6600298705</v>
      </c>
    </row>
    <row r="59" spans="1:6">
      <c r="A59" s="348" t="s">
        <v>49</v>
      </c>
      <c r="B59" s="348" t="s">
        <v>52</v>
      </c>
      <c r="C59" s="334">
        <v>373</v>
      </c>
      <c r="D59" s="334">
        <v>20726522.4036441</v>
      </c>
      <c r="E59" s="334">
        <v>593</v>
      </c>
      <c r="F59" s="334">
        <v>26645527.606910098</v>
      </c>
    </row>
    <row r="60" spans="1:6">
      <c r="A60" s="348" t="s">
        <v>49</v>
      </c>
      <c r="B60" s="348" t="s">
        <v>53</v>
      </c>
      <c r="C60" s="334">
        <v>199</v>
      </c>
      <c r="D60" s="334">
        <v>8103304.8444144102</v>
      </c>
      <c r="E60" s="334">
        <v>240</v>
      </c>
      <c r="F60" s="334">
        <v>5404188.4465566203</v>
      </c>
    </row>
    <row r="61" spans="1:6">
      <c r="A61" s="348" t="s">
        <v>49</v>
      </c>
      <c r="B61" s="348" t="s">
        <v>54</v>
      </c>
      <c r="C61" s="334">
        <v>472</v>
      </c>
      <c r="D61" s="334">
        <v>19237884.115395602</v>
      </c>
      <c r="E61" s="334">
        <v>930</v>
      </c>
      <c r="F61" s="334">
        <v>10235857.0601101</v>
      </c>
    </row>
    <row r="62" spans="1:6">
      <c r="A62" s="348" t="s">
        <v>49</v>
      </c>
      <c r="B62" s="348" t="s">
        <v>55</v>
      </c>
      <c r="C62" s="334">
        <v>51</v>
      </c>
      <c r="D62" s="334">
        <v>8846731.1323970202</v>
      </c>
      <c r="E62" s="334">
        <v>55</v>
      </c>
      <c r="F62" s="334">
        <v>2427767.9046712299</v>
      </c>
    </row>
    <row r="63" spans="1:6">
      <c r="A63" s="348" t="s">
        <v>49</v>
      </c>
      <c r="B63" s="348" t="s">
        <v>29</v>
      </c>
      <c r="C63" s="334">
        <v>101</v>
      </c>
      <c r="D63" s="334">
        <v>26446322.613926999</v>
      </c>
      <c r="E63" s="334">
        <v>95</v>
      </c>
      <c r="F63" s="334">
        <v>4539101.0145084104</v>
      </c>
    </row>
    <row r="64" spans="1:6">
      <c r="A64" s="348" t="s">
        <v>56</v>
      </c>
      <c r="B64" s="348" t="s">
        <v>57</v>
      </c>
      <c r="C64" s="334">
        <v>0</v>
      </c>
      <c r="D64" s="334">
        <v>0</v>
      </c>
      <c r="E64" s="334">
        <v>0</v>
      </c>
      <c r="F64" s="334">
        <v>0</v>
      </c>
    </row>
    <row r="65" spans="1:6">
      <c r="A65" s="348" t="s">
        <v>56</v>
      </c>
      <c r="B65" s="348" t="s">
        <v>29</v>
      </c>
      <c r="C65" s="334">
        <v>4</v>
      </c>
      <c r="D65" s="334">
        <v>154484.91191784799</v>
      </c>
      <c r="E65" s="334">
        <v>10</v>
      </c>
      <c r="F65" s="334">
        <v>59643.540203963501</v>
      </c>
    </row>
    <row r="66" spans="1:6">
      <c r="A66" s="348" t="s">
        <v>56</v>
      </c>
      <c r="B66" s="348" t="s">
        <v>58</v>
      </c>
      <c r="C66" s="334">
        <v>4</v>
      </c>
      <c r="D66" s="334">
        <v>411605.52383691299</v>
      </c>
      <c r="E66" s="334">
        <v>23</v>
      </c>
      <c r="F66" s="334">
        <v>450742.33180158399</v>
      </c>
    </row>
    <row r="67" spans="1:6">
      <c r="A67" s="355" t="s">
        <v>56</v>
      </c>
      <c r="B67" s="355" t="s">
        <v>59</v>
      </c>
      <c r="C67" s="334">
        <v>0</v>
      </c>
      <c r="D67" s="334">
        <v>0</v>
      </c>
      <c r="E67" s="334">
        <v>0</v>
      </c>
      <c r="F67" s="334">
        <v>0</v>
      </c>
    </row>
    <row r="68" spans="1:6">
      <c r="A68" s="341" t="s">
        <v>56</v>
      </c>
      <c r="B68" s="341" t="s">
        <v>60</v>
      </c>
      <c r="C68" s="334">
        <v>17</v>
      </c>
      <c r="D68" s="334">
        <v>4416906.2705468303</v>
      </c>
      <c r="E68" s="334">
        <v>25</v>
      </c>
      <c r="F68" s="334">
        <v>3067013.4200785998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174810636</v>
      </c>
      <c r="E73" s="476">
        <v>179766559.4539794</v>
      </c>
    </row>
    <row r="74" spans="1:6">
      <c r="A74" s="348" t="s">
        <v>64</v>
      </c>
      <c r="B74" s="348" t="s">
        <v>657</v>
      </c>
      <c r="C74" s="1272" t="s">
        <v>659</v>
      </c>
      <c r="D74" s="476">
        <v>18677141.379334081</v>
      </c>
      <c r="E74" s="476">
        <v>20189663.07806731</v>
      </c>
    </row>
    <row r="75" spans="1:6">
      <c r="A75" s="348" t="s">
        <v>65</v>
      </c>
      <c r="B75" s="348" t="s">
        <v>656</v>
      </c>
      <c r="C75" s="1272" t="s">
        <v>660</v>
      </c>
      <c r="D75" s="476">
        <v>52805087</v>
      </c>
      <c r="E75" s="476">
        <v>53743326.00966312</v>
      </c>
    </row>
    <row r="76" spans="1:6">
      <c r="A76" s="348" t="s">
        <v>65</v>
      </c>
      <c r="B76" s="348" t="s">
        <v>657</v>
      </c>
      <c r="C76" s="1272" t="s">
        <v>661</v>
      </c>
      <c r="D76" s="476">
        <v>1936941.3793340828</v>
      </c>
      <c r="E76" s="476">
        <v>2127159.572202635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1073113.2413318346</v>
      </c>
      <c r="C83" s="476">
        <v>1068992.7395479092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15328.946564455178</v>
      </c>
    </row>
    <row r="91" spans="1:6">
      <c r="A91" s="348" t="s">
        <v>68</v>
      </c>
      <c r="B91" s="334">
        <v>7138.4436049502183</v>
      </c>
    </row>
    <row r="92" spans="1:6">
      <c r="A92" s="341" t="s">
        <v>69</v>
      </c>
      <c r="B92" s="342">
        <v>8918.9574745619229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59</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215</v>
      </c>
    </row>
    <row r="130" spans="1:6">
      <c r="A130" s="348" t="s">
        <v>295</v>
      </c>
      <c r="B130" s="334">
        <v>3</v>
      </c>
    </row>
    <row r="131" spans="1:6">
      <c r="A131" s="348" t="s">
        <v>296</v>
      </c>
      <c r="B131" s="334">
        <v>3</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225158.38166408997</v>
      </c>
      <c r="C3" s="43" t="s">
        <v>170</v>
      </c>
      <c r="D3" s="43"/>
      <c r="E3" s="154"/>
      <c r="F3" s="43"/>
      <c r="G3" s="43"/>
      <c r="H3" s="43"/>
      <c r="I3" s="43"/>
      <c r="J3" s="43"/>
      <c r="K3" s="96"/>
    </row>
    <row r="4" spans="1:11">
      <c r="A4" s="383" t="s">
        <v>171</v>
      </c>
      <c r="B4" s="49">
        <f>IF(ISERROR('SEAP template'!B69),0,'SEAP template'!B69)</f>
        <v>36354.347643967318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588.17647058823525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0.18792934856035115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3612.8571428571431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0.23257274440025119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3009.0720000000001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3009.0720000000001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0.18792934856035115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565.49294073119302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66185.193653363996</v>
      </c>
      <c r="C5" s="17">
        <f>IF(ISERROR('Eigen informatie GS &amp; warmtenet'!B57),0,'Eigen informatie GS &amp; warmtenet'!B57)</f>
        <v>0</v>
      </c>
      <c r="D5" s="30">
        <f>(SUM(HH_hh_gas_kWh,HH_rest_gas_kWh)/1000)*0.902</f>
        <v>206478.60967493392</v>
      </c>
      <c r="E5" s="17">
        <f>B46*B57</f>
        <v>10204.745280534447</v>
      </c>
      <c r="F5" s="17">
        <f>B51*B62</f>
        <v>0</v>
      </c>
      <c r="G5" s="18"/>
      <c r="H5" s="17"/>
      <c r="I5" s="17"/>
      <c r="J5" s="17">
        <f>B50*B61+C50*C61</f>
        <v>4315.8640208271818</v>
      </c>
      <c r="K5" s="17"/>
      <c r="L5" s="17"/>
      <c r="M5" s="17"/>
      <c r="N5" s="17">
        <f>B48*B59+C48*C59</f>
        <v>30250.006132770006</v>
      </c>
      <c r="O5" s="17">
        <f>B69*B70*B71</f>
        <v>434.60666666666674</v>
      </c>
      <c r="P5" s="17">
        <f>B77*B78*B79/1000-B77*B78*B79/1000/B80</f>
        <v>2002</v>
      </c>
    </row>
    <row r="6" spans="1:16">
      <c r="A6" s="16" t="s">
        <v>621</v>
      </c>
      <c r="B6" s="843">
        <f>kWh_PV_kleiner_dan_10kW</f>
        <v>7138.4436049502183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73323.637258314207</v>
      </c>
      <c r="C8" s="21">
        <f>C5</f>
        <v>0</v>
      </c>
      <c r="D8" s="21">
        <f>D5</f>
        <v>206478.60967493392</v>
      </c>
      <c r="E8" s="21">
        <f>E5</f>
        <v>10204.745280534447</v>
      </c>
      <c r="F8" s="21">
        <f>F5</f>
        <v>0</v>
      </c>
      <c r="G8" s="21"/>
      <c r="H8" s="21"/>
      <c r="I8" s="21"/>
      <c r="J8" s="21">
        <f>J5</f>
        <v>4315.8640208271818</v>
      </c>
      <c r="K8" s="21"/>
      <c r="L8" s="21">
        <f>L5</f>
        <v>0</v>
      </c>
      <c r="M8" s="21">
        <f>M5</f>
        <v>0</v>
      </c>
      <c r="N8" s="21">
        <f>N5</f>
        <v>30250.006132770006</v>
      </c>
      <c r="O8" s="21">
        <f>O5</f>
        <v>434.60666666666674</v>
      </c>
      <c r="P8" s="21">
        <f>P5</f>
        <v>2002</v>
      </c>
    </row>
    <row r="9" spans="1:16">
      <c r="B9" s="19"/>
      <c r="C9" s="19"/>
      <c r="D9" s="258"/>
      <c r="E9" s="19"/>
      <c r="F9" s="19"/>
      <c r="G9" s="19"/>
      <c r="H9" s="19"/>
      <c r="I9" s="19"/>
      <c r="J9" s="19"/>
      <c r="K9" s="19"/>
      <c r="L9" s="19"/>
      <c r="M9" s="19"/>
      <c r="N9" s="19"/>
      <c r="O9" s="19"/>
      <c r="P9" s="19"/>
    </row>
    <row r="10" spans="1:16">
      <c r="A10" s="24" t="s">
        <v>214</v>
      </c>
      <c r="B10" s="25">
        <f ca="1">'EF ele_warmte'!B12</f>
        <v>0.18792934856035115</v>
      </c>
      <c r="C10" s="25">
        <f ca="1">'EF ele_warmte'!B22</f>
        <v>0.23257274440025119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13779.66338403048</v>
      </c>
      <c r="C12" s="23">
        <f ca="1">C10*C8</f>
        <v>0</v>
      </c>
      <c r="D12" s="23">
        <f>D8*D10</f>
        <v>41708.679154336656</v>
      </c>
      <c r="E12" s="23">
        <f>E10*E8</f>
        <v>2316.4771786813199</v>
      </c>
      <c r="F12" s="23">
        <f>F10*F8</f>
        <v>0</v>
      </c>
      <c r="G12" s="23"/>
      <c r="H12" s="23"/>
      <c r="I12" s="23"/>
      <c r="J12" s="23">
        <f>J10*J8</f>
        <v>1527.8158633728224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794</v>
      </c>
      <c r="B28" s="37">
        <f>aantalHuishoudens2011</f>
        <v>19837</v>
      </c>
      <c r="C28" s="36"/>
      <c r="D28" s="228"/>
    </row>
    <row r="29" spans="1:7" s="15" customFormat="1">
      <c r="A29" s="230" t="s">
        <v>795</v>
      </c>
      <c r="B29" s="37">
        <f>SUM(HH_hh_gas_aantal,HH_rest_gas_aantal)</f>
        <v>15021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15021</v>
      </c>
      <c r="C32" s="167">
        <f>IF(ISERROR(B32/SUM($B$32,$B$34,$B$35,$B$36,$B$38,$B$39)*100),0,B32/SUM($B$32,$B$34,$B$35,$B$36,$B$38,$B$39)*100)</f>
        <v>76.125076018649892</v>
      </c>
      <c r="D32" s="233"/>
      <c r="G32" s="15"/>
    </row>
    <row r="33" spans="1:7">
      <c r="A33" s="171" t="s">
        <v>72</v>
      </c>
      <c r="B33" s="34" t="s">
        <v>111</v>
      </c>
      <c r="C33" s="167"/>
      <c r="D33" s="233"/>
      <c r="G33" s="15"/>
    </row>
    <row r="34" spans="1:7">
      <c r="A34" s="171" t="s">
        <v>73</v>
      </c>
      <c r="B34" s="33">
        <f>IF((($B$28-$B$32-$B$39-$B$77-$B$38)*C20/100)&lt;0,0,($B$28-$B$32-$B$39-$B$77-$B$38)*C20/100)</f>
        <v>481.95985083903048</v>
      </c>
      <c r="C34" s="167">
        <f>IF(ISERROR(B34/SUM($B$32,$B$34,$B$35,$B$36,$B$38,$B$39)*100),0,B34/SUM($B$32,$B$34,$B$35,$B$36,$B$38,$B$39)*100)</f>
        <v>2.4425291447345954</v>
      </c>
      <c r="D34" s="233"/>
      <c r="G34" s="15"/>
    </row>
    <row r="35" spans="1:7">
      <c r="A35" s="171" t="s">
        <v>74</v>
      </c>
      <c r="B35" s="33">
        <f>IF((($B$28-$B$32-$B$39-$B$77-$B$38)*C21/100)&lt;0,0,($B$28-$B$32-$B$39-$B$77-$B$38)*C21/100)</f>
        <v>3687.4206339341208</v>
      </c>
      <c r="C35" s="167">
        <f>IF(ISERROR(B35/SUM($B$32,$B$34,$B$35,$B$36,$B$38,$B$39)*100),0,B35/SUM($B$32,$B$34,$B$35,$B$36,$B$38,$B$39)*100)</f>
        <v>18.687515882496047</v>
      </c>
      <c r="D35" s="233"/>
      <c r="G35" s="15"/>
    </row>
    <row r="36" spans="1:7">
      <c r="A36" s="171" t="s">
        <v>75</v>
      </c>
      <c r="B36" s="33">
        <f>IF((($B$28-$B$32-$B$39-$B$77-$B$38)*C22/100)&lt;0,0,($B$28-$B$32-$B$39-$B$77-$B$38)*C22/100)</f>
        <v>419.21951522684901</v>
      </c>
      <c r="C36" s="167">
        <f>IF(ISERROR(B36/SUM($B$32,$B$34,$B$35,$B$36,$B$38,$B$39)*100),0,B36/SUM($B$32,$B$34,$B$35,$B$36,$B$38,$B$39)*100)</f>
        <v>2.1245667708638201</v>
      </c>
      <c r="D36" s="233"/>
      <c r="G36" s="15"/>
    </row>
    <row r="37" spans="1:7">
      <c r="A37" s="171" t="s">
        <v>76</v>
      </c>
      <c r="B37" s="34" t="s">
        <v>111</v>
      </c>
      <c r="C37" s="167"/>
      <c r="D37" s="173"/>
      <c r="G37" s="15"/>
    </row>
    <row r="38" spans="1:7">
      <c r="A38" s="171" t="s">
        <v>77</v>
      </c>
      <c r="B38" s="33">
        <f>IF((B24-(B29-B18)*0.1)&lt;0,0,B24-(B29-B18)*0.1)</f>
        <v>122.39999999999998</v>
      </c>
      <c r="C38" s="167">
        <f>IF(ISERROR(B38/SUM($B$32,$B$34,$B$35,$B$36,$B$38,$B$39)*100),0,B38/SUM($B$32,$B$34,$B$35,$B$36,$B$38,$B$39)*100)</f>
        <v>0.62031218325562509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15021</v>
      </c>
      <c r="C44" s="34" t="s">
        <v>111</v>
      </c>
      <c r="D44" s="174"/>
    </row>
    <row r="45" spans="1:7">
      <c r="A45" s="171" t="s">
        <v>72</v>
      </c>
      <c r="B45" s="33" t="str">
        <f t="shared" si="0"/>
        <v>-</v>
      </c>
      <c r="C45" s="34" t="s">
        <v>111</v>
      </c>
      <c r="D45" s="174"/>
    </row>
    <row r="46" spans="1:7">
      <c r="A46" s="171" t="s">
        <v>73</v>
      </c>
      <c r="B46" s="33">
        <f t="shared" si="0"/>
        <v>481.95985083903048</v>
      </c>
      <c r="C46" s="34" t="s">
        <v>111</v>
      </c>
      <c r="D46" s="174"/>
    </row>
    <row r="47" spans="1:7">
      <c r="A47" s="171" t="s">
        <v>74</v>
      </c>
      <c r="B47" s="33">
        <f t="shared" si="0"/>
        <v>3687.4206339341208</v>
      </c>
      <c r="C47" s="34" t="s">
        <v>111</v>
      </c>
      <c r="D47" s="174"/>
    </row>
    <row r="48" spans="1:7">
      <c r="A48" s="171" t="s">
        <v>75</v>
      </c>
      <c r="B48" s="33">
        <f t="shared" si="0"/>
        <v>419.21951522684901</v>
      </c>
      <c r="C48" s="33">
        <f>B48*10</f>
        <v>4192.1951522684903</v>
      </c>
      <c r="D48" s="234"/>
    </row>
    <row r="49" spans="1:6">
      <c r="A49" s="171" t="s">
        <v>76</v>
      </c>
      <c r="B49" s="33" t="str">
        <f t="shared" si="0"/>
        <v>-</v>
      </c>
      <c r="C49" s="34" t="s">
        <v>111</v>
      </c>
      <c r="D49" s="234"/>
    </row>
    <row r="50" spans="1:6">
      <c r="A50" s="171" t="s">
        <v>77</v>
      </c>
      <c r="B50" s="33">
        <f t="shared" si="0"/>
        <v>122.39999999999998</v>
      </c>
      <c r="C50" s="33">
        <f>B50*2</f>
        <v>244.79999999999995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68802.507609354419</v>
      </c>
      <c r="C5" s="17">
        <f>IF(ISERROR('Eigen informatie GS &amp; warmtenet'!B58),0,'Eigen informatie GS &amp; warmtenet'!B58)</f>
        <v>0</v>
      </c>
      <c r="D5" s="30">
        <f>SUM(D6:D12)</f>
        <v>108096.60462300159</v>
      </c>
      <c r="E5" s="17">
        <f>SUM(E6:E12)</f>
        <v>1151.3691990157083</v>
      </c>
      <c r="F5" s="17">
        <f>SUM(F6:F12)</f>
        <v>12797.705984803843</v>
      </c>
      <c r="G5" s="18"/>
      <c r="H5" s="17"/>
      <c r="I5" s="17"/>
      <c r="J5" s="17">
        <f>SUM(J6:J12)</f>
        <v>0.26596956955402828</v>
      </c>
      <c r="K5" s="17"/>
      <c r="L5" s="17"/>
      <c r="M5" s="17"/>
      <c r="N5" s="17">
        <f>SUM(N6:N12)</f>
        <v>10590.445630398575</v>
      </c>
      <c r="O5" s="17">
        <f>B38*B39*B40</f>
        <v>4.6900000000000004</v>
      </c>
      <c r="P5" s="17">
        <f>B46*B47*B48/1000-B46*B47*B48/1000/B49</f>
        <v>57.2</v>
      </c>
      <c r="R5" s="32"/>
    </row>
    <row r="6" spans="1:18">
      <c r="A6" s="32" t="s">
        <v>54</v>
      </c>
      <c r="B6" s="37">
        <f>B26</f>
        <v>10235.8570601101</v>
      </c>
      <c r="C6" s="33"/>
      <c r="D6" s="37">
        <f>IF(ISERROR(TER_kantoor_gas_kWh/1000),0,TER_kantoor_gas_kWh/1000)*0.902</f>
        <v>17352.571472086835</v>
      </c>
      <c r="E6" s="33">
        <f>$C$26*'E Balans VL '!I12/100/3.6*1000000</f>
        <v>6.4154947660046535E-2</v>
      </c>
      <c r="F6" s="33">
        <f>$C$26*('E Balans VL '!L12+'E Balans VL '!N12)/100/3.6*1000000</f>
        <v>1538.1632990097589</v>
      </c>
      <c r="G6" s="34"/>
      <c r="H6" s="33"/>
      <c r="I6" s="33"/>
      <c r="J6" s="33">
        <f>$C$26*('E Balans VL '!D12+'E Balans VL '!E12)/100/3.6*1000000</f>
        <v>0</v>
      </c>
      <c r="K6" s="33"/>
      <c r="L6" s="33"/>
      <c r="M6" s="33"/>
      <c r="N6" s="33">
        <f>$C$26*'E Balans VL '!Y12/100/3.6*1000000</f>
        <v>9.7890796456348497</v>
      </c>
      <c r="O6" s="33"/>
      <c r="P6" s="33"/>
      <c r="R6" s="32"/>
    </row>
    <row r="7" spans="1:18">
      <c r="A7" s="32" t="s">
        <v>53</v>
      </c>
      <c r="B7" s="37">
        <f t="shared" ref="B7:B12" si="0">B27</f>
        <v>5404.18844655662</v>
      </c>
      <c r="C7" s="33"/>
      <c r="D7" s="37">
        <f>IF(ISERROR(TER_horeca_gas_kWh/1000),0,TER_horeca_gas_kWh/1000)*0.902</f>
        <v>7309.1809696617984</v>
      </c>
      <c r="E7" s="33">
        <f>$C$27*'E Balans VL '!I9/100/3.6*1000000</f>
        <v>77.387078388735574</v>
      </c>
      <c r="F7" s="33">
        <f>$C$27*('E Balans VL '!L9+'E Balans VL '!N9)/100/3.6*1000000</f>
        <v>684.34849433577006</v>
      </c>
      <c r="G7" s="34"/>
      <c r="H7" s="33"/>
      <c r="I7" s="33"/>
      <c r="J7" s="33">
        <f>$C$27*('E Balans VL '!D9+'E Balans VL '!E9)/100/3.6*1000000</f>
        <v>0</v>
      </c>
      <c r="K7" s="33"/>
      <c r="L7" s="33"/>
      <c r="M7" s="33"/>
      <c r="N7" s="33">
        <f>$C$27*'E Balans VL '!Y9/100/3.6*1000000</f>
        <v>1.5535850262577604</v>
      </c>
      <c r="O7" s="33"/>
      <c r="P7" s="33"/>
      <c r="R7" s="32"/>
    </row>
    <row r="8" spans="1:18">
      <c r="A8" s="6" t="s">
        <v>52</v>
      </c>
      <c r="B8" s="37">
        <f t="shared" si="0"/>
        <v>26645.527606910098</v>
      </c>
      <c r="C8" s="33"/>
      <c r="D8" s="37">
        <f>IF(ISERROR(TER_handel_gas_kWh/1000),0,TER_handel_gas_kWh/1000)*0.902</f>
        <v>18695.323208086978</v>
      </c>
      <c r="E8" s="33">
        <f>$C$28*'E Balans VL '!I13/100/3.6*1000000</f>
        <v>966.43000052337254</v>
      </c>
      <c r="F8" s="33">
        <f>$C$28*('E Balans VL '!L13+'E Balans VL '!N13)/100/3.6*1000000</f>
        <v>5132.1984202114509</v>
      </c>
      <c r="G8" s="34"/>
      <c r="H8" s="33"/>
      <c r="I8" s="33"/>
      <c r="J8" s="33">
        <f>$C$28*('E Balans VL '!D13+'E Balans VL '!E13)/100/3.6*1000000</f>
        <v>0</v>
      </c>
      <c r="K8" s="33"/>
      <c r="L8" s="33"/>
      <c r="M8" s="33"/>
      <c r="N8" s="33">
        <f>$C$28*'E Balans VL '!Y13/100/3.6*1000000</f>
        <v>36.910186598044561</v>
      </c>
      <c r="O8" s="33"/>
      <c r="P8" s="33"/>
      <c r="R8" s="32"/>
    </row>
    <row r="9" spans="1:18">
      <c r="A9" s="32" t="s">
        <v>51</v>
      </c>
      <c r="B9" s="37">
        <f t="shared" si="0"/>
        <v>7803.2176600298708</v>
      </c>
      <c r="C9" s="33"/>
      <c r="D9" s="37">
        <f>IF(ISERROR(TER_gezond_gas_kWh/1000),0,TER_gezond_gas_kWh/1000)*0.902</f>
        <v>17921.694296656813</v>
      </c>
      <c r="E9" s="33">
        <f>$C$29*'E Balans VL '!I10/100/3.6*1000000</f>
        <v>0.48855846837366601</v>
      </c>
      <c r="F9" s="33">
        <f>$C$29*('E Balans VL '!L10+'E Balans VL '!N10)/100/3.6*1000000</f>
        <v>1159.1917419325689</v>
      </c>
      <c r="G9" s="34"/>
      <c r="H9" s="33"/>
      <c r="I9" s="33"/>
      <c r="J9" s="33">
        <f>$C$29*('E Balans VL '!D10+'E Balans VL '!E10)/100/3.6*1000000</f>
        <v>0</v>
      </c>
      <c r="K9" s="33"/>
      <c r="L9" s="33"/>
      <c r="M9" s="33"/>
      <c r="N9" s="33">
        <f>$C$29*'E Balans VL '!Y10/100/3.6*1000000</f>
        <v>120.70092371148428</v>
      </c>
      <c r="O9" s="33"/>
      <c r="P9" s="33"/>
      <c r="R9" s="32"/>
    </row>
    <row r="10" spans="1:18">
      <c r="A10" s="32" t="s">
        <v>50</v>
      </c>
      <c r="B10" s="37">
        <f t="shared" si="0"/>
        <v>11746.8479165681</v>
      </c>
      <c r="C10" s="33"/>
      <c r="D10" s="37">
        <f>IF(ISERROR(TER_ander_gas_kWh/1000),0,TER_ander_gas_kWh/1000)*0.902</f>
        <v>14983.500197324913</v>
      </c>
      <c r="E10" s="33">
        <f>$C$30*'E Balans VL '!I14/100/3.6*1000000</f>
        <v>14.001822955131855</v>
      </c>
      <c r="F10" s="33">
        <f>$C$30*('E Balans VL '!L14+'E Balans VL '!N14)/100/3.6*1000000</f>
        <v>3073.4976388154846</v>
      </c>
      <c r="G10" s="34"/>
      <c r="H10" s="33"/>
      <c r="I10" s="33"/>
      <c r="J10" s="33">
        <f>$C$30*('E Balans VL '!D14+'E Balans VL '!E14)/100/3.6*1000000</f>
        <v>0.2549780218962911</v>
      </c>
      <c r="K10" s="33"/>
      <c r="L10" s="33"/>
      <c r="M10" s="33"/>
      <c r="N10" s="33">
        <f>$C$30*'E Balans VL '!Y14/100/3.6*1000000</f>
        <v>9975.1358094271382</v>
      </c>
      <c r="O10" s="33"/>
      <c r="P10" s="33"/>
      <c r="R10" s="32"/>
    </row>
    <row r="11" spans="1:18">
      <c r="A11" s="32" t="s">
        <v>55</v>
      </c>
      <c r="B11" s="37">
        <f t="shared" si="0"/>
        <v>2427.7679046712301</v>
      </c>
      <c r="C11" s="33"/>
      <c r="D11" s="37">
        <f>IF(ISERROR(TER_onderwijs_gas_kWh/1000),0,TER_onderwijs_gas_kWh/1000)*0.902</f>
        <v>7979.7514814221131</v>
      </c>
      <c r="E11" s="33">
        <f>$C$31*'E Balans VL '!I11/100/3.6*1000000</f>
        <v>36.631107389449923</v>
      </c>
      <c r="F11" s="33">
        <f>$C$31*('E Balans VL '!L11+'E Balans VL '!N11)/100/3.6*1000000</f>
        <v>425.38372164450999</v>
      </c>
      <c r="G11" s="34"/>
      <c r="H11" s="33"/>
      <c r="I11" s="33"/>
      <c r="J11" s="33">
        <f>$C$31*('E Balans VL '!D11+'E Balans VL '!E11)/100/3.6*1000000</f>
        <v>0</v>
      </c>
      <c r="K11" s="33"/>
      <c r="L11" s="33"/>
      <c r="M11" s="33"/>
      <c r="N11" s="33">
        <f>$C$31*'E Balans VL '!Y11/100/3.6*1000000</f>
        <v>6.8319234496895724</v>
      </c>
      <c r="O11" s="33"/>
      <c r="P11" s="33"/>
      <c r="R11" s="32"/>
    </row>
    <row r="12" spans="1:18">
      <c r="A12" s="32" t="s">
        <v>260</v>
      </c>
      <c r="B12" s="37">
        <f t="shared" si="0"/>
        <v>4539.1010145084101</v>
      </c>
      <c r="C12" s="33"/>
      <c r="D12" s="37">
        <f>IF(ISERROR(TER_rest_gas_kWh/1000),0,TER_rest_gas_kWh/1000)*0.902</f>
        <v>23854.582997762154</v>
      </c>
      <c r="E12" s="33">
        <f>$C$32*'E Balans VL '!I8/100/3.6*1000000</f>
        <v>56.366476342984726</v>
      </c>
      <c r="F12" s="33">
        <f>$C$32*('E Balans VL '!L8+'E Balans VL '!N8)/100/3.6*1000000</f>
        <v>784.92266885429933</v>
      </c>
      <c r="G12" s="34"/>
      <c r="H12" s="33"/>
      <c r="I12" s="33"/>
      <c r="J12" s="33">
        <f>$C$32*('E Balans VL '!D8+'E Balans VL '!E8)/100/3.6*1000000</f>
        <v>1.099154765773718E-2</v>
      </c>
      <c r="K12" s="33"/>
      <c r="L12" s="33"/>
      <c r="M12" s="33"/>
      <c r="N12" s="33">
        <f>$C$32*'E Balans VL '!Y8/100/3.6*1000000</f>
        <v>439.52412254032629</v>
      </c>
      <c r="O12" s="33"/>
      <c r="P12" s="33"/>
      <c r="R12" s="32"/>
    </row>
    <row r="13" spans="1:18">
      <c r="A13" s="16" t="s">
        <v>488</v>
      </c>
      <c r="B13" s="247">
        <f ca="1">'lokale energieproductie'!N90+'lokale energieproductie'!N59</f>
        <v>4914</v>
      </c>
      <c r="C13" s="247">
        <f ca="1">'lokale energieproductie'!O90+'lokale energieproductie'!O59</f>
        <v>3535.7142857142858</v>
      </c>
      <c r="D13" s="310">
        <f ca="1">('lokale energieproductie'!P59+'lokale energieproductie'!P90)*(-1)</f>
        <v>-7071.4285714285716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-6968.5714285714294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73716.507609354419</v>
      </c>
      <c r="C16" s="21">
        <f t="shared" ca="1" si="1"/>
        <v>3535.7142857142858</v>
      </c>
      <c r="D16" s="21">
        <f t="shared" ca="1" si="1"/>
        <v>101025.17605157303</v>
      </c>
      <c r="E16" s="21">
        <f t="shared" si="1"/>
        <v>1151.3691990157083</v>
      </c>
      <c r="F16" s="21">
        <f t="shared" ca="1" si="1"/>
        <v>12797.705984803843</v>
      </c>
      <c r="G16" s="21">
        <f t="shared" si="1"/>
        <v>0</v>
      </c>
      <c r="H16" s="21">
        <f t="shared" si="1"/>
        <v>0</v>
      </c>
      <c r="I16" s="21">
        <f t="shared" si="1"/>
        <v>0</v>
      </c>
      <c r="J16" s="21">
        <f t="shared" si="1"/>
        <v>0.26596956955402828</v>
      </c>
      <c r="K16" s="21">
        <f t="shared" si="1"/>
        <v>0</v>
      </c>
      <c r="L16" s="21">
        <f t="shared" ca="1" si="1"/>
        <v>0</v>
      </c>
      <c r="M16" s="21">
        <f t="shared" si="1"/>
        <v>0</v>
      </c>
      <c r="N16" s="21">
        <f t="shared" ca="1" si="1"/>
        <v>3621.874201827146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0.18792934856035115</v>
      </c>
      <c r="C18" s="25">
        <f ca="1">'EF ele_warmte'!B22</f>
        <v>0.23257274440025119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13853.495253170144</v>
      </c>
      <c r="C20" s="23">
        <f t="shared" ref="C20:P20" ca="1" si="2">C16*C18</f>
        <v>822.31077484374532</v>
      </c>
      <c r="D20" s="23">
        <f t="shared" ca="1" si="2"/>
        <v>20407.085562417753</v>
      </c>
      <c r="E20" s="23">
        <f t="shared" si="2"/>
        <v>261.3608081765658</v>
      </c>
      <c r="F20" s="23">
        <f t="shared" ca="1" si="2"/>
        <v>3416.9874979426263</v>
      </c>
      <c r="G20" s="23">
        <f t="shared" si="2"/>
        <v>0</v>
      </c>
      <c r="H20" s="23">
        <f t="shared" si="2"/>
        <v>0</v>
      </c>
      <c r="I20" s="23">
        <f t="shared" si="2"/>
        <v>0</v>
      </c>
      <c r="J20" s="23">
        <f t="shared" si="2"/>
        <v>9.4153227622126009E-2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10235.8570601101</v>
      </c>
      <c r="C26" s="39">
        <f>IF(ISERROR(B26*3.6/1000000/'E Balans VL '!Z12*100),0,B26*3.6/1000000/'E Balans VL '!Z12*100)</f>
        <v>0.21636980334338402</v>
      </c>
      <c r="D26" s="237" t="s">
        <v>754</v>
      </c>
      <c r="F26" s="6"/>
    </row>
    <row r="27" spans="1:18">
      <c r="A27" s="231" t="s">
        <v>53</v>
      </c>
      <c r="B27" s="33">
        <f>IF(ISERROR(TER_horeca_ele_kWh/1000),0,TER_horeca_ele_kWh/1000)</f>
        <v>5404.18844655662</v>
      </c>
      <c r="C27" s="39">
        <f>IF(ISERROR(B27*3.6/1000000/'E Balans VL '!Z9*100),0,B27*3.6/1000000/'E Balans VL '!Z9*100)</f>
        <v>0.42601016099819344</v>
      </c>
      <c r="D27" s="237" t="s">
        <v>754</v>
      </c>
      <c r="F27" s="6"/>
    </row>
    <row r="28" spans="1:18">
      <c r="A28" s="171" t="s">
        <v>52</v>
      </c>
      <c r="B28" s="33">
        <f>IF(ISERROR(TER_handel_ele_kWh/1000),0,TER_handel_ele_kWh/1000)</f>
        <v>26645.527606910098</v>
      </c>
      <c r="C28" s="39">
        <f>IF(ISERROR(B28*3.6/1000000/'E Balans VL '!Z13*100),0,B28*3.6/1000000/'E Balans VL '!Z13*100)</f>
        <v>0.77336087114802254</v>
      </c>
      <c r="D28" s="237" t="s">
        <v>754</v>
      </c>
      <c r="F28" s="6"/>
    </row>
    <row r="29" spans="1:18">
      <c r="A29" s="231" t="s">
        <v>51</v>
      </c>
      <c r="B29" s="33">
        <f>IF(ISERROR(TER_gezond_ele_kWh/1000),0,TER_gezond_ele_kWh/1000)</f>
        <v>7803.2176600298708</v>
      </c>
      <c r="C29" s="39">
        <f>IF(ISERROR(B29*3.6/1000000/'E Balans VL '!Z10*100),0,B29*3.6/1000000/'E Balans VL '!Z10*100)</f>
        <v>0.82180695181731833</v>
      </c>
      <c r="D29" s="237" t="s">
        <v>754</v>
      </c>
      <c r="F29" s="6"/>
    </row>
    <row r="30" spans="1:18">
      <c r="A30" s="231" t="s">
        <v>50</v>
      </c>
      <c r="B30" s="33">
        <f>IF(ISERROR(TER_ander_ele_kWh/1000),0,TER_ander_ele_kWh/1000)</f>
        <v>11746.8479165681</v>
      </c>
      <c r="C30" s="39">
        <f>IF(ISERROR(B30*3.6/1000000/'E Balans VL '!Z14*100),0,B30*3.6/1000000/'E Balans VL '!Z14*100)</f>
        <v>0.86645005372873907</v>
      </c>
      <c r="D30" s="237" t="s">
        <v>754</v>
      </c>
      <c r="F30" s="6"/>
    </row>
    <row r="31" spans="1:18">
      <c r="A31" s="231" t="s">
        <v>55</v>
      </c>
      <c r="B31" s="33">
        <f>IF(ISERROR(TER_onderwijs_ele_kWh/1000),0,TER_onderwijs_ele_kWh/1000)</f>
        <v>2427.7679046712301</v>
      </c>
      <c r="C31" s="39">
        <f>IF(ISERROR(B31*3.6/1000000/'E Balans VL '!Z11*100),0,B31*3.6/1000000/'E Balans VL '!Z11*100)</f>
        <v>0.60292849407592342</v>
      </c>
      <c r="D31" s="237" t="s">
        <v>754</v>
      </c>
    </row>
    <row r="32" spans="1:18">
      <c r="A32" s="231" t="s">
        <v>260</v>
      </c>
      <c r="B32" s="33">
        <f>IF(ISERROR(TER_rest_ele_kWh/1000),0,TER_rest_ele_kWh/1000)</f>
        <v>4539.1010145084101</v>
      </c>
      <c r="C32" s="39">
        <f>IF(ISERROR(B32*3.6/1000000/'E Balans VL '!Z8*100),0,B32*3.6/1000000/'E Balans VL '!Z8*100)</f>
        <v>3.7350776305269097E-2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74031.713719213629</v>
      </c>
      <c r="C5" s="17">
        <f>IF(ISERROR('Eigen informatie GS &amp; warmtenet'!B59),0,'Eigen informatie GS &amp; warmtenet'!B59)</f>
        <v>0</v>
      </c>
      <c r="D5" s="30">
        <f>SUM(D6:D15)</f>
        <v>71187.340600166805</v>
      </c>
      <c r="E5" s="17">
        <f>SUM(E6:E15)</f>
        <v>5806.8918081504808</v>
      </c>
      <c r="F5" s="17">
        <f>SUM(F6:F15)</f>
        <v>19218.104687797746</v>
      </c>
      <c r="G5" s="18"/>
      <c r="H5" s="17"/>
      <c r="I5" s="17"/>
      <c r="J5" s="17">
        <f>SUM(J6:J15)</f>
        <v>131.20111039457265</v>
      </c>
      <c r="K5" s="17"/>
      <c r="L5" s="17"/>
      <c r="M5" s="17"/>
      <c r="N5" s="17">
        <f>SUM(N6:N15)</f>
        <v>15188.596475425387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9976.6440703793596</v>
      </c>
      <c r="C8" s="33"/>
      <c r="D8" s="37">
        <f>IF( ISERROR(IND_metaal_Gas_kWH/1000),0,IND_metaal_Gas_kWH/1000)*0.902</f>
        <v>6247.728139236533</v>
      </c>
      <c r="E8" s="33">
        <f>C30*'E Balans VL '!I18/100/3.6*1000000</f>
        <v>91.725606692660833</v>
      </c>
      <c r="F8" s="33">
        <f>C30*'E Balans VL '!L18/100/3.6*1000000+C30*'E Balans VL '!N18/100/3.6*1000000</f>
        <v>935.47705769811751</v>
      </c>
      <c r="G8" s="34"/>
      <c r="H8" s="33"/>
      <c r="I8" s="33"/>
      <c r="J8" s="40">
        <f>C30*'E Balans VL '!D18/100/3.6*1000000+C30*'E Balans VL '!E18/100/3.6*1000000</f>
        <v>0</v>
      </c>
      <c r="K8" s="33"/>
      <c r="L8" s="33"/>
      <c r="M8" s="33"/>
      <c r="N8" s="33">
        <f>C30*'E Balans VL '!Y18/100/3.6*1000000</f>
        <v>142.33331476257689</v>
      </c>
      <c r="O8" s="33"/>
      <c r="P8" s="33"/>
      <c r="R8" s="32"/>
    </row>
    <row r="9" spans="1:18">
      <c r="A9" s="6" t="s">
        <v>33</v>
      </c>
      <c r="B9" s="37">
        <f t="shared" si="0"/>
        <v>12525.3334098635</v>
      </c>
      <c r="C9" s="33"/>
      <c r="D9" s="37">
        <f>IF( ISERROR(IND_andere_gas_kWh/1000),0,IND_andere_gas_kWh/1000)*0.902</f>
        <v>4302.9993223900701</v>
      </c>
      <c r="E9" s="33">
        <f>C31*'E Balans VL '!I19/100/3.6*1000000</f>
        <v>3661.3987951838899</v>
      </c>
      <c r="F9" s="33">
        <f>C31*'E Balans VL '!L19/100/3.6*1000000+C31*'E Balans VL '!N19/100/3.6*1000000</f>
        <v>10065.053475449185</v>
      </c>
      <c r="G9" s="34"/>
      <c r="H9" s="33"/>
      <c r="I9" s="33"/>
      <c r="J9" s="40">
        <f>C31*'E Balans VL '!D19/100/3.6*1000000+C31*'E Balans VL '!E19/100/3.6*1000000</f>
        <v>0</v>
      </c>
      <c r="K9" s="33"/>
      <c r="L9" s="33"/>
      <c r="M9" s="33"/>
      <c r="N9" s="33">
        <f>C31*'E Balans VL '!Y19/100/3.6*1000000</f>
        <v>4138.5644127674568</v>
      </c>
      <c r="O9" s="33"/>
      <c r="P9" s="33"/>
      <c r="R9" s="32"/>
    </row>
    <row r="10" spans="1:18">
      <c r="A10" s="6" t="s">
        <v>41</v>
      </c>
      <c r="B10" s="37">
        <f t="shared" si="0"/>
        <v>14229.3581414974</v>
      </c>
      <c r="C10" s="33"/>
      <c r="D10" s="37">
        <f>IF( ISERROR(IND_voed_gas_kWh/1000),0,IND_voed_gas_kWh/1000)*0.902</f>
        <v>6036.8505516658388</v>
      </c>
      <c r="E10" s="33">
        <f>C32*'E Balans VL '!I20/100/3.6*1000000</f>
        <v>30.102427777148836</v>
      </c>
      <c r="F10" s="33">
        <f>C32*'E Balans VL '!L20/100/3.6*1000000+C32*'E Balans VL '!N20/100/3.6*1000000</f>
        <v>904.71712549951803</v>
      </c>
      <c r="G10" s="34"/>
      <c r="H10" s="33"/>
      <c r="I10" s="33"/>
      <c r="J10" s="40">
        <f>C32*'E Balans VL '!D20/100/3.6*1000000+C32*'E Balans VL '!E20/100/3.6*1000000</f>
        <v>0</v>
      </c>
      <c r="K10" s="33"/>
      <c r="L10" s="33"/>
      <c r="M10" s="33"/>
      <c r="N10" s="33">
        <f>C32*'E Balans VL '!Y20/100/3.6*1000000</f>
        <v>981.96613050053418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176.58427157091202</v>
      </c>
      <c r="C12" s="33"/>
      <c r="D12" s="37">
        <f>IF( ISERROR(IND_min_gas_kWh/1000),0,IND_min_gas_kWh/1000)*0.902</f>
        <v>0</v>
      </c>
      <c r="E12" s="33">
        <f>C34*'E Balans VL '!I22/100/3.6*1000000</f>
        <v>5.1184509181195885</v>
      </c>
      <c r="F12" s="33">
        <f>C34*'E Balans VL '!L22/100/3.6*1000000+C34*'E Balans VL '!N22/100/3.6*1000000</f>
        <v>60.711668012821015</v>
      </c>
      <c r="G12" s="34"/>
      <c r="H12" s="33"/>
      <c r="I12" s="33"/>
      <c r="J12" s="40">
        <f>C34*'E Balans VL '!D22/100/3.6*1000000+C34*'E Balans VL '!E22/100/3.6*1000000</f>
        <v>0.2901811710675064</v>
      </c>
      <c r="K12" s="33"/>
      <c r="L12" s="33"/>
      <c r="M12" s="33"/>
      <c r="N12" s="33">
        <f>C34*'E Balans VL '!Y22/100/3.6*1000000</f>
        <v>38.657198907643647</v>
      </c>
      <c r="O12" s="33"/>
      <c r="P12" s="33"/>
      <c r="R12" s="32"/>
    </row>
    <row r="13" spans="1:18">
      <c r="A13" s="6" t="s">
        <v>39</v>
      </c>
      <c r="B13" s="37">
        <f t="shared" si="0"/>
        <v>581.418907767056</v>
      </c>
      <c r="C13" s="33"/>
      <c r="D13" s="37">
        <f>IF( ISERROR(IND_papier_gas_kWh/1000),0,IND_papier_gas_kWh/1000)*0.902</f>
        <v>2559.7908030817725</v>
      </c>
      <c r="E13" s="33">
        <f>C35*'E Balans VL '!I23/100/3.6*1000000</f>
        <v>0.82490046064948541</v>
      </c>
      <c r="F13" s="33">
        <f>C35*'E Balans VL '!L23/100/3.6*1000000+C35*'E Balans VL '!N23/100/3.6*1000000</f>
        <v>14.194621814645899</v>
      </c>
      <c r="G13" s="34"/>
      <c r="H13" s="33"/>
      <c r="I13" s="33"/>
      <c r="J13" s="40">
        <f>C35*'E Balans VL '!D23/100/3.6*1000000+C35*'E Balans VL '!E23/100/3.6*1000000</f>
        <v>8.9921892779520188E-2</v>
      </c>
      <c r="K13" s="33"/>
      <c r="L13" s="33"/>
      <c r="M13" s="33"/>
      <c r="N13" s="33">
        <f>C35*'E Balans VL '!Y23/100/3.6*1000000</f>
        <v>1690.0471335699422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36542.3749181354</v>
      </c>
      <c r="C15" s="33"/>
      <c r="D15" s="37">
        <f>IF( ISERROR(IND_rest_gas_kWh/1000),0,IND_rest_gas_kWh/1000)*0.902</f>
        <v>52039.971783792593</v>
      </c>
      <c r="E15" s="33">
        <f>C37*'E Balans VL '!I15/100/3.6*1000000</f>
        <v>2017.7216271180121</v>
      </c>
      <c r="F15" s="33">
        <f>C37*'E Balans VL '!L15/100/3.6*1000000+C37*'E Balans VL '!N15/100/3.6*1000000</f>
        <v>7237.9507393234599</v>
      </c>
      <c r="G15" s="34"/>
      <c r="H15" s="33"/>
      <c r="I15" s="33"/>
      <c r="J15" s="40">
        <f>C37*'E Balans VL '!D15/100/3.6*1000000+C37*'E Balans VL '!E15/100/3.6*1000000</f>
        <v>130.82100733072562</v>
      </c>
      <c r="K15" s="33"/>
      <c r="L15" s="33"/>
      <c r="M15" s="33"/>
      <c r="N15" s="33">
        <f>C37*'E Balans VL '!Y15/100/3.6*1000000</f>
        <v>8197.0282849172345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74031.713719213629</v>
      </c>
      <c r="C18" s="21">
        <f>C5+C16</f>
        <v>0</v>
      </c>
      <c r="D18" s="21">
        <f>MAX((D5+D16),0)</f>
        <v>71187.340600166805</v>
      </c>
      <c r="E18" s="21">
        <f>MAX((E5+E16),0)</f>
        <v>5806.8918081504808</v>
      </c>
      <c r="F18" s="21">
        <f>MAX((F5+F16),0)</f>
        <v>19218.104687797746</v>
      </c>
      <c r="G18" s="21"/>
      <c r="H18" s="21"/>
      <c r="I18" s="21"/>
      <c r="J18" s="21">
        <f>MAX((J5+J16),0)</f>
        <v>131.20111039457265</v>
      </c>
      <c r="K18" s="21"/>
      <c r="L18" s="21">
        <f>MAX((L5+L16),0)</f>
        <v>0</v>
      </c>
      <c r="M18" s="21"/>
      <c r="N18" s="21">
        <f>MAX((N5+N16),0)</f>
        <v>15188.596475425387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0.18792934856035115</v>
      </c>
      <c r="C20" s="25">
        <f ca="1">'EF ele_warmte'!B22</f>
        <v>0.23257274440025119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13912.731732058228</v>
      </c>
      <c r="C22" s="23">
        <f ca="1">C18*C20</f>
        <v>0</v>
      </c>
      <c r="D22" s="23">
        <f>D18*D20</f>
        <v>14379.842801233695</v>
      </c>
      <c r="E22" s="23">
        <f>E18*E20</f>
        <v>1318.1644404501592</v>
      </c>
      <c r="F22" s="23">
        <f>F18*F20</f>
        <v>5131.2339516419988</v>
      </c>
      <c r="G22" s="23"/>
      <c r="H22" s="23"/>
      <c r="I22" s="23"/>
      <c r="J22" s="23">
        <f>J18*J20</f>
        <v>46.445193079678717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9976.6440703793596</v>
      </c>
      <c r="C30" s="39">
        <f>IF(ISERROR(B30*3.6/1000000/'E Balans VL '!Z18*100),0,B30*3.6/1000000/'E Balans VL '!Z18*100)</f>
        <v>0.5654020012569676</v>
      </c>
      <c r="D30" s="237" t="s">
        <v>754</v>
      </c>
    </row>
    <row r="31" spans="1:18">
      <c r="A31" s="6" t="s">
        <v>33</v>
      </c>
      <c r="B31" s="37">
        <f>IF( ISERROR(IND_ander_ele_kWh/1000),0,IND_ander_ele_kWh/1000)</f>
        <v>12525.3334098635</v>
      </c>
      <c r="C31" s="39">
        <f>IF(ISERROR(B31*3.6/1000000/'E Balans VL '!Z19*100),0,B31*3.6/1000000/'E Balans VL '!Z19*100)</f>
        <v>0.56809696889082417</v>
      </c>
      <c r="D31" s="237" t="s">
        <v>754</v>
      </c>
    </row>
    <row r="32" spans="1:18">
      <c r="A32" s="171" t="s">
        <v>41</v>
      </c>
      <c r="B32" s="37">
        <f>IF( ISERROR(IND_voed_ele_kWh/1000),0,IND_voed_ele_kWh/1000)</f>
        <v>14229.3581414974</v>
      </c>
      <c r="C32" s="39">
        <f>IF(ISERROR(B32*3.6/1000000/'E Balans VL '!Z20*100),0,B32*3.6/1000000/'E Balans VL '!Z20*100)</f>
        <v>0.44017864314829608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176.58427157091202</v>
      </c>
      <c r="C34" s="39">
        <f>IF(ISERROR(B34*3.6/1000000/'E Balans VL '!Z22*100),0,B34*3.6/1000000/'E Balans VL '!Z22*100)</f>
        <v>3.1762001089784962E-2</v>
      </c>
      <c r="D34" s="237" t="s">
        <v>754</v>
      </c>
    </row>
    <row r="35" spans="1:5">
      <c r="A35" s="171" t="s">
        <v>39</v>
      </c>
      <c r="B35" s="37">
        <f>IF( ISERROR(IND_papier_ele_kWh/1000),0,IND_papier_ele_kWh/1000)</f>
        <v>581.418907767056</v>
      </c>
      <c r="C35" s="39">
        <f>IF(ISERROR(B35*3.6/1000000/'E Balans VL '!Z22*100),0,B35*3.6/1000000/'E Balans VL '!Z22*100)</f>
        <v>0.1045791214462886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36542.3749181354</v>
      </c>
      <c r="C37" s="39">
        <f>IF(ISERROR(B37*3.6/1000000/'E Balans VL '!Z15*100),0,B37*3.6/1000000/'E Balans VL '!Z15*100)</f>
        <v>0.28964319953076528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987.90629758149203</v>
      </c>
      <c r="C5" s="17">
        <f>'Eigen informatie GS &amp; warmtenet'!B60</f>
        <v>0</v>
      </c>
      <c r="D5" s="30">
        <f>IF(ISERROR(SUM(LB_lb_gas_kWh,LB_rest_gas_kWh,onbekend_gas_kWh)/1000),0,SUM(LB_lb_gas_kWh,LB_rest_gas_kWh,onbekend_gas_kWh)/1000)*0.902</f>
        <v>9464.8456847313082</v>
      </c>
      <c r="E5" s="17">
        <f>B17*'E Balans VL '!I25/3.6*1000000/100</f>
        <v>29.037583500027328</v>
      </c>
      <c r="F5" s="17">
        <f>B17*('E Balans VL '!L25/3.6*1000000+'E Balans VL '!N25/3.6*1000000)/100</f>
        <v>4115.5642520701585</v>
      </c>
      <c r="G5" s="18"/>
      <c r="H5" s="17"/>
      <c r="I5" s="17"/>
      <c r="J5" s="17">
        <f>('E Balans VL '!D25+'E Balans VL '!E25)/3.6*1000000*landbouw!B17/100</f>
        <v>143.12640698896587</v>
      </c>
      <c r="K5" s="17"/>
      <c r="L5" s="17">
        <f>L6*(-1)</f>
        <v>0</v>
      </c>
      <c r="M5" s="17"/>
      <c r="N5" s="17">
        <f>N6*(-1)</f>
        <v>154.28571428571431</v>
      </c>
      <c r="O5" s="17"/>
      <c r="P5" s="17"/>
      <c r="R5" s="32"/>
    </row>
    <row r="6" spans="1:18">
      <c r="A6" s="16" t="s">
        <v>488</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987.90629758149203</v>
      </c>
      <c r="C8" s="21">
        <f>C5+C6</f>
        <v>77.142857142857139</v>
      </c>
      <c r="D8" s="21">
        <f>MAX((D5+D6),0)</f>
        <v>9464.8456847313082</v>
      </c>
      <c r="E8" s="21">
        <f>MAX((E5+E6),0)</f>
        <v>29.037583500027328</v>
      </c>
      <c r="F8" s="21">
        <f>MAX((F5+F6),0)</f>
        <v>4115.5642520701585</v>
      </c>
      <c r="G8" s="21"/>
      <c r="H8" s="21"/>
      <c r="I8" s="21"/>
      <c r="J8" s="21">
        <f>MAX((J5+J6),0)</f>
        <v>143.12640698896587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0.18792934856035115</v>
      </c>
      <c r="C10" s="31">
        <f ca="1">'EF ele_warmte'!B22</f>
        <v>0.23257274440025119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185.6565869431582</v>
      </c>
      <c r="C12" s="23">
        <f ca="1">C8*C10</f>
        <v>17.941325996590805</v>
      </c>
      <c r="D12" s="23">
        <f>D8*D10</f>
        <v>1911.8988283157244</v>
      </c>
      <c r="E12" s="23">
        <f>E8*E10</f>
        <v>6.591531454506204</v>
      </c>
      <c r="F12" s="23">
        <f>F8*F10</f>
        <v>1098.8556553027324</v>
      </c>
      <c r="G12" s="23"/>
      <c r="H12" s="23"/>
      <c r="I12" s="23"/>
      <c r="J12" s="23">
        <f>J8*J10</f>
        <v>50.666748074093917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0.14018700308829846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346.55054478889923</v>
      </c>
      <c r="C26" s="247">
        <f>B26*'GWP N2O_CH4'!B5</f>
        <v>7277.5614405668839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63.128439953438161</v>
      </c>
      <c r="C27" s="247">
        <f>B27*'GWP N2O_CH4'!B5</f>
        <v>1325.6972390222013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4.8766030143962809</v>
      </c>
      <c r="C28" s="247">
        <f>B28*'GWP N2O_CH4'!B4</f>
        <v>1511.7469344628471</v>
      </c>
      <c r="D28" s="50"/>
    </row>
    <row r="29" spans="1:4">
      <c r="A29" s="41" t="s">
        <v>277</v>
      </c>
      <c r="B29" s="247">
        <f>B34*'ha_N2O bodem landbouw'!B4</f>
        <v>13.628296422480574</v>
      </c>
      <c r="C29" s="247">
        <f>B29*'GWP N2O_CH4'!B4</f>
        <v>4224.7718909689775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3.1099302784112506E-3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3.2236120665444579E-4</v>
      </c>
      <c r="C5" s="463" t="s">
        <v>211</v>
      </c>
      <c r="D5" s="448">
        <f>SUM(D6:D11)</f>
        <v>1.1414166252084505E-3</v>
      </c>
      <c r="E5" s="448">
        <f>SUM(E6:E11)</f>
        <v>1.51908121964738E-3</v>
      </c>
      <c r="F5" s="461" t="s">
        <v>211</v>
      </c>
      <c r="G5" s="448">
        <f>SUM(G6:G11)</f>
        <v>0.58245292554945316</v>
      </c>
      <c r="H5" s="448">
        <f>SUM(H6:H11)</f>
        <v>0.1285805349949701</v>
      </c>
      <c r="I5" s="463" t="s">
        <v>211</v>
      </c>
      <c r="J5" s="463" t="s">
        <v>211</v>
      </c>
      <c r="K5" s="463" t="s">
        <v>211</v>
      </c>
      <c r="L5" s="463" t="s">
        <v>211</v>
      </c>
      <c r="M5" s="448">
        <f>SUM(M6:M11)</f>
        <v>3.7846358326797711E-2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2.4757590035636996E-4</v>
      </c>
      <c r="C6" s="449"/>
      <c r="D6" s="962">
        <f>vkm_2011_GW_PW*SUMIFS(TableVerdeelsleutelVkm[CNG],TableVerdeelsleutelVkm[Voertuigtype],"Lichte voertuigen")*SUMIFS(TableECFTransport[EnergieConsumptieFactor (PJ per km)],TableECFTransport[Index],CONCATENATE($A6,"_CNG_CNG"))</f>
        <v>7.4258560542746503E-4</v>
      </c>
      <c r="E6" s="962">
        <f>vkm_2011_GW_PW*SUMIFS(TableVerdeelsleutelVkm[LPG],TableVerdeelsleutelVkm[Voertuigtype],"Lichte voertuigen")*SUMIFS(TableECFTransport[EnergieConsumptieFactor (PJ per km)],TableECFTransport[Index],CONCATENATE($A6,"_LPG_LPG"))</f>
        <v>1.0144786041793384E-3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0.2622976626187577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8.4445795343290248E-2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1.7830956131320984E-2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0.17526721151942795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5.3408541498243137E-5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1.0242033866312861E-2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7.4785306298075848E-5</v>
      </c>
      <c r="C8" s="449"/>
      <c r="D8" s="451">
        <f>vkm_2011_NGW_PW*SUMIFS(TableVerdeelsleutelVkm[CNG],TableVerdeelsleutelVkm[Voertuigtype],"Lichte voertuigen")*SUMIFS(TableECFTransport[EnergieConsumptieFactor (PJ per km)],TableECFTransport[Index],CONCATENATE($A8,"_CNG_CNG"))</f>
        <v>3.9883101978098549E-4</v>
      </c>
      <c r="E8" s="451">
        <f>vkm_2011_NGW_PW*SUMIFS(TableVerdeelsleutelVkm[LPG],TableVerdeelsleutelVkm[Voertuigtype],"Lichte voertuigen")*SUMIFS(TableECFTransport[EnergieConsumptieFactor (PJ per km)],TableECFTransport[Index],CONCATENATE($A8,"_LPG_LPG"))</f>
        <v>5.0460261546804159E-4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0.12158153733298772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4.4074645087978259E-2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8.4114253811138975E-3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2.3306514078279779E-2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6.6860222033544911E-6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1.3619429480499665E-3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89.544779626234941</v>
      </c>
      <c r="C14" s="21"/>
      <c r="D14" s="21">
        <f t="shared" ref="D14:M14" si="0">((D5)*10^9/3600)+D12</f>
        <v>317.06017366901403</v>
      </c>
      <c r="E14" s="21">
        <f t="shared" si="0"/>
        <v>421.96700545760558</v>
      </c>
      <c r="F14" s="21"/>
      <c r="G14" s="21">
        <f t="shared" si="0"/>
        <v>161792.47931929253</v>
      </c>
      <c r="H14" s="21">
        <f t="shared" si="0"/>
        <v>35716.815276380585</v>
      </c>
      <c r="I14" s="21"/>
      <c r="J14" s="21"/>
      <c r="K14" s="21"/>
      <c r="L14" s="21"/>
      <c r="M14" s="21">
        <f t="shared" si="0"/>
        <v>10512.877312999364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0.18792934856035115</v>
      </c>
      <c r="C16" s="56">
        <f ca="1">'EF ele_warmte'!B22</f>
        <v>0.23257274440025119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16.828092102138537</v>
      </c>
      <c r="C18" s="23"/>
      <c r="D18" s="23">
        <f t="shared" ref="D18:M18" si="1">D14*D16</f>
        <v>64.046155081140839</v>
      </c>
      <c r="E18" s="23">
        <f t="shared" si="1"/>
        <v>95.786510238876474</v>
      </c>
      <c r="F18" s="23"/>
      <c r="G18" s="23">
        <f t="shared" si="1"/>
        <v>43198.591978251105</v>
      </c>
      <c r="H18" s="23">
        <f t="shared" si="1"/>
        <v>8893.4870038187655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1.347847061735199E-2</v>
      </c>
      <c r="H50" s="321">
        <f t="shared" si="2"/>
        <v>0</v>
      </c>
      <c r="I50" s="321">
        <f t="shared" si="2"/>
        <v>0</v>
      </c>
      <c r="J50" s="321">
        <f t="shared" si="2"/>
        <v>0</v>
      </c>
      <c r="K50" s="321">
        <f t="shared" si="2"/>
        <v>0</v>
      </c>
      <c r="L50" s="321">
        <f t="shared" si="2"/>
        <v>0</v>
      </c>
      <c r="M50" s="321">
        <f t="shared" si="2"/>
        <v>7.6551762932750564E-4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1.347847061735199E-2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7.6551762932750564E-4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3744.0196159311085</v>
      </c>
      <c r="H54" s="21">
        <f t="shared" si="3"/>
        <v>0</v>
      </c>
      <c r="I54" s="21">
        <f t="shared" si="3"/>
        <v>0</v>
      </c>
      <c r="J54" s="21">
        <f t="shared" si="3"/>
        <v>0</v>
      </c>
      <c r="K54" s="21">
        <f t="shared" si="3"/>
        <v>0</v>
      </c>
      <c r="L54" s="21">
        <f t="shared" si="3"/>
        <v>0</v>
      </c>
      <c r="M54" s="21">
        <f t="shared" si="3"/>
        <v>212.64378592430711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0.18792934856035115</v>
      </c>
      <c r="C56" s="56">
        <f ca="1">'EF ele_warmte'!B22</f>
        <v>0.23257274440025119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999.65323745360604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15328.946564455178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16057.401079512141</v>
      </c>
      <c r="C6" s="1263"/>
      <c r="D6" s="1248"/>
      <c r="E6" s="1248"/>
      <c r="F6" s="1266"/>
      <c r="G6" s="1269"/>
      <c r="H6" s="1260"/>
      <c r="I6" s="1248"/>
      <c r="J6" s="1248"/>
      <c r="K6" s="1248"/>
      <c r="L6" s="1252"/>
      <c r="M6" s="575"/>
      <c r="N6" s="1226"/>
      <c r="O6" s="1227"/>
      <c r="Q6" s="573"/>
      <c r="R6" s="1214"/>
      <c r="S6" s="1214"/>
    </row>
    <row r="7" spans="1:19" s="563" customFormat="1">
      <c r="A7" s="576" t="s">
        <v>252</v>
      </c>
      <c r="B7" s="577">
        <f>N57</f>
        <v>2529</v>
      </c>
      <c r="C7" s="578">
        <f>B100</f>
        <v>2911.7647058823527</v>
      </c>
      <c r="D7" s="579"/>
      <c r="E7" s="579">
        <f>E100</f>
        <v>0</v>
      </c>
      <c r="F7" s="580"/>
      <c r="G7" s="581"/>
      <c r="H7" s="579">
        <f>I100</f>
        <v>0</v>
      </c>
      <c r="I7" s="579">
        <f>G100+F100</f>
        <v>0</v>
      </c>
      <c r="J7" s="579">
        <f>H100+D100+C100</f>
        <v>63.529411764705891</v>
      </c>
      <c r="K7" s="579"/>
      <c r="L7" s="582"/>
      <c r="M7" s="583">
        <f>C7*$C$11+D7*$D$11+E7*$E$11+F7*$F$11+G7*$G$11+H7*$H$11+I7*$I$11+J7*$J$11</f>
        <v>588.17647058823525</v>
      </c>
      <c r="N7" s="1226"/>
      <c r="O7" s="1227"/>
      <c r="Q7" s="573"/>
      <c r="R7" s="1214"/>
      <c r="S7" s="1214"/>
    </row>
    <row r="8" spans="1:19" s="563" customFormat="1" ht="17.45" customHeight="1" thickBot="1">
      <c r="A8" s="584" t="s">
        <v>248</v>
      </c>
      <c r="B8" s="585">
        <f>N88+'Eigen informatie GS &amp; warmtenet'!B12</f>
        <v>2439</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36354.347643967318</v>
      </c>
      <c r="C9" s="594">
        <f t="shared" ref="C9:L9" si="0">SUM(C7:C8)</f>
        <v>2911.7647058823527</v>
      </c>
      <c r="D9" s="594">
        <f t="shared" si="0"/>
        <v>0</v>
      </c>
      <c r="E9" s="594">
        <f t="shared" si="0"/>
        <v>0</v>
      </c>
      <c r="F9" s="594">
        <f t="shared" si="0"/>
        <v>0</v>
      </c>
      <c r="G9" s="594">
        <f t="shared" si="0"/>
        <v>0</v>
      </c>
      <c r="H9" s="594">
        <f t="shared" si="0"/>
        <v>0</v>
      </c>
      <c r="I9" s="594">
        <f t="shared" si="0"/>
        <v>0</v>
      </c>
      <c r="J9" s="594">
        <f t="shared" si="0"/>
        <v>7032.1008403361357</v>
      </c>
      <c r="K9" s="594">
        <f t="shared" si="0"/>
        <v>0</v>
      </c>
      <c r="L9" s="594">
        <f t="shared" si="0"/>
        <v>0</v>
      </c>
      <c r="M9" s="595">
        <f>SUM(M4:M8)</f>
        <v>588.17647058823525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3612.8571428571431</v>
      </c>
      <c r="C16" s="610">
        <f>B101</f>
        <v>4159.6638655462184</v>
      </c>
      <c r="D16" s="611"/>
      <c r="E16" s="611">
        <f>E101</f>
        <v>0</v>
      </c>
      <c r="F16" s="612"/>
      <c r="G16" s="613"/>
      <c r="H16" s="610">
        <f>I101</f>
        <v>0</v>
      </c>
      <c r="I16" s="611">
        <f>G101+F101</f>
        <v>0</v>
      </c>
      <c r="J16" s="611">
        <f>H101+D101+C101</f>
        <v>90.756302521008422</v>
      </c>
      <c r="K16" s="611"/>
      <c r="L16" s="614"/>
      <c r="M16" s="615">
        <f>C16*$C$21+E16*$E$21+H16*$H$21+I16*$I$21+J16*$J$21+D16*$D$21+F16*$F$21+G16*$G$21+K16*$K$21+L16*$L$21</f>
        <v>840.2521008403362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3612.8571428571431</v>
      </c>
      <c r="C19" s="593">
        <f>SUM(C16:C18)</f>
        <v>4159.6638655462184</v>
      </c>
      <c r="D19" s="593">
        <f t="shared" ref="D19:M19" si="1">SUM(D16:D18)</f>
        <v>0</v>
      </c>
      <c r="E19" s="593">
        <f t="shared" si="1"/>
        <v>0</v>
      </c>
      <c r="F19" s="593">
        <f t="shared" si="1"/>
        <v>0</v>
      </c>
      <c r="G19" s="593">
        <f t="shared" si="1"/>
        <v>0</v>
      </c>
      <c r="H19" s="593">
        <f t="shared" si="1"/>
        <v>0</v>
      </c>
      <c r="I19" s="593">
        <f t="shared" si="1"/>
        <v>0</v>
      </c>
      <c r="J19" s="593">
        <f t="shared" si="1"/>
        <v>90.756302521008422</v>
      </c>
      <c r="K19" s="593">
        <f t="shared" si="1"/>
        <v>0</v>
      </c>
      <c r="L19" s="593">
        <f t="shared" si="1"/>
        <v>0</v>
      </c>
      <c r="M19" s="620">
        <f t="shared" si="1"/>
        <v>840.2521008403362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42006</v>
      </c>
      <c r="C27" s="851">
        <v>9200</v>
      </c>
      <c r="D27" s="672" t="s">
        <v>844</v>
      </c>
      <c r="E27" s="671" t="s">
        <v>845</v>
      </c>
      <c r="F27" s="671" t="s">
        <v>846</v>
      </c>
      <c r="G27" s="671" t="s">
        <v>847</v>
      </c>
      <c r="H27" s="671" t="s">
        <v>848</v>
      </c>
      <c r="I27" s="671" t="s">
        <v>845</v>
      </c>
      <c r="J27" s="850">
        <v>40968</v>
      </c>
      <c r="K27" s="850">
        <v>41091</v>
      </c>
      <c r="L27" s="671" t="s">
        <v>849</v>
      </c>
      <c r="M27" s="671">
        <v>12</v>
      </c>
      <c r="N27" s="671">
        <v>54</v>
      </c>
      <c r="O27" s="671">
        <v>77.142857142857139</v>
      </c>
      <c r="P27" s="671">
        <v>0</v>
      </c>
      <c r="Q27" s="671">
        <v>0</v>
      </c>
      <c r="R27" s="671">
        <v>0</v>
      </c>
      <c r="S27" s="671">
        <v>0</v>
      </c>
      <c r="T27" s="671">
        <v>0</v>
      </c>
      <c r="U27" s="671">
        <v>0</v>
      </c>
      <c r="V27" s="671">
        <v>154.28571428571431</v>
      </c>
      <c r="W27" s="671">
        <v>0</v>
      </c>
      <c r="X27" s="671">
        <v>10</v>
      </c>
      <c r="Y27" s="671" t="s">
        <v>112</v>
      </c>
      <c r="Z27" s="673" t="s">
        <v>112</v>
      </c>
    </row>
    <row r="28" spans="1:26" s="625" customFormat="1" ht="38.25">
      <c r="A28" s="624"/>
      <c r="B28" s="851">
        <v>42006</v>
      </c>
      <c r="C28" s="851">
        <v>9200</v>
      </c>
      <c r="D28" s="672"/>
      <c r="E28" s="671"/>
      <c r="F28" s="671" t="s">
        <v>850</v>
      </c>
      <c r="G28" s="671" t="s">
        <v>847</v>
      </c>
      <c r="H28" s="671" t="s">
        <v>848</v>
      </c>
      <c r="I28" s="671" t="s">
        <v>851</v>
      </c>
      <c r="J28" s="850">
        <v>41999</v>
      </c>
      <c r="K28" s="850">
        <v>42032</v>
      </c>
      <c r="L28" s="671" t="s">
        <v>849</v>
      </c>
      <c r="M28" s="671">
        <v>600</v>
      </c>
      <c r="N28" s="671">
        <v>2475</v>
      </c>
      <c r="O28" s="671">
        <v>3535.7142857142858</v>
      </c>
      <c r="P28" s="671">
        <v>7071.4285714285716</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612</v>
      </c>
      <c r="N57" s="629">
        <f>SUM(N27:N56)</f>
        <v>2529</v>
      </c>
      <c r="O57" s="629">
        <f t="shared" ref="O57:W57" si="2">SUM(O27:O56)</f>
        <v>3612.8571428571431</v>
      </c>
      <c r="P57" s="629">
        <f t="shared" si="2"/>
        <v>7071.4285714285716</v>
      </c>
      <c r="Q57" s="629">
        <f t="shared" si="2"/>
        <v>0</v>
      </c>
      <c r="R57" s="629">
        <f t="shared" si="2"/>
        <v>0</v>
      </c>
      <c r="S57" s="629">
        <f t="shared" si="2"/>
        <v>0</v>
      </c>
      <c r="T57" s="629">
        <f t="shared" si="2"/>
        <v>0</v>
      </c>
      <c r="U57" s="629">
        <f t="shared" si="2"/>
        <v>0</v>
      </c>
      <c r="V57" s="629">
        <f t="shared" si="2"/>
        <v>154.28571428571431</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v>
      </c>
      <c r="N59" s="629">
        <f ca="1">SUMIF($Z$27:AB56,"tertiair",N27:N56)</f>
        <v>2475</v>
      </c>
      <c r="O59" s="629">
        <f ca="1">SUMIF($Z$27:AC56,"tertiair",O27:O56)</f>
        <v>3535.7142857142858</v>
      </c>
      <c r="P59" s="629">
        <f ca="1">SUMIF($Z$27:AD56,"tertiair",P27:P56)</f>
        <v>7071.4285714285716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v>
      </c>
      <c r="N60" s="634">
        <f t="shared" ref="N60:W60" si="4">SUMIF($Z$27:$Z$56,"landbouw",N27:N56)</f>
        <v>54</v>
      </c>
      <c r="O60" s="634">
        <f t="shared" si="4"/>
        <v>77.142857142857139</v>
      </c>
      <c r="P60" s="634">
        <f t="shared" si="4"/>
        <v>0</v>
      </c>
      <c r="Q60" s="634">
        <f t="shared" si="4"/>
        <v>0</v>
      </c>
      <c r="R60" s="634">
        <f t="shared" si="4"/>
        <v>0</v>
      </c>
      <c r="S60" s="634">
        <f t="shared" si="4"/>
        <v>0</v>
      </c>
      <c r="T60" s="634">
        <f t="shared" si="4"/>
        <v>0</v>
      </c>
      <c r="U60" s="634">
        <f t="shared" si="4"/>
        <v>0</v>
      </c>
      <c r="V60" s="634">
        <f t="shared" si="4"/>
        <v>154.28571428571431</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42006</v>
      </c>
      <c r="C63" s="851">
        <v>9200</v>
      </c>
      <c r="D63" s="674" t="s">
        <v>852</v>
      </c>
      <c r="E63" s="674" t="s">
        <v>853</v>
      </c>
      <c r="F63" s="674" t="s">
        <v>854</v>
      </c>
      <c r="G63" s="674" t="s">
        <v>855</v>
      </c>
      <c r="H63" s="674" t="s">
        <v>856</v>
      </c>
      <c r="I63" s="674" t="s">
        <v>857</v>
      </c>
      <c r="J63" s="850">
        <v>39295</v>
      </c>
      <c r="K63" s="850">
        <v>37469</v>
      </c>
      <c r="L63" s="674" t="s">
        <v>858</v>
      </c>
      <c r="M63" s="674">
        <v>542</v>
      </c>
      <c r="N63" s="674">
        <v>2439</v>
      </c>
      <c r="O63" s="674">
        <v>0</v>
      </c>
      <c r="P63" s="674">
        <v>0</v>
      </c>
      <c r="Q63" s="674">
        <v>6968.5714285714294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542</v>
      </c>
      <c r="N88" s="629">
        <f t="shared" ref="N88:W88" si="5">SUM(N63:N87)</f>
        <v>2439</v>
      </c>
      <c r="O88" s="629">
        <f t="shared" si="5"/>
        <v>0</v>
      </c>
      <c r="P88" s="629">
        <f t="shared" si="5"/>
        <v>0</v>
      </c>
      <c r="Q88" s="629">
        <f t="shared" si="5"/>
        <v>6968.5714285714294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542</v>
      </c>
      <c r="N90" s="629">
        <f t="shared" ref="N90:W90" si="7">SUMIF($Z$63:$Z$88,"tertiair",N63:N88)</f>
        <v>2439</v>
      </c>
      <c r="O90" s="629">
        <f t="shared" si="7"/>
        <v>0</v>
      </c>
      <c r="P90" s="629">
        <f t="shared" si="7"/>
        <v>0</v>
      </c>
      <c r="Q90" s="629">
        <f t="shared" si="7"/>
        <v>6968.5714285714294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2911.7647058823527</v>
      </c>
      <c r="C100" s="663">
        <f t="shared" si="9"/>
        <v>0</v>
      </c>
      <c r="D100" s="663">
        <f t="shared" si="9"/>
        <v>0</v>
      </c>
      <c r="E100" s="663">
        <f t="shared" si="9"/>
        <v>0</v>
      </c>
      <c r="F100" s="663">
        <f t="shared" si="9"/>
        <v>0</v>
      </c>
      <c r="G100" s="663">
        <f t="shared" si="9"/>
        <v>0</v>
      </c>
      <c r="H100" s="663">
        <f t="shared" si="9"/>
        <v>63.529411764705891</v>
      </c>
      <c r="I100" s="664">
        <f t="shared" si="9"/>
        <v>0</v>
      </c>
      <c r="J100" s="621"/>
      <c r="K100" s="621"/>
      <c r="L100" s="659"/>
      <c r="M100" s="646"/>
      <c r="N100" s="646"/>
    </row>
    <row r="101" spans="1:14" ht="15.75" thickBot="1">
      <c r="A101" s="665" t="s">
        <v>286</v>
      </c>
      <c r="B101" s="666">
        <f>$B$97*P57</f>
        <v>4159.6638655462184</v>
      </c>
      <c r="C101" s="666">
        <f t="shared" ref="C101:H101" si="10">$B$97*Q57</f>
        <v>0</v>
      </c>
      <c r="D101" s="666">
        <f t="shared" si="10"/>
        <v>0</v>
      </c>
      <c r="E101" s="666">
        <f t="shared" si="10"/>
        <v>0</v>
      </c>
      <c r="F101" s="666">
        <f t="shared" si="10"/>
        <v>0</v>
      </c>
      <c r="G101" s="666">
        <f t="shared" si="10"/>
        <v>0</v>
      </c>
      <c r="H101" s="666">
        <f t="shared" si="10"/>
        <v>90.756302521008422</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76725.57960935442</v>
      </c>
      <c r="D10" s="718">
        <f ca="1">tertiair!C16</f>
        <v>3535.7142857142858</v>
      </c>
      <c r="E10" s="718">
        <f ca="1">tertiair!D16</f>
        <v>101025.17605157303</v>
      </c>
      <c r="F10" s="718">
        <f>tertiair!E16</f>
        <v>1151.3691990157083</v>
      </c>
      <c r="G10" s="718">
        <f ca="1">tertiair!F16</f>
        <v>12797.705984803843</v>
      </c>
      <c r="H10" s="718">
        <f>tertiair!G16</f>
        <v>0</v>
      </c>
      <c r="I10" s="718">
        <f>tertiair!H16</f>
        <v>0</v>
      </c>
      <c r="J10" s="718">
        <f>tertiair!I16</f>
        <v>0</v>
      </c>
      <c r="K10" s="718">
        <f>tertiair!J16</f>
        <v>0.26596956955402828</v>
      </c>
      <c r="L10" s="718">
        <f>tertiair!K16</f>
        <v>0</v>
      </c>
      <c r="M10" s="718">
        <f ca="1">tertiair!L16</f>
        <v>0</v>
      </c>
      <c r="N10" s="718">
        <f>tertiair!M16</f>
        <v>0</v>
      </c>
      <c r="O10" s="718">
        <f ca="1">tertiair!N16</f>
        <v>3621.874201827146</v>
      </c>
      <c r="P10" s="718">
        <f>tertiair!O16</f>
        <v>4.6900000000000004</v>
      </c>
      <c r="Q10" s="719">
        <f>tertiair!P16</f>
        <v>57.2</v>
      </c>
      <c r="R10" s="721">
        <f ca="1">SUM(C10:Q10)</f>
        <v>198919.57530185801</v>
      </c>
      <c r="S10" s="67"/>
    </row>
    <row r="11" spans="1:19" s="474" customFormat="1">
      <c r="A11" s="870" t="s">
        <v>225</v>
      </c>
      <c r="B11" s="875"/>
      <c r="C11" s="718">
        <f>huishoudens!B8</f>
        <v>73323.637258314207</v>
      </c>
      <c r="D11" s="718">
        <f>huishoudens!C8</f>
        <v>0</v>
      </c>
      <c r="E11" s="718">
        <f>huishoudens!D8</f>
        <v>206478.60967493392</v>
      </c>
      <c r="F11" s="718">
        <f>huishoudens!E8</f>
        <v>10204.745280534447</v>
      </c>
      <c r="G11" s="718">
        <f>huishoudens!F8</f>
        <v>0</v>
      </c>
      <c r="H11" s="718">
        <f>huishoudens!G8</f>
        <v>0</v>
      </c>
      <c r="I11" s="718">
        <f>huishoudens!H8</f>
        <v>0</v>
      </c>
      <c r="J11" s="718">
        <f>huishoudens!I8</f>
        <v>0</v>
      </c>
      <c r="K11" s="718">
        <f>huishoudens!J8</f>
        <v>4315.8640208271818</v>
      </c>
      <c r="L11" s="718">
        <f>huishoudens!K8</f>
        <v>0</v>
      </c>
      <c r="M11" s="718">
        <f>huishoudens!L8</f>
        <v>0</v>
      </c>
      <c r="N11" s="718">
        <f>huishoudens!M8</f>
        <v>0</v>
      </c>
      <c r="O11" s="718">
        <f>huishoudens!N8</f>
        <v>30250.006132770006</v>
      </c>
      <c r="P11" s="718">
        <f>huishoudens!O8</f>
        <v>434.60666666666674</v>
      </c>
      <c r="Q11" s="719">
        <f>huishoudens!P8</f>
        <v>2002</v>
      </c>
      <c r="R11" s="721">
        <f>SUM(C11:Q11)</f>
        <v>327009.4690340464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74031.713719213629</v>
      </c>
      <c r="D13" s="718">
        <f>industrie!C18</f>
        <v>0</v>
      </c>
      <c r="E13" s="718">
        <f>industrie!D18</f>
        <v>71187.340600166805</v>
      </c>
      <c r="F13" s="718">
        <f>industrie!E18</f>
        <v>5806.8918081504808</v>
      </c>
      <c r="G13" s="718">
        <f>industrie!F18</f>
        <v>19218.104687797746</v>
      </c>
      <c r="H13" s="718">
        <f>industrie!G18</f>
        <v>0</v>
      </c>
      <c r="I13" s="718">
        <f>industrie!H18</f>
        <v>0</v>
      </c>
      <c r="J13" s="718">
        <f>industrie!I18</f>
        <v>0</v>
      </c>
      <c r="K13" s="718">
        <f>industrie!J18</f>
        <v>131.20111039457265</v>
      </c>
      <c r="L13" s="718">
        <f>industrie!K18</f>
        <v>0</v>
      </c>
      <c r="M13" s="718">
        <f>industrie!L18</f>
        <v>0</v>
      </c>
      <c r="N13" s="718">
        <f>industrie!M18</f>
        <v>0</v>
      </c>
      <c r="O13" s="718">
        <f>industrie!N18</f>
        <v>15188.596475425387</v>
      </c>
      <c r="P13" s="718">
        <f>industrie!O18</f>
        <v>0</v>
      </c>
      <c r="Q13" s="719">
        <f>industrie!P18</f>
        <v>0</v>
      </c>
      <c r="R13" s="721">
        <f>SUM(C13:Q13)</f>
        <v>185563.84840114863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224080.93058688223</v>
      </c>
      <c r="D15" s="723">
        <f t="shared" ref="D15:Q15" ca="1" si="0">SUM(D9:D14)</f>
        <v>3535.7142857142858</v>
      </c>
      <c r="E15" s="723">
        <f t="shared" ca="1" si="0"/>
        <v>378691.12632667378</v>
      </c>
      <c r="F15" s="723">
        <f t="shared" si="0"/>
        <v>17163.006287700635</v>
      </c>
      <c r="G15" s="723">
        <f t="shared" ca="1" si="0"/>
        <v>32015.81067260159</v>
      </c>
      <c r="H15" s="723">
        <f t="shared" si="0"/>
        <v>0</v>
      </c>
      <c r="I15" s="723">
        <f t="shared" si="0"/>
        <v>0</v>
      </c>
      <c r="J15" s="723">
        <f t="shared" si="0"/>
        <v>0</v>
      </c>
      <c r="K15" s="723">
        <f t="shared" si="0"/>
        <v>4447.331100791308</v>
      </c>
      <c r="L15" s="723">
        <f t="shared" si="0"/>
        <v>0</v>
      </c>
      <c r="M15" s="723">
        <f t="shared" ca="1" si="0"/>
        <v>0</v>
      </c>
      <c r="N15" s="723">
        <f t="shared" si="0"/>
        <v>0</v>
      </c>
      <c r="O15" s="723">
        <f t="shared" ca="1" si="0"/>
        <v>49060.476810022541</v>
      </c>
      <c r="P15" s="723">
        <f t="shared" si="0"/>
        <v>439.29666666666674</v>
      </c>
      <c r="Q15" s="724">
        <f t="shared" si="0"/>
        <v>2059.1999999999998</v>
      </c>
      <c r="R15" s="725">
        <f ca="1">SUM(R9:R14)</f>
        <v>711492.8927370531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3744.0196159311085</v>
      </c>
      <c r="I18" s="718">
        <f>transport!H54</f>
        <v>0</v>
      </c>
      <c r="J18" s="718">
        <f>transport!I54</f>
        <v>0</v>
      </c>
      <c r="K18" s="718">
        <f>transport!J54</f>
        <v>0</v>
      </c>
      <c r="L18" s="718">
        <f>transport!K54</f>
        <v>0</v>
      </c>
      <c r="M18" s="718">
        <f>transport!L54</f>
        <v>0</v>
      </c>
      <c r="N18" s="718">
        <f>transport!M54</f>
        <v>212.64378592430711</v>
      </c>
      <c r="O18" s="718">
        <f>transport!N54</f>
        <v>0</v>
      </c>
      <c r="P18" s="718">
        <f>transport!O54</f>
        <v>0</v>
      </c>
      <c r="Q18" s="719">
        <f>transport!P54</f>
        <v>0</v>
      </c>
      <c r="R18" s="721">
        <f>SUM(C18:Q18)</f>
        <v>3956.6634018554155</v>
      </c>
      <c r="S18" s="67"/>
    </row>
    <row r="19" spans="1:19" s="474" customFormat="1" ht="15" thickBot="1">
      <c r="A19" s="870" t="s">
        <v>307</v>
      </c>
      <c r="B19" s="875"/>
      <c r="C19" s="727">
        <f>transport!B14</f>
        <v>89.544779626234941</v>
      </c>
      <c r="D19" s="727">
        <f>transport!C14</f>
        <v>0</v>
      </c>
      <c r="E19" s="727">
        <f>transport!D14</f>
        <v>317.06017366901403</v>
      </c>
      <c r="F19" s="727">
        <f>transport!E14</f>
        <v>421.96700545760558</v>
      </c>
      <c r="G19" s="727">
        <f>transport!F14</f>
        <v>0</v>
      </c>
      <c r="H19" s="727">
        <f>transport!G14</f>
        <v>161792.47931929253</v>
      </c>
      <c r="I19" s="727">
        <f>transport!H14</f>
        <v>35716.815276380585</v>
      </c>
      <c r="J19" s="727">
        <f>transport!I14</f>
        <v>0</v>
      </c>
      <c r="K19" s="727">
        <f>transport!J14</f>
        <v>0</v>
      </c>
      <c r="L19" s="727">
        <f>transport!K14</f>
        <v>0</v>
      </c>
      <c r="M19" s="727">
        <f>transport!L14</f>
        <v>0</v>
      </c>
      <c r="N19" s="727">
        <f>transport!M14</f>
        <v>10512.877312999364</v>
      </c>
      <c r="O19" s="727">
        <f>transport!N14</f>
        <v>0</v>
      </c>
      <c r="P19" s="727">
        <f>transport!O14</f>
        <v>0</v>
      </c>
      <c r="Q19" s="728">
        <f>transport!P14</f>
        <v>0</v>
      </c>
      <c r="R19" s="729">
        <f>SUM(C19:Q19)</f>
        <v>208850.74386742534</v>
      </c>
      <c r="S19" s="67"/>
    </row>
    <row r="20" spans="1:19" s="474" customFormat="1" ht="15.75" thickBot="1">
      <c r="A20" s="730" t="s">
        <v>230</v>
      </c>
      <c r="B20" s="878"/>
      <c r="C20" s="873">
        <f>SUM(C17:C19)</f>
        <v>89.544779626234941</v>
      </c>
      <c r="D20" s="731">
        <f t="shared" ref="D20:R20" si="1">SUM(D17:D19)</f>
        <v>0</v>
      </c>
      <c r="E20" s="731">
        <f t="shared" si="1"/>
        <v>317.06017366901403</v>
      </c>
      <c r="F20" s="731">
        <f t="shared" si="1"/>
        <v>421.96700545760558</v>
      </c>
      <c r="G20" s="731">
        <f t="shared" si="1"/>
        <v>0</v>
      </c>
      <c r="H20" s="731">
        <f t="shared" si="1"/>
        <v>165536.49893522364</v>
      </c>
      <c r="I20" s="731">
        <f t="shared" si="1"/>
        <v>35716.815276380585</v>
      </c>
      <c r="J20" s="731">
        <f t="shared" si="1"/>
        <v>0</v>
      </c>
      <c r="K20" s="731">
        <f t="shared" si="1"/>
        <v>0</v>
      </c>
      <c r="L20" s="731">
        <f t="shared" si="1"/>
        <v>0</v>
      </c>
      <c r="M20" s="731">
        <f t="shared" si="1"/>
        <v>0</v>
      </c>
      <c r="N20" s="731">
        <f t="shared" si="1"/>
        <v>10725.521098923671</v>
      </c>
      <c r="O20" s="731">
        <f t="shared" si="1"/>
        <v>0</v>
      </c>
      <c r="P20" s="731">
        <f t="shared" si="1"/>
        <v>0</v>
      </c>
      <c r="Q20" s="732">
        <f t="shared" si="1"/>
        <v>0</v>
      </c>
      <c r="R20" s="733">
        <f t="shared" si="1"/>
        <v>212807.40726928075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987.90629758149203</v>
      </c>
      <c r="D22" s="727">
        <f>+landbouw!C8</f>
        <v>77.142857142857139</v>
      </c>
      <c r="E22" s="727">
        <f>+landbouw!D8</f>
        <v>9464.8456847313082</v>
      </c>
      <c r="F22" s="727">
        <f>+landbouw!E8</f>
        <v>29.037583500027328</v>
      </c>
      <c r="G22" s="727">
        <f>+landbouw!F8</f>
        <v>4115.5642520701585</v>
      </c>
      <c r="H22" s="727">
        <f>+landbouw!G8</f>
        <v>0</v>
      </c>
      <c r="I22" s="727">
        <f>+landbouw!H8</f>
        <v>0</v>
      </c>
      <c r="J22" s="727">
        <f>+landbouw!I8</f>
        <v>0</v>
      </c>
      <c r="K22" s="727">
        <f>+landbouw!J8</f>
        <v>143.12640698896587</v>
      </c>
      <c r="L22" s="727">
        <f>+landbouw!K8</f>
        <v>0</v>
      </c>
      <c r="M22" s="727">
        <f>+landbouw!L8</f>
        <v>0</v>
      </c>
      <c r="N22" s="727">
        <f>+landbouw!M8</f>
        <v>0</v>
      </c>
      <c r="O22" s="727">
        <f>+landbouw!N8</f>
        <v>0</v>
      </c>
      <c r="P22" s="727">
        <f>+landbouw!O8</f>
        <v>0</v>
      </c>
      <c r="Q22" s="728">
        <f>+landbouw!P8</f>
        <v>0</v>
      </c>
      <c r="R22" s="729">
        <f>SUM(C22:Q22)</f>
        <v>14817.623082014808</v>
      </c>
      <c r="S22" s="67"/>
    </row>
    <row r="23" spans="1:19" s="474" customFormat="1" ht="17.25" thickTop="1" thickBot="1">
      <c r="A23" s="734" t="s">
        <v>116</v>
      </c>
      <c r="B23" s="864"/>
      <c r="C23" s="735">
        <f ca="1">C20+C15+C22</f>
        <v>225158.38166408997</v>
      </c>
      <c r="D23" s="735">
        <f t="shared" ref="D23:Q23" ca="1" si="2">D20+D15+D22</f>
        <v>3612.8571428571431</v>
      </c>
      <c r="E23" s="735">
        <f t="shared" ca="1" si="2"/>
        <v>388473.03218507412</v>
      </c>
      <c r="F23" s="735">
        <f t="shared" si="2"/>
        <v>17614.010876658267</v>
      </c>
      <c r="G23" s="735">
        <f t="shared" ca="1" si="2"/>
        <v>36131.374924671749</v>
      </c>
      <c r="H23" s="735">
        <f t="shared" si="2"/>
        <v>165536.49893522364</v>
      </c>
      <c r="I23" s="735">
        <f t="shared" si="2"/>
        <v>35716.815276380585</v>
      </c>
      <c r="J23" s="735">
        <f t="shared" si="2"/>
        <v>0</v>
      </c>
      <c r="K23" s="735">
        <f t="shared" si="2"/>
        <v>4590.4575077802738</v>
      </c>
      <c r="L23" s="735">
        <f t="shared" si="2"/>
        <v>0</v>
      </c>
      <c r="M23" s="735">
        <f t="shared" ca="1" si="2"/>
        <v>0</v>
      </c>
      <c r="N23" s="735">
        <f t="shared" si="2"/>
        <v>10725.521098923671</v>
      </c>
      <c r="O23" s="735">
        <f t="shared" ca="1" si="2"/>
        <v>49060.476810022541</v>
      </c>
      <c r="P23" s="735">
        <f t="shared" si="2"/>
        <v>439.29666666666674</v>
      </c>
      <c r="Q23" s="736">
        <f t="shared" si="2"/>
        <v>2059.1999999999998</v>
      </c>
      <c r="R23" s="737">
        <f ca="1">R20+R15+R22</f>
        <v>939117.9230883487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14418.988193901338</v>
      </c>
      <c r="D36" s="718">
        <f ca="1">tertiair!C20</f>
        <v>822.31077484374532</v>
      </c>
      <c r="E36" s="718">
        <f ca="1">tertiair!D20</f>
        <v>20407.085562417753</v>
      </c>
      <c r="F36" s="718">
        <f>tertiair!E20</f>
        <v>261.3608081765658</v>
      </c>
      <c r="G36" s="718">
        <f ca="1">tertiair!F20</f>
        <v>3416.9874979426263</v>
      </c>
      <c r="H36" s="718">
        <f>tertiair!G20</f>
        <v>0</v>
      </c>
      <c r="I36" s="718">
        <f>tertiair!H20</f>
        <v>0</v>
      </c>
      <c r="J36" s="718">
        <f>tertiair!I20</f>
        <v>0</v>
      </c>
      <c r="K36" s="718">
        <f>tertiair!J20</f>
        <v>9.4153227622126009E-2</v>
      </c>
      <c r="L36" s="718">
        <f>tertiair!K20</f>
        <v>0</v>
      </c>
      <c r="M36" s="718">
        <f ca="1">tertiair!L20</f>
        <v>0</v>
      </c>
      <c r="N36" s="718">
        <f>tertiair!M20</f>
        <v>0</v>
      </c>
      <c r="O36" s="718">
        <f ca="1">tertiair!N20</f>
        <v>0</v>
      </c>
      <c r="P36" s="718">
        <f>tertiair!O20</f>
        <v>0</v>
      </c>
      <c r="Q36" s="828">
        <f>tertiair!P20</f>
        <v>0</v>
      </c>
      <c r="R36" s="917">
        <f ca="1">SUM(C36:Q36)</f>
        <v>39326.826990509646</v>
      </c>
    </row>
    <row r="37" spans="1:18">
      <c r="A37" s="885" t="s">
        <v>225</v>
      </c>
      <c r="B37" s="892"/>
      <c r="C37" s="718">
        <f ca="1">huishoudens!B12</f>
        <v>13779.66338403048</v>
      </c>
      <c r="D37" s="718">
        <f ca="1">huishoudens!C12</f>
        <v>0</v>
      </c>
      <c r="E37" s="718">
        <f>huishoudens!D12</f>
        <v>41708.679154336656</v>
      </c>
      <c r="F37" s="718">
        <f>huishoudens!E12</f>
        <v>2316.4771786813199</v>
      </c>
      <c r="G37" s="718">
        <f>huishoudens!F12</f>
        <v>0</v>
      </c>
      <c r="H37" s="718">
        <f>huishoudens!G12</f>
        <v>0</v>
      </c>
      <c r="I37" s="718">
        <f>huishoudens!H12</f>
        <v>0</v>
      </c>
      <c r="J37" s="718">
        <f>huishoudens!I12</f>
        <v>0</v>
      </c>
      <c r="K37" s="718">
        <f>huishoudens!J12</f>
        <v>1527.8158633728224</v>
      </c>
      <c r="L37" s="718">
        <f>huishoudens!K12</f>
        <v>0</v>
      </c>
      <c r="M37" s="718">
        <f>huishoudens!L12</f>
        <v>0</v>
      </c>
      <c r="N37" s="718">
        <f>huishoudens!M12</f>
        <v>0</v>
      </c>
      <c r="O37" s="718">
        <f>huishoudens!N12</f>
        <v>0</v>
      </c>
      <c r="P37" s="718">
        <f>huishoudens!O12</f>
        <v>0</v>
      </c>
      <c r="Q37" s="828">
        <f>huishoudens!P12</f>
        <v>0</v>
      </c>
      <c r="R37" s="917">
        <f ca="1">SUM(C37:Q37)</f>
        <v>59332.63558042128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13912.731732058228</v>
      </c>
      <c r="D39" s="718">
        <f ca="1">industrie!C22</f>
        <v>0</v>
      </c>
      <c r="E39" s="718">
        <f>industrie!D22</f>
        <v>14379.842801233695</v>
      </c>
      <c r="F39" s="718">
        <f>industrie!E22</f>
        <v>1318.1644404501592</v>
      </c>
      <c r="G39" s="718">
        <f>industrie!F22</f>
        <v>5131.2339516419988</v>
      </c>
      <c r="H39" s="718">
        <f>industrie!G22</f>
        <v>0</v>
      </c>
      <c r="I39" s="718">
        <f>industrie!H22</f>
        <v>0</v>
      </c>
      <c r="J39" s="718">
        <f>industrie!I22</f>
        <v>0</v>
      </c>
      <c r="K39" s="718">
        <f>industrie!J22</f>
        <v>46.445193079678717</v>
      </c>
      <c r="L39" s="718">
        <f>industrie!K22</f>
        <v>0</v>
      </c>
      <c r="M39" s="718">
        <f>industrie!L22</f>
        <v>0</v>
      </c>
      <c r="N39" s="718">
        <f>industrie!M22</f>
        <v>0</v>
      </c>
      <c r="O39" s="718">
        <f>industrie!N22</f>
        <v>0</v>
      </c>
      <c r="P39" s="718">
        <f>industrie!O22</f>
        <v>0</v>
      </c>
      <c r="Q39" s="828">
        <f>industrie!P22</f>
        <v>0</v>
      </c>
      <c r="R39" s="918">
        <f ca="1">SUM(C39:Q39)</f>
        <v>34788.418118463764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42111.383309990044</v>
      </c>
      <c r="D41" s="763">
        <f t="shared" ref="D41:R41" ca="1" si="4">SUM(D35:D40)</f>
        <v>822.31077484374532</v>
      </c>
      <c r="E41" s="763">
        <f t="shared" ca="1" si="4"/>
        <v>76495.607517988101</v>
      </c>
      <c r="F41" s="763">
        <f t="shared" si="4"/>
        <v>3896.0024273080453</v>
      </c>
      <c r="G41" s="763">
        <f t="shared" ca="1" si="4"/>
        <v>8548.2214495846256</v>
      </c>
      <c r="H41" s="763">
        <f t="shared" si="4"/>
        <v>0</v>
      </c>
      <c r="I41" s="763">
        <f t="shared" si="4"/>
        <v>0</v>
      </c>
      <c r="J41" s="763">
        <f t="shared" si="4"/>
        <v>0</v>
      </c>
      <c r="K41" s="763">
        <f t="shared" si="4"/>
        <v>1574.3552096801234</v>
      </c>
      <c r="L41" s="763">
        <f t="shared" si="4"/>
        <v>0</v>
      </c>
      <c r="M41" s="763">
        <f t="shared" ca="1" si="4"/>
        <v>0</v>
      </c>
      <c r="N41" s="763">
        <f t="shared" si="4"/>
        <v>0</v>
      </c>
      <c r="O41" s="763">
        <f t="shared" ca="1" si="4"/>
        <v>0</v>
      </c>
      <c r="P41" s="763">
        <f t="shared" si="4"/>
        <v>0</v>
      </c>
      <c r="Q41" s="764">
        <f t="shared" si="4"/>
        <v>0</v>
      </c>
      <c r="R41" s="765">
        <f t="shared" ca="1" si="4"/>
        <v>133447.88068939469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999.65323745360604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999.65323745360604</v>
      </c>
    </row>
    <row r="45" spans="1:18" ht="15" thickBot="1">
      <c r="A45" s="888" t="s">
        <v>307</v>
      </c>
      <c r="B45" s="898"/>
      <c r="C45" s="727">
        <f ca="1">transport!B18</f>
        <v>16.828092102138537</v>
      </c>
      <c r="D45" s="727">
        <f>transport!C18</f>
        <v>0</v>
      </c>
      <c r="E45" s="727">
        <f>transport!D18</f>
        <v>64.046155081140839</v>
      </c>
      <c r="F45" s="727">
        <f>transport!E18</f>
        <v>95.786510238876474</v>
      </c>
      <c r="G45" s="727">
        <f>transport!F18</f>
        <v>0</v>
      </c>
      <c r="H45" s="727">
        <f>transport!G18</f>
        <v>43198.591978251105</v>
      </c>
      <c r="I45" s="727">
        <f>transport!H18</f>
        <v>8893.4870038187655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52268.739739492026</v>
      </c>
    </row>
    <row r="46" spans="1:18" ht="15.75" thickBot="1">
      <c r="A46" s="886" t="s">
        <v>230</v>
      </c>
      <c r="B46" s="899"/>
      <c r="C46" s="763">
        <f t="shared" ref="C46:R46" ca="1" si="5">SUM(C43:C45)</f>
        <v>16.828092102138537</v>
      </c>
      <c r="D46" s="763">
        <f t="shared" ca="1" si="5"/>
        <v>0</v>
      </c>
      <c r="E46" s="763">
        <f t="shared" si="5"/>
        <v>64.046155081140839</v>
      </c>
      <c r="F46" s="763">
        <f t="shared" si="5"/>
        <v>95.786510238876474</v>
      </c>
      <c r="G46" s="763">
        <f t="shared" si="5"/>
        <v>0</v>
      </c>
      <c r="H46" s="763">
        <f t="shared" si="5"/>
        <v>44198.245215704708</v>
      </c>
      <c r="I46" s="763">
        <f t="shared" si="5"/>
        <v>8893.4870038187655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53268.39297694563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185.6565869431582</v>
      </c>
      <c r="D48" s="718">
        <f ca="1">+landbouw!C12</f>
        <v>17.941325996590805</v>
      </c>
      <c r="E48" s="718">
        <f>+landbouw!D12</f>
        <v>1911.8988283157244</v>
      </c>
      <c r="F48" s="718">
        <f>+landbouw!E12</f>
        <v>6.591531454506204</v>
      </c>
      <c r="G48" s="718">
        <f>+landbouw!F12</f>
        <v>1098.8556553027324</v>
      </c>
      <c r="H48" s="718">
        <f>+landbouw!G12</f>
        <v>0</v>
      </c>
      <c r="I48" s="718">
        <f>+landbouw!H12</f>
        <v>0</v>
      </c>
      <c r="J48" s="718">
        <f>+landbouw!I12</f>
        <v>0</v>
      </c>
      <c r="K48" s="718">
        <f>+landbouw!J12</f>
        <v>50.666748074093917</v>
      </c>
      <c r="L48" s="718">
        <f>+landbouw!K12</f>
        <v>0</v>
      </c>
      <c r="M48" s="718">
        <f>+landbouw!L12</f>
        <v>0</v>
      </c>
      <c r="N48" s="718">
        <f>+landbouw!M12</f>
        <v>0</v>
      </c>
      <c r="O48" s="718">
        <f>+landbouw!N12</f>
        <v>0</v>
      </c>
      <c r="P48" s="718">
        <f>+landbouw!O12</f>
        <v>0</v>
      </c>
      <c r="Q48" s="719">
        <f>+landbouw!P12</f>
        <v>0</v>
      </c>
      <c r="R48" s="761">
        <f ca="1">SUM(C48:Q48)</f>
        <v>3271.6106760868061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42313.867989035338</v>
      </c>
      <c r="D53" s="773">
        <f t="shared" ref="D53:Q53" ca="1" si="6">D41+D46+D48</f>
        <v>840.25210084033608</v>
      </c>
      <c r="E53" s="773">
        <f t="shared" ca="1" si="6"/>
        <v>78471.552501384969</v>
      </c>
      <c r="F53" s="773">
        <f t="shared" si="6"/>
        <v>3998.3804690014281</v>
      </c>
      <c r="G53" s="773">
        <f t="shared" ca="1" si="6"/>
        <v>9647.0771048873576</v>
      </c>
      <c r="H53" s="773">
        <f t="shared" si="6"/>
        <v>44198.245215704708</v>
      </c>
      <c r="I53" s="773">
        <f t="shared" si="6"/>
        <v>8893.4870038187655</v>
      </c>
      <c r="J53" s="773">
        <f t="shared" si="6"/>
        <v>0</v>
      </c>
      <c r="K53" s="773">
        <f t="shared" si="6"/>
        <v>1625.0219577542173</v>
      </c>
      <c r="L53" s="773">
        <f t="shared" si="6"/>
        <v>0</v>
      </c>
      <c r="M53" s="773">
        <f t="shared" ca="1" si="6"/>
        <v>0</v>
      </c>
      <c r="N53" s="773">
        <f t="shared" si="6"/>
        <v>0</v>
      </c>
      <c r="O53" s="773">
        <f t="shared" ca="1" si="6"/>
        <v>0</v>
      </c>
      <c r="P53" s="773">
        <f>P41+P46+P48</f>
        <v>0</v>
      </c>
      <c r="Q53" s="774">
        <f t="shared" si="6"/>
        <v>0</v>
      </c>
      <c r="R53" s="775">
        <f ca="1">R41+R46+R48</f>
        <v>189987.88434242713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0.18792934856035112</v>
      </c>
      <c r="D55" s="836">
        <f t="shared" ca="1" si="7"/>
        <v>0.23257274440025116</v>
      </c>
      <c r="E55" s="836">
        <f t="shared" ca="1" si="7"/>
        <v>0.20199999999999999</v>
      </c>
      <c r="F55" s="836">
        <f t="shared" si="7"/>
        <v>0.22700000000000009</v>
      </c>
      <c r="G55" s="836">
        <f t="shared" ca="1" si="7"/>
        <v>0.26700000000000002</v>
      </c>
      <c r="H55" s="836">
        <f t="shared" si="7"/>
        <v>0.26699999999999996</v>
      </c>
      <c r="I55" s="836">
        <f t="shared" si="7"/>
        <v>0.249</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15328.946564455178</v>
      </c>
      <c r="C64" s="795">
        <f>'lokale energieproductie'!B4</f>
        <v>15328.946564455178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16057.401079512141</v>
      </c>
      <c r="C66" s="795">
        <f>'lokale energieproductie'!B6</f>
        <v>16057.401079512141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2529</v>
      </c>
      <c r="C67" s="794">
        <f>B67*IFERROR(SUM(J67:L67)/SUM(D67:M67),0)</f>
        <v>54.000000000000007</v>
      </c>
      <c r="D67" s="826">
        <f>'lokale energieproductie'!C7</f>
        <v>2911.7647058823527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63.529411764705891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588.17647058823525</v>
      </c>
      <c r="P67" s="922">
        <v>0</v>
      </c>
      <c r="Q67" s="785"/>
      <c r="R67" s="742"/>
    </row>
    <row r="68" spans="1:18" ht="30.75" thickBot="1">
      <c r="A68" s="801" t="s">
        <v>353</v>
      </c>
      <c r="B68" s="794">
        <f>'lokale energieproductie'!B8</f>
        <v>2439</v>
      </c>
      <c r="C68" s="794">
        <f>B68*IFERROR(SUM(J68:L68)/SUM(D68:M68),0)</f>
        <v>2439</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6968.5714285714294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36354.347643967318</v>
      </c>
      <c r="C69" s="803">
        <f>SUM(C64:C68)</f>
        <v>33879.347643967318</v>
      </c>
      <c r="D69" s="804">
        <f t="shared" ref="D69:M69" si="8">SUM(D67:D68)</f>
        <v>2911.7647058823527</v>
      </c>
      <c r="E69" s="804">
        <f t="shared" si="8"/>
        <v>0</v>
      </c>
      <c r="F69" s="804">
        <f t="shared" si="8"/>
        <v>0</v>
      </c>
      <c r="G69" s="804">
        <f t="shared" si="8"/>
        <v>0</v>
      </c>
      <c r="H69" s="804">
        <f t="shared" si="8"/>
        <v>0</v>
      </c>
      <c r="I69" s="804">
        <f t="shared" si="8"/>
        <v>0</v>
      </c>
      <c r="J69" s="804">
        <f t="shared" si="8"/>
        <v>0</v>
      </c>
      <c r="K69" s="804">
        <f t="shared" si="8"/>
        <v>7032.1008403361357</v>
      </c>
      <c r="L69" s="804">
        <f t="shared" si="8"/>
        <v>0</v>
      </c>
      <c r="M69" s="930">
        <f t="shared" si="8"/>
        <v>0</v>
      </c>
      <c r="N69" s="805">
        <v>0</v>
      </c>
      <c r="O69" s="805">
        <f>SUM(O67:O68)</f>
        <v>588.17647058823525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3612.8571428571431</v>
      </c>
      <c r="C78" s="817">
        <f>B78*IFERROR(SUM(I78:L78)/SUM(D78:M78),0)</f>
        <v>77.142857142857167</v>
      </c>
      <c r="D78" s="832">
        <f>'lokale energieproductie'!C16</f>
        <v>4159.6638655462184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90.756302521008422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3612.8571428571431</v>
      </c>
      <c r="C81" s="803">
        <f>SUM(C78:C80)</f>
        <v>77.142857142857167</v>
      </c>
      <c r="D81" s="803">
        <f t="shared" ref="D81:P81" si="9">SUM(D78:D80)</f>
        <v>4159.6638655462184</v>
      </c>
      <c r="E81" s="803">
        <f t="shared" si="9"/>
        <v>0</v>
      </c>
      <c r="F81" s="803">
        <f t="shared" si="9"/>
        <v>0</v>
      </c>
      <c r="G81" s="803">
        <f t="shared" si="9"/>
        <v>0</v>
      </c>
      <c r="H81" s="803">
        <f t="shared" si="9"/>
        <v>0</v>
      </c>
      <c r="I81" s="803">
        <f t="shared" si="9"/>
        <v>0</v>
      </c>
      <c r="J81" s="803">
        <f t="shared" si="9"/>
        <v>0</v>
      </c>
      <c r="K81" s="803">
        <f t="shared" si="9"/>
        <v>90.756302521008422</v>
      </c>
      <c r="L81" s="803">
        <f t="shared" si="9"/>
        <v>0</v>
      </c>
      <c r="M81" s="803">
        <f t="shared" si="9"/>
        <v>0</v>
      </c>
      <c r="N81" s="803">
        <v>0</v>
      </c>
      <c r="O81" s="803">
        <f>SUM(O78:O80)</f>
        <v>840.2521008403362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73323.637258314207</v>
      </c>
      <c r="C4" s="478">
        <f>huishoudens!C8</f>
        <v>0</v>
      </c>
      <c r="D4" s="478">
        <f>huishoudens!D8</f>
        <v>206478.60967493392</v>
      </c>
      <c r="E4" s="478">
        <f>huishoudens!E8</f>
        <v>10204.745280534447</v>
      </c>
      <c r="F4" s="478">
        <f>huishoudens!F8</f>
        <v>0</v>
      </c>
      <c r="G4" s="478">
        <f>huishoudens!G8</f>
        <v>0</v>
      </c>
      <c r="H4" s="478">
        <f>huishoudens!H8</f>
        <v>0</v>
      </c>
      <c r="I4" s="478">
        <f>huishoudens!I8</f>
        <v>0</v>
      </c>
      <c r="J4" s="478">
        <f>huishoudens!J8</f>
        <v>4315.8640208271818</v>
      </c>
      <c r="K4" s="478">
        <f>huishoudens!K8</f>
        <v>0</v>
      </c>
      <c r="L4" s="478">
        <f>huishoudens!L8</f>
        <v>0</v>
      </c>
      <c r="M4" s="478">
        <f>huishoudens!M8</f>
        <v>0</v>
      </c>
      <c r="N4" s="478">
        <f>huishoudens!N8</f>
        <v>30250.006132770006</v>
      </c>
      <c r="O4" s="478">
        <f>huishoudens!O8</f>
        <v>434.60666666666674</v>
      </c>
      <c r="P4" s="479">
        <f>huishoudens!P8</f>
        <v>2002</v>
      </c>
      <c r="Q4" s="480">
        <f>SUM(B4:P4)</f>
        <v>327009.4690340464</v>
      </c>
    </row>
    <row r="5" spans="1:17">
      <c r="A5" s="477" t="s">
        <v>156</v>
      </c>
      <c r="B5" s="478">
        <f ca="1">tertiair!B16</f>
        <v>73716.507609354419</v>
      </c>
      <c r="C5" s="478">
        <f ca="1">tertiair!C16</f>
        <v>3535.7142857142858</v>
      </c>
      <c r="D5" s="478">
        <f ca="1">tertiair!D16</f>
        <v>101025.17605157303</v>
      </c>
      <c r="E5" s="478">
        <f>tertiair!E16</f>
        <v>1151.3691990157083</v>
      </c>
      <c r="F5" s="478">
        <f ca="1">tertiair!F16</f>
        <v>12797.705984803843</v>
      </c>
      <c r="G5" s="478">
        <f>tertiair!G16</f>
        <v>0</v>
      </c>
      <c r="H5" s="478">
        <f>tertiair!H16</f>
        <v>0</v>
      </c>
      <c r="I5" s="478">
        <f>tertiair!I16</f>
        <v>0</v>
      </c>
      <c r="J5" s="478">
        <f>tertiair!J16</f>
        <v>0.26596956955402828</v>
      </c>
      <c r="K5" s="478">
        <f>tertiair!K16</f>
        <v>0</v>
      </c>
      <c r="L5" s="478">
        <f ca="1">tertiair!L16</f>
        <v>0</v>
      </c>
      <c r="M5" s="478">
        <f>tertiair!M16</f>
        <v>0</v>
      </c>
      <c r="N5" s="478">
        <f ca="1">tertiair!N16</f>
        <v>3621.874201827146</v>
      </c>
      <c r="O5" s="478">
        <f>tertiair!O16</f>
        <v>4.6900000000000004</v>
      </c>
      <c r="P5" s="479">
        <f>tertiair!P16</f>
        <v>57.2</v>
      </c>
      <c r="Q5" s="477">
        <f t="shared" ref="Q5:Q13" ca="1" si="0">SUM(B5:P5)</f>
        <v>195910.503301858</v>
      </c>
    </row>
    <row r="6" spans="1:17">
      <c r="A6" s="477" t="s">
        <v>194</v>
      </c>
      <c r="B6" s="478">
        <f>'openbare verlichting'!B8</f>
        <v>3009.0720000000001</v>
      </c>
      <c r="C6" s="478"/>
      <c r="D6" s="478"/>
      <c r="E6" s="478"/>
      <c r="F6" s="478"/>
      <c r="G6" s="478"/>
      <c r="H6" s="478"/>
      <c r="I6" s="478"/>
      <c r="J6" s="478"/>
      <c r="K6" s="478"/>
      <c r="L6" s="478"/>
      <c r="M6" s="478"/>
      <c r="N6" s="478"/>
      <c r="O6" s="478"/>
      <c r="P6" s="479"/>
      <c r="Q6" s="477">
        <f t="shared" si="0"/>
        <v>3009.0720000000001</v>
      </c>
    </row>
    <row r="7" spans="1:17">
      <c r="A7" s="477" t="s">
        <v>112</v>
      </c>
      <c r="B7" s="478">
        <f>landbouw!B8</f>
        <v>987.90629758149203</v>
      </c>
      <c r="C7" s="478">
        <f>landbouw!C8</f>
        <v>77.142857142857139</v>
      </c>
      <c r="D7" s="478">
        <f>landbouw!D8</f>
        <v>9464.8456847313082</v>
      </c>
      <c r="E7" s="478">
        <f>landbouw!E8</f>
        <v>29.037583500027328</v>
      </c>
      <c r="F7" s="478">
        <f>landbouw!F8</f>
        <v>4115.5642520701585</v>
      </c>
      <c r="G7" s="478">
        <f>landbouw!G8</f>
        <v>0</v>
      </c>
      <c r="H7" s="478">
        <f>landbouw!H8</f>
        <v>0</v>
      </c>
      <c r="I7" s="478">
        <f>landbouw!I8</f>
        <v>0</v>
      </c>
      <c r="J7" s="478">
        <f>landbouw!J8</f>
        <v>143.12640698896587</v>
      </c>
      <c r="K7" s="478">
        <f>landbouw!K8</f>
        <v>0</v>
      </c>
      <c r="L7" s="478">
        <f>landbouw!L8</f>
        <v>0</v>
      </c>
      <c r="M7" s="478">
        <f>landbouw!M8</f>
        <v>0</v>
      </c>
      <c r="N7" s="478">
        <f>landbouw!N8</f>
        <v>0</v>
      </c>
      <c r="O7" s="478">
        <f>landbouw!O8</f>
        <v>0</v>
      </c>
      <c r="P7" s="479">
        <f>landbouw!P8</f>
        <v>0</v>
      </c>
      <c r="Q7" s="477">
        <f t="shared" si="0"/>
        <v>14817.623082014808</v>
      </c>
    </row>
    <row r="8" spans="1:17">
      <c r="A8" s="477" t="s">
        <v>635</v>
      </c>
      <c r="B8" s="478">
        <f>industrie!B18</f>
        <v>74031.713719213629</v>
      </c>
      <c r="C8" s="478">
        <f>industrie!C18</f>
        <v>0</v>
      </c>
      <c r="D8" s="478">
        <f>industrie!D18</f>
        <v>71187.340600166805</v>
      </c>
      <c r="E8" s="478">
        <f>industrie!E18</f>
        <v>5806.8918081504808</v>
      </c>
      <c r="F8" s="478">
        <f>industrie!F18</f>
        <v>19218.104687797746</v>
      </c>
      <c r="G8" s="478">
        <f>industrie!G18</f>
        <v>0</v>
      </c>
      <c r="H8" s="478">
        <f>industrie!H18</f>
        <v>0</v>
      </c>
      <c r="I8" s="478">
        <f>industrie!I18</f>
        <v>0</v>
      </c>
      <c r="J8" s="478">
        <f>industrie!J18</f>
        <v>131.20111039457265</v>
      </c>
      <c r="K8" s="478">
        <f>industrie!K18</f>
        <v>0</v>
      </c>
      <c r="L8" s="478">
        <f>industrie!L18</f>
        <v>0</v>
      </c>
      <c r="M8" s="478">
        <f>industrie!M18</f>
        <v>0</v>
      </c>
      <c r="N8" s="478">
        <f>industrie!N18</f>
        <v>15188.596475425387</v>
      </c>
      <c r="O8" s="478">
        <f>industrie!O18</f>
        <v>0</v>
      </c>
      <c r="P8" s="479">
        <f>industrie!P18</f>
        <v>0</v>
      </c>
      <c r="Q8" s="477">
        <f t="shared" si="0"/>
        <v>185563.84840114863</v>
      </c>
    </row>
    <row r="9" spans="1:17" s="483" customFormat="1">
      <c r="A9" s="481" t="s">
        <v>561</v>
      </c>
      <c r="B9" s="482">
        <f>transport!B14</f>
        <v>89.544779626234941</v>
      </c>
      <c r="C9" s="482"/>
      <c r="D9" s="482">
        <f>transport!D14</f>
        <v>317.06017366901403</v>
      </c>
      <c r="E9" s="482">
        <f>transport!E14</f>
        <v>421.96700545760558</v>
      </c>
      <c r="F9" s="482"/>
      <c r="G9" s="482">
        <f>transport!G14</f>
        <v>161792.47931929253</v>
      </c>
      <c r="H9" s="482">
        <f>transport!H14</f>
        <v>35716.815276380585</v>
      </c>
      <c r="I9" s="482"/>
      <c r="J9" s="482"/>
      <c r="K9" s="482"/>
      <c r="L9" s="482"/>
      <c r="M9" s="482">
        <f>transport!M14</f>
        <v>10512.877312999364</v>
      </c>
      <c r="N9" s="482"/>
      <c r="O9" s="482"/>
      <c r="P9" s="482"/>
      <c r="Q9" s="481">
        <f>SUM(B9:P9)</f>
        <v>208850.74386742534</v>
      </c>
    </row>
    <row r="10" spans="1:17">
      <c r="A10" s="477" t="s">
        <v>551</v>
      </c>
      <c r="B10" s="478">
        <f>transport!B54</f>
        <v>0</v>
      </c>
      <c r="C10" s="478"/>
      <c r="D10" s="478">
        <f>transport!D54</f>
        <v>0</v>
      </c>
      <c r="E10" s="478"/>
      <c r="F10" s="478"/>
      <c r="G10" s="478">
        <f>transport!G54</f>
        <v>3744.0196159311085</v>
      </c>
      <c r="H10" s="478"/>
      <c r="I10" s="478"/>
      <c r="J10" s="478"/>
      <c r="K10" s="478"/>
      <c r="L10" s="478"/>
      <c r="M10" s="478">
        <f>transport!M54</f>
        <v>212.64378592430711</v>
      </c>
      <c r="N10" s="478"/>
      <c r="O10" s="478"/>
      <c r="P10" s="479"/>
      <c r="Q10" s="477">
        <f t="shared" si="0"/>
        <v>3956.6634018554155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225158.38166408997</v>
      </c>
      <c r="C14" s="488">
        <f t="shared" ref="C14:Q14" ca="1" si="1">SUM(C4:C13)</f>
        <v>3612.8571428571431</v>
      </c>
      <c r="D14" s="488">
        <f t="shared" ca="1" si="1"/>
        <v>388473.03218507412</v>
      </c>
      <c r="E14" s="488">
        <f t="shared" si="1"/>
        <v>17614.010876658267</v>
      </c>
      <c r="F14" s="488">
        <f t="shared" ca="1" si="1"/>
        <v>36131.374924671749</v>
      </c>
      <c r="G14" s="488">
        <f t="shared" si="1"/>
        <v>165536.49893522364</v>
      </c>
      <c r="H14" s="488">
        <f t="shared" si="1"/>
        <v>35716.815276380585</v>
      </c>
      <c r="I14" s="488">
        <f t="shared" si="1"/>
        <v>0</v>
      </c>
      <c r="J14" s="488">
        <f t="shared" si="1"/>
        <v>4590.4575077802738</v>
      </c>
      <c r="K14" s="488">
        <f t="shared" si="1"/>
        <v>0</v>
      </c>
      <c r="L14" s="488">
        <f t="shared" ca="1" si="1"/>
        <v>0</v>
      </c>
      <c r="M14" s="488">
        <f t="shared" si="1"/>
        <v>10725.521098923671</v>
      </c>
      <c r="N14" s="488">
        <f t="shared" ca="1" si="1"/>
        <v>49060.476810022541</v>
      </c>
      <c r="O14" s="488">
        <f t="shared" si="1"/>
        <v>439.29666666666674</v>
      </c>
      <c r="P14" s="489">
        <f t="shared" si="1"/>
        <v>2059.1999999999998</v>
      </c>
      <c r="Q14" s="489">
        <f t="shared" ca="1" si="1"/>
        <v>939117.92308834859</v>
      </c>
    </row>
    <row r="16" spans="1:17">
      <c r="A16" s="491" t="s">
        <v>556</v>
      </c>
      <c r="B16" s="841">
        <f ca="1">huishoudens!B10</f>
        <v>0.18792934856035115</v>
      </c>
      <c r="C16" s="841">
        <f ca="1">huishoudens!C10</f>
        <v>0.23257274440025119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13779.66338403048</v>
      </c>
      <c r="C21" s="478">
        <f t="shared" ref="C21:C28" ca="1" si="3">C4*$C$16</f>
        <v>0</v>
      </c>
      <c r="D21" s="478">
        <f t="shared" ref="D21:D30" si="4">D4*$D$16</f>
        <v>41708.679154336656</v>
      </c>
      <c r="E21" s="478">
        <f t="shared" ref="E21:E30" si="5">E4*$E$16</f>
        <v>2316.4771786813199</v>
      </c>
      <c r="F21" s="478">
        <f t="shared" ref="F21:F28" si="6">F4*$F$16</f>
        <v>0</v>
      </c>
      <c r="G21" s="478">
        <f t="shared" ref="G21:G30" si="7">G4*$G$16</f>
        <v>0</v>
      </c>
      <c r="H21" s="478">
        <f t="shared" ref="H21:H30" si="8">H4*$H$16</f>
        <v>0</v>
      </c>
      <c r="I21" s="478">
        <f t="shared" ref="I21:I28" si="9">I4*$I$16</f>
        <v>0</v>
      </c>
      <c r="J21" s="478">
        <f t="shared" ref="J21:J28" si="10">J4*$J$16</f>
        <v>1527.8158633728224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59332.63558042128</v>
      </c>
    </row>
    <row r="22" spans="1:17">
      <c r="A22" s="477" t="s">
        <v>156</v>
      </c>
      <c r="B22" s="478">
        <f t="shared" ca="1" si="2"/>
        <v>13853.495253170144</v>
      </c>
      <c r="C22" s="478">
        <f t="shared" ca="1" si="3"/>
        <v>822.31077484374532</v>
      </c>
      <c r="D22" s="478">
        <f t="shared" ca="1" si="4"/>
        <v>20407.085562417753</v>
      </c>
      <c r="E22" s="478">
        <f t="shared" si="5"/>
        <v>261.3608081765658</v>
      </c>
      <c r="F22" s="478">
        <f t="shared" ca="1" si="6"/>
        <v>3416.9874979426263</v>
      </c>
      <c r="G22" s="478">
        <f t="shared" si="7"/>
        <v>0</v>
      </c>
      <c r="H22" s="478">
        <f t="shared" si="8"/>
        <v>0</v>
      </c>
      <c r="I22" s="478">
        <f t="shared" si="9"/>
        <v>0</v>
      </c>
      <c r="J22" s="478">
        <f t="shared" si="10"/>
        <v>9.4153227622126009E-2</v>
      </c>
      <c r="K22" s="478">
        <f t="shared" si="11"/>
        <v>0</v>
      </c>
      <c r="L22" s="478">
        <f t="shared" ca="1" si="12"/>
        <v>0</v>
      </c>
      <c r="M22" s="478">
        <f t="shared" si="13"/>
        <v>0</v>
      </c>
      <c r="N22" s="478">
        <f t="shared" ca="1" si="14"/>
        <v>0</v>
      </c>
      <c r="O22" s="478">
        <f t="shared" si="15"/>
        <v>0</v>
      </c>
      <c r="P22" s="479">
        <f t="shared" si="16"/>
        <v>0</v>
      </c>
      <c r="Q22" s="477">
        <f t="shared" ref="Q22:Q30" ca="1" si="17">SUM(B22:P22)</f>
        <v>38761.334049778445</v>
      </c>
    </row>
    <row r="23" spans="1:17">
      <c r="A23" s="477" t="s">
        <v>194</v>
      </c>
      <c r="B23" s="478">
        <f t="shared" ca="1" si="2"/>
        <v>565.49294073119302</v>
      </c>
      <c r="C23" s="478"/>
      <c r="D23" s="478"/>
      <c r="E23" s="478"/>
      <c r="F23" s="478"/>
      <c r="G23" s="478"/>
      <c r="H23" s="478"/>
      <c r="I23" s="478"/>
      <c r="J23" s="478"/>
      <c r="K23" s="478"/>
      <c r="L23" s="478"/>
      <c r="M23" s="478"/>
      <c r="N23" s="478"/>
      <c r="O23" s="478"/>
      <c r="P23" s="479"/>
      <c r="Q23" s="477">
        <f t="shared" ca="1" si="17"/>
        <v>565.49294073119302</v>
      </c>
    </row>
    <row r="24" spans="1:17">
      <c r="A24" s="477" t="s">
        <v>112</v>
      </c>
      <c r="B24" s="478">
        <f t="shared" ca="1" si="2"/>
        <v>185.6565869431582</v>
      </c>
      <c r="C24" s="478">
        <f t="shared" ca="1" si="3"/>
        <v>17.941325996590805</v>
      </c>
      <c r="D24" s="478">
        <f t="shared" si="4"/>
        <v>1911.8988283157244</v>
      </c>
      <c r="E24" s="478">
        <f t="shared" si="5"/>
        <v>6.591531454506204</v>
      </c>
      <c r="F24" s="478">
        <f t="shared" si="6"/>
        <v>1098.8556553027324</v>
      </c>
      <c r="G24" s="478">
        <f t="shared" si="7"/>
        <v>0</v>
      </c>
      <c r="H24" s="478">
        <f t="shared" si="8"/>
        <v>0</v>
      </c>
      <c r="I24" s="478">
        <f t="shared" si="9"/>
        <v>0</v>
      </c>
      <c r="J24" s="478">
        <f t="shared" si="10"/>
        <v>50.666748074093917</v>
      </c>
      <c r="K24" s="478">
        <f t="shared" si="11"/>
        <v>0</v>
      </c>
      <c r="L24" s="478">
        <f t="shared" si="12"/>
        <v>0</v>
      </c>
      <c r="M24" s="478">
        <f t="shared" si="13"/>
        <v>0</v>
      </c>
      <c r="N24" s="478">
        <f t="shared" si="14"/>
        <v>0</v>
      </c>
      <c r="O24" s="478">
        <f t="shared" si="15"/>
        <v>0</v>
      </c>
      <c r="P24" s="479">
        <f t="shared" si="16"/>
        <v>0</v>
      </c>
      <c r="Q24" s="477">
        <f t="shared" ca="1" si="17"/>
        <v>3271.6106760868061</v>
      </c>
    </row>
    <row r="25" spans="1:17">
      <c r="A25" s="477" t="s">
        <v>635</v>
      </c>
      <c r="B25" s="478">
        <f t="shared" ca="1" si="2"/>
        <v>13912.731732058228</v>
      </c>
      <c r="C25" s="478">
        <f t="shared" ca="1" si="3"/>
        <v>0</v>
      </c>
      <c r="D25" s="478">
        <f t="shared" si="4"/>
        <v>14379.842801233695</v>
      </c>
      <c r="E25" s="478">
        <f t="shared" si="5"/>
        <v>1318.1644404501592</v>
      </c>
      <c r="F25" s="478">
        <f t="shared" si="6"/>
        <v>5131.2339516419988</v>
      </c>
      <c r="G25" s="478">
        <f t="shared" si="7"/>
        <v>0</v>
      </c>
      <c r="H25" s="478">
        <f t="shared" si="8"/>
        <v>0</v>
      </c>
      <c r="I25" s="478">
        <f t="shared" si="9"/>
        <v>0</v>
      </c>
      <c r="J25" s="478">
        <f t="shared" si="10"/>
        <v>46.445193079678717</v>
      </c>
      <c r="K25" s="478">
        <f t="shared" si="11"/>
        <v>0</v>
      </c>
      <c r="L25" s="478">
        <f t="shared" si="12"/>
        <v>0</v>
      </c>
      <c r="M25" s="478">
        <f t="shared" si="13"/>
        <v>0</v>
      </c>
      <c r="N25" s="478">
        <f t="shared" si="14"/>
        <v>0</v>
      </c>
      <c r="O25" s="478">
        <f t="shared" si="15"/>
        <v>0</v>
      </c>
      <c r="P25" s="479">
        <f t="shared" si="16"/>
        <v>0</v>
      </c>
      <c r="Q25" s="477">
        <f t="shared" ca="1" si="17"/>
        <v>34788.418118463764</v>
      </c>
    </row>
    <row r="26" spans="1:17" s="483" customFormat="1">
      <c r="A26" s="481" t="s">
        <v>561</v>
      </c>
      <c r="B26" s="835">
        <f t="shared" ca="1" si="2"/>
        <v>16.828092102138537</v>
      </c>
      <c r="C26" s="482"/>
      <c r="D26" s="482">
        <f t="shared" si="4"/>
        <v>64.046155081140839</v>
      </c>
      <c r="E26" s="482">
        <f t="shared" si="5"/>
        <v>95.786510238876474</v>
      </c>
      <c r="F26" s="482"/>
      <c r="G26" s="482">
        <f t="shared" si="7"/>
        <v>43198.591978251105</v>
      </c>
      <c r="H26" s="482">
        <f t="shared" si="8"/>
        <v>8893.4870038187655</v>
      </c>
      <c r="I26" s="482"/>
      <c r="J26" s="482"/>
      <c r="K26" s="482"/>
      <c r="L26" s="482"/>
      <c r="M26" s="482">
        <f t="shared" si="13"/>
        <v>0</v>
      </c>
      <c r="N26" s="482"/>
      <c r="O26" s="482"/>
      <c r="P26" s="493"/>
      <c r="Q26" s="481">
        <f t="shared" ca="1" si="17"/>
        <v>52268.739739492026</v>
      </c>
    </row>
    <row r="27" spans="1:17">
      <c r="A27" s="477" t="s">
        <v>551</v>
      </c>
      <c r="B27" s="478">
        <f t="shared" ca="1" si="2"/>
        <v>0</v>
      </c>
      <c r="C27" s="478"/>
      <c r="D27" s="482">
        <f t="shared" si="4"/>
        <v>0</v>
      </c>
      <c r="E27" s="478"/>
      <c r="F27" s="478"/>
      <c r="G27" s="478">
        <f t="shared" si="7"/>
        <v>999.65323745360604</v>
      </c>
      <c r="H27" s="478"/>
      <c r="I27" s="478"/>
      <c r="J27" s="478"/>
      <c r="K27" s="478"/>
      <c r="L27" s="478"/>
      <c r="M27" s="478">
        <f t="shared" si="13"/>
        <v>0</v>
      </c>
      <c r="N27" s="478"/>
      <c r="O27" s="478"/>
      <c r="P27" s="479"/>
      <c r="Q27" s="477">
        <f t="shared" ca="1" si="17"/>
        <v>999.65323745360604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42313.867989035338</v>
      </c>
      <c r="C31" s="488">
        <f t="shared" ca="1" si="18"/>
        <v>840.25210084033608</v>
      </c>
      <c r="D31" s="488">
        <f t="shared" ca="1" si="18"/>
        <v>78471.552501384969</v>
      </c>
      <c r="E31" s="488">
        <f t="shared" si="18"/>
        <v>3998.3804690014281</v>
      </c>
      <c r="F31" s="488">
        <f t="shared" ca="1" si="18"/>
        <v>9647.0771048873576</v>
      </c>
      <c r="G31" s="488">
        <f t="shared" si="18"/>
        <v>44198.245215704708</v>
      </c>
      <c r="H31" s="488">
        <f t="shared" si="18"/>
        <v>8893.4870038187655</v>
      </c>
      <c r="I31" s="488">
        <f t="shared" si="18"/>
        <v>0</v>
      </c>
      <c r="J31" s="488">
        <f t="shared" si="18"/>
        <v>1625.0219577542173</v>
      </c>
      <c r="K31" s="488">
        <f t="shared" si="18"/>
        <v>0</v>
      </c>
      <c r="L31" s="488">
        <f t="shared" ca="1" si="18"/>
        <v>0</v>
      </c>
      <c r="M31" s="488">
        <f t="shared" si="18"/>
        <v>0</v>
      </c>
      <c r="N31" s="488">
        <f t="shared" ca="1" si="18"/>
        <v>0</v>
      </c>
      <c r="O31" s="488">
        <f t="shared" si="18"/>
        <v>0</v>
      </c>
      <c r="P31" s="489">
        <f t="shared" si="18"/>
        <v>0</v>
      </c>
      <c r="Q31" s="489">
        <f t="shared" ca="1" si="18"/>
        <v>189987.88434242713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0.18792934856035115</v>
      </c>
      <c r="C17" s="528">
        <f ca="1">'EF ele_warmte'!B22</f>
        <v>0.23257274440025119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0.18792934856035115</v>
      </c>
      <c r="C17" s="528">
        <f ca="1">'EF ele_warmte'!B22</f>
        <v>0.23257274440025119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0.18792934856035115</v>
      </c>
      <c r="C29" s="529">
        <f ca="1">'EF ele_warmte'!B22</f>
        <v>0.23257274440025119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2019-01-01T21:20:27Z</dcterms:modified>
</cp:coreProperties>
</file>