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J24" i="48" l="1"/>
  <c r="D28"/>
  <c r="D30"/>
  <c r="D21"/>
  <c r="F28"/>
  <c r="H25"/>
  <c r="H24"/>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K31"/>
  <c r="M25"/>
  <c r="M24"/>
  <c r="I31"/>
  <c r="C50" i="13"/>
  <c r="J5" s="1"/>
  <c r="J8" s="1"/>
  <c r="E12" i="17"/>
  <c r="F48" i="14" s="1"/>
  <c r="C5" i="48"/>
  <c r="Q41" i="14" l="1"/>
  <c r="Q53" s="1"/>
  <c r="Q55"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5" i="48"/>
  <c r="Q4"/>
  <c r="N22"/>
  <c r="R11" i="14"/>
  <c r="J21" i="48"/>
  <c r="R10" i="14"/>
  <c r="C10" i="17" l="1"/>
  <c r="C12" s="1"/>
  <c r="D48" i="14" s="1"/>
  <c r="C56" i="22"/>
  <c r="C58" s="1"/>
  <c r="D44" i="14" s="1"/>
  <c r="D46" s="1"/>
  <c r="C17" i="49"/>
  <c r="C29" i="20"/>
  <c r="C18" i="15"/>
  <c r="C20" s="1"/>
  <c r="D36" i="14" s="1"/>
  <c r="C10" i="13"/>
  <c r="C12" s="1"/>
  <c r="D37" i="14" s="1"/>
  <c r="D41" s="1"/>
  <c r="C17" i="19"/>
  <c r="C19" s="1"/>
  <c r="D35" i="14" s="1"/>
  <c r="C20" i="16"/>
  <c r="C22" s="1"/>
  <c r="D39" i="14" s="1"/>
  <c r="C16" i="22"/>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16"/>
  <c r="C22" s="1"/>
  <c r="C21"/>
  <c r="C24"/>
  <c r="G55" i="14"/>
  <c r="O69" s="1"/>
  <c r="B9" i="6" s="1"/>
  <c r="B12" s="1"/>
  <c r="B20" i="16" s="1"/>
  <c r="B22" s="1"/>
  <c r="C39" i="14" s="1"/>
  <c r="R39" s="1"/>
  <c r="F55"/>
  <c r="R13"/>
  <c r="R15" s="1"/>
  <c r="R23" s="1"/>
  <c r="Q8" i="48"/>
  <c r="Q14" s="1"/>
  <c r="D53" i="14"/>
  <c r="D55" s="1"/>
  <c r="O23"/>
  <c r="O55" s="1"/>
  <c r="C28" i="48" l="1"/>
  <c r="C25"/>
  <c r="C31" s="1"/>
  <c r="B17" i="49"/>
  <c r="B19" s="1"/>
  <c r="C38" i="14" s="1"/>
  <c r="R38" s="1"/>
  <c r="B10" i="17"/>
  <c r="B12" s="1"/>
  <c r="C48" i="14" s="1"/>
  <c r="R48" s="1"/>
  <c r="B18" i="15"/>
  <c r="B20" s="1"/>
  <c r="B10" i="13"/>
  <c r="B16" i="48" s="1"/>
  <c r="B28" s="1"/>
  <c r="B29" i="20"/>
  <c r="B31" s="1"/>
  <c r="C43" i="14" s="1"/>
  <c r="R43" s="1"/>
  <c r="B17" i="19"/>
  <c r="B19" s="1"/>
  <c r="C35" i="14" s="1"/>
  <c r="R35" s="1"/>
  <c r="B56" i="22"/>
  <c r="B58" s="1"/>
  <c r="C44" i="14" s="1"/>
  <c r="R44" s="1"/>
  <c r="B10" i="9"/>
  <c r="B12" s="1"/>
  <c r="B16" i="22"/>
  <c r="B18" s="1"/>
  <c r="C45" i="14" s="1"/>
  <c r="R45" s="1"/>
  <c r="Q28" i="48" l="1"/>
  <c r="B12" i="13"/>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<sst xmlns="http://schemas.openxmlformats.org/spreadsheetml/2006/main" count="2108" uniqueCount="850">
  <si>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</si>
  <si>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</si>
  <si>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</si>
  <si>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</si>
  <si>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</si>
  <si>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</si>
  <si>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</si>
  <si>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</si>
  <si>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</si>
  <si>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</si>
  <si>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</si>
  <si>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</si>
  <si>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</si>
  <si>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</si>
  <si>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</si>
  <si>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</si>
  <si>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</si>
  <si>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</si>
  <si>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</si>
  <si>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</si>
  <si>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</si>
  <si>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</si>
  <si>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</si>
  <si>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</si>
  <si>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</si>
  <si>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</si>
  <si>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</si>
  <si>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</si>
  <si>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</si>
  <si>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</si>
  <si>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</si>
  <si>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</si>
  <si>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</si>
  <si>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</si>
  <si>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</si>
  <si>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</si>
  <si>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</si>
  <si>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</si>
  <si>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</si>
  <si>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</si>
  <si>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</si>
  <si>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</si>
  <si>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</si>
  <si>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</si>
  <si>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</si>
  <si>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</si>
  <si>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</si>
  <si>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</si>
  <si>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</si>
  <si>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</si>
  <si>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</si>
  <si>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</si>
  <si>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</si>
  <si>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</si>
  <si>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</si>
  <si>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</si>
  <si>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</si>
  <si>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</si>
  <si>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</si>
  <si>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</si>
  <si>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</si>
  <si>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</si>
  <si>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</si>
  <si>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</si>
  <si>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</si>
  <si>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</si>
  <si>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</si>
  <si>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</si>
  <si>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</si>
  <si>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</si>
  <si>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</si>
  <si>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</si>
  <si>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</si>
  <si>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</si>
  <si>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</si>
  <si>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</si>
  <si>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</si>
  <si>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</si>
  <si>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</si>
  <si>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</si>
  <si>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</si>
  <si>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</si>
  <si>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</si>
  <si>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</si>
  <si>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</si>
  <si>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</si>
  <si>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</si>
  <si>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</si>
  <si>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</si>
  <si>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</si>
  <si>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</si>
  <si>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</si>
  <si>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</si>
  <si>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</si>
  <si>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</si>
  <si>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</si>
  <si>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</si>
  <si>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</si>
  <si>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</si>
  <si>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</si>
  <si>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</si>
  <si>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</si>
  <si>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</si>
  <si>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</si>
  <si>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</si>
  <si>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</si>
  <si>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</si>
  <si>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</si>
  <si>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</si>
  <si>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</si>
  <si>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</si>
  <si>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</si>
  <si>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</si>
  <si>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</si>
  <si>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</si>
  <si>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</si>
  <si>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</si>
  <si>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</si>
  <si>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</si>
  <si>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</si>
  <si>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</si>
  <si>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</si>
  <si>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</si>
  <si>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</si>
  <si>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</si>
  <si>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</si>
  <si>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</si>
  <si>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</si>
  <si>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</si>
  <si>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</si>
  <si>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</si>
  <si>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</si>
  <si>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</si>
  <si>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</si>
  <si>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</si>
  <si>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</si>
  <si>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</si>
  <si>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</si>
  <si>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</si>
  <si>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</si>
  <si>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</si>
  <si>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</si>
  <si>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</si>
  <si>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</si>
  <si>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</si>
  <si>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</si>
  <si>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</si>
  <si>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</si>
  <si>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</si>
  <si>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</si>
  <si>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</si>
  <si>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</si>
  <si>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</si>
  <si>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</si>
  <si>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</si>
  <si>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</si>
  <si>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</si>
  <si>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</si>
  <si>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</si>
  <si>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</si>
  <si>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</si>
  <si>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</si>
  <si>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</si>
  <si>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</si>
  <si>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</si>
  <si>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</si>
  <si>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</si>
  <si>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</si>
  <si>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</si>
  <si>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</si>
  <si>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</si>
  <si>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</si>
  <si>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</si>
  <si>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</si>
  <si>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</si>
  <si>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</si>
  <si>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</si>
  <si>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</si>
  <si>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</si>
  <si>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</si>
  <si>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</si>
  <si>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</si>
  <si>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</si>
  <si>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</si>
  <si>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</si>
  <si>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</si>
  <si>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</si>
  <si>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</si>
  <si>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</si>
  <si>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</si>
  <si>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</si>
  <si>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</si>
  <si>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</si>
  <si>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</si>
  <si>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</si>
  <si>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</si>
  <si>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</si>
  <si>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</si>
  <si>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</si>
  <si>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</si>
  <si>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</si>
  <si>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</si>
  <si>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</si>
  <si>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</si>
  <si>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</si>
  <si>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</si>
  <si>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</si>
  <si>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</si>
  <si>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</si>
  <si>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</si>
  <si>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</si>
  <si>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</si>
  <si>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</si>
  <si>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</si>
  <si>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</si>
  <si>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</si>
  <si>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</si>
  <si>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</si>
  <si>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</si>
  <si>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</si>
  <si>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</si>
  <si>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</si>
  <si>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</si>
  <si>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</si>
  <si>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</si>
  <si>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</si>
  <si>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</si>
  <si>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</si>
  <si>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</si>
  <si>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</si>
  <si>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</si>
  <si>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</si>
  <si>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</si>
  <si>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</si>
  <si>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</si>
  <si>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</si>
  <si>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</si>
  <si>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</si>
  <si>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</si>
  <si>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</si>
  <si>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</si>
  <si>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</si>
  <si>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</si>
  <si>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</si>
  <si>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</si>
  <si>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</si>
  <si>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</si>
  <si>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</si>
  <si>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</si>
  <si>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</si>
  <si>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</si>
  <si>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</si>
  <si>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</si>
  <si>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</si>
  <si>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</si>
  <si>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</si>
  <si>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</si>
  <si>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</si>
  <si>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</si>
  <si>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</si>
  <si>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</si>
  <si>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</si>
  <si>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</si>
  <si>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</si>
  <si>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</si>
  <si>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</si>
  <si>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</si>
  <si>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</si>
  <si>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</si>
  <si>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</si>
  <si>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</si>
  <si>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</si>
  <si>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</si>
  <si>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</si>
  <si>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</si>
  <si>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</si>
  <si>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</si>
  <si>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</si>
  <si>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</si>
  <si>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</si>
  <si>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</si>
  <si>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</si>
  <si>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</si>
  <si>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</si>
  <si>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</si>
  <si>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</si>
  <si>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</si>
  <si>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</si>
  <si>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</si>
  <si>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</si>
  <si>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</si>
  <si>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</si>
  <si>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</si>
  <si>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</si>
  <si>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</si>
  <si>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</si>
  <si>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</si>
  <si>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</si>
  <si>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</si>
  <si>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</si>
  <si>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</si>
  <si>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</si>
  <si>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</si>
  <si>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</si>
  <si>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</si>
  <si>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</si>
  <si>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</si>
  <si>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</si>
  <si>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</si>
  <si>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</si>
  <si>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</si>
  <si>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</si>
  <si>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</si>
  <si>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</si>
  <si>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</si>
  <si>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</si>
  <si>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</si>
  <si>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</si>
  <si>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</si>
  <si>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</si>
  <si>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</si>
  <si>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</si>
  <si>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</si>
  <si>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</si>
  <si>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</si>
  <si>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</si>
  <si>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</si>
  <si>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</si>
  <si>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</si>
  <si>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</si>
  <si>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</si>
  <si>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</si>
  <si>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</si>
  <si>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</si>
  <si>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</si>
  <si>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</si>
  <si>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</si>
  <si>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</si>
  <si>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</si>
  <si>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</si>
  <si>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</si>
  <si>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</si>
  <si>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</si>
  <si>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</si>
  <si>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</si>
  <si>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</si>
  <si>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</si>
  <si>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</si>
  <si>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</si>
  <si>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</si>
  <si>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</si>
  <si>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</si>
  <si>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</si>
  <si>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</si>
  <si>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</si>
  <si>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</si>
  <si>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</si>
  <si>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</si>
  <si>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</si>
  <si>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</si>
  <si>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</si>
  <si>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</si>
  <si>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</si>
  <si>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</si>
  <si>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</si>
  <si>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</si>
  <si>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</si>
  <si>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</si>
  <si>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</si>
  <si>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</si>
  <si>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</si>
  <si>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</si>
  <si>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</si>
  <si>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</si>
  <si>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</si>
  <si>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</si>
  <si>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</si>
  <si>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</si>
  <si>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</si>
  <si>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</si>
  <si>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</si>
  <si>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</si>
  <si>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</si>
  <si>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</si>
  <si>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</si>
  <si>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</si>
  <si>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</si>
  <si>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</si>
  <si>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</si>
  <si>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</si>
  <si>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</si>
  <si>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</si>
  <si>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</si>
  <si>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</si>
  <si>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</si>
  <si>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</si>
  <si>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</si>
  <si>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</si>
  <si>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</si>
  <si>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</si>
  <si>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</si>
  <si>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</si>
  <si>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</si>
  <si>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</si>
  <si>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</si>
  <si>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</si>
  <si>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</si>
  <si>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</si>
  <si>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</si>
  <si>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</si>
  <si>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</si>
  <si>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</si>
  <si>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</si>
  <si>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</si>
  <si>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</si>
  <si>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</si>
  <si>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</si>
  <si>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</si>
  <si>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</si>
  <si>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</si>
  <si>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</si>
  <si>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</si>
  <si>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</si>
  <si>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</si>
  <si>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</si>
  <si>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</si>
  <si>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</si>
  <si>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</si>
  <si>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</si>
  <si>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</si>
  <si>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</si>
  <si>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</si>
  <si>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</si>
  <si>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</si>
  <si>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</si>
  <si>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</si>
  <si>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</si>
  <si>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</si>
  <si>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</si>
  <si>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</si>
  <si>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</si>
  <si>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</si>
  <si>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</si>
  <si>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</si>
  <si>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</si>
  <si>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</si>
  <si>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</si>
  <si>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</si>
  <si>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</si>
  <si>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</si>
  <si>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</si>
  <si>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</si>
  <si>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</si>
  <si>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</si>
  <si>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</si>
  <si>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</si>
  <si>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</si>
  <si>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</si>
  <si>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</si>
  <si>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</si>
  <si>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</si>
  <si>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</si>
  <si>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</si>
  <si>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</si>
  <si>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</si>
  <si>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</si>
  <si>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</si>
  <si>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</si>
  <si>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</si>
  <si>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</si>
  <si>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</si>
  <si>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</si>
  <si>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</si>
  <si>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</si>
  <si>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</si>
  <si>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</si>
  <si>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</si>
  <si>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</si>
  <si>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</si>
  <si>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</si>
  <si>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</si>
  <si>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</si>
  <si>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</si>
  <si>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</si>
  <si>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</si>
  <si>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</si>
  <si>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</si>
  <si>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</si>
  <si>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</si>
  <si>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</si>
  <si>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</si>
  <si>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</si>
  <si>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</si>
  <si>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</si>
  <si>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</si>
  <si>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</si>
  <si>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</si>
  <si>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</si>
  <si>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</si>
  <si>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</si>
  <si>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</si>
  <si>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</si>
  <si>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</si>
  <si>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</si>
  <si>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</si>
  <si>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</si>
  <si>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</si>
  <si>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</si>
  <si>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</si>
  <si>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</si>
  <si>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</si>
  <si>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</si>
  <si>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</si>
  <si>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</si>
  <si>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</si>
  <si>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</si>
  <si>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</si>
  <si>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</si>
  <si>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</si>
  <si>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</si>
  <si>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</si>
  <si>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</si>
  <si>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</si>
  <si>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</si>
  <si>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</si>
  <si>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</si>
  <si>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</si>
  <si>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</si>
  <si>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</si>
  <si>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</si>
  <si>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</si>
  <si>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</si>
  <si>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</si>
  <si>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</si>
  <si>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</si>
  <si>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</si>
  <si>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</si>
  <si>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</si>
  <si>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</si>
  <si>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</si>
  <si>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</si>
  <si>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</si>
  <si>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</si>
  <si>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</si>
  <si>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</si>
  <si>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</si>
  <si>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</si>
  <si>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</si>
  <si>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</si>
  <si>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</si>
  <si>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</si>
  <si>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</si>
  <si>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</si>
  <si>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</si>
  <si>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</si>
  <si>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</si>
  <si>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</si>
  <si>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</si>
  <si>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</si>
  <si>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</si>
  <si>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</si>
  <si>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</si>
  <si>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</si>
  <si>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</si>
  <si>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</si>
  <si>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</si>
  <si>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</si>
  <si>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</si>
  <si>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</si>
  <si>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</si>
  <si>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</si>
  <si>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</si>
  <si>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</si>
  <si>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</si>
  <si>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</si>
  <si>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</si>
  <si>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</si>
  <si>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</si>
  <si>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</si>
  <si>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</si>
  <si>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</si>
  <si>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</si>
  <si>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</si>
  <si>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</si>
  <si>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</si>
  <si>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</si>
  <si>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</si>
  <si>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</si>
  <si>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</si>
  <si>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</si>
  <si>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</si>
  <si>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</si>
  <si>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</si>
  <si>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</si>
  <si>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</si>
  <si>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</si>
  <si>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</si>
  <si>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</si>
  <si>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</si>
  <si>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</si>
  <si>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</si>
  <si>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</si>
  <si>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</si>
  <si>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</si>
  <si>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</si>
  <si>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</si>
  <si>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</si>
  <si>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</si>
  <si>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</si>
  <si>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</si>
  <si>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</si>
  <si>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</si>
  <si>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</si>
  <si>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</si>
  <si>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</si>
  <si>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</si>
  <si>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</si>
  <si>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</si>
  <si>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</si>
  <si>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</si>
  <si>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</si>
  <si>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</si>
  <si>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</si>
  <si>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</si>
  <si>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</si>
  <si>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</si>
  <si>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</si>
  <si>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</si>
  <si>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</si>
  <si>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</si>
  <si>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</si>
  <si>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</si>
  <si>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</si>
  <si>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</si>
  <si>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</si>
  <si>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</si>
  <si>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</si>
  <si>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</si>
  <si>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</si>
  <si>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</si>
  <si>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</si>
  <si>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</si>
  <si>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</si>
  <si>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</si>
  <si>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</si>
  <si>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</si>
  <si>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</si>
  <si>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</si>
  <si>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</si>
  <si>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</si>
  <si>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</si>
  <si>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</si>
  <si>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</si>
  <si>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</si>
  <si>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</si>
  <si>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</si>
  <si>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</si>
  <si>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</si>
  <si>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</si>
  <si>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</si>
  <si>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</si>
  <si>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</si>
  <si>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</si>
  <si>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</si>
  <si>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</si>
  <si>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</si>
  <si>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</si>
  <si>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</si>
  <si>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</si>
  <si>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</si>
  <si>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</si>
  <si>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</si>
  <si>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</si>
  <si>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</si>
  <si>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</si>
  <si>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</si>
  <si>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</si>
  <si>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</si>
  <si>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</si>
  <si>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</si>
  <si>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</si>
  <si>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</si>
  <si>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</si>
  <si>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</si>
  <si>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</si>
  <si>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</si>
  <si>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</si>
  <si>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</si>
  <si>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</si>
  <si>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</si>
  <si>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</si>
  <si>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</si>
  <si>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</si>
  <si>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</si>
  <si>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</si>
  <si>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</si>
  <si>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</si>
  <si>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</si>
  <si>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</si>
  <si>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</si>
  <si>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</si>
  <si>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</si>
  <si>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</si>
  <si>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</si>
  <si>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</si>
  <si>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</si>
  <si>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</si>
  <si>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</si>
  <si>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</si>
  <si>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</si>
  <si>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</si>
  <si>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</si>
  <si>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</si>
  <si>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</si>
  <si>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</si>
  <si>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</si>
  <si>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</si>
  <si>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</si>
  <si>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</si>
  <si>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</si>
  <si>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</si>
  <si>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</si>
  <si>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</si>
  <si>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</si>
  <si>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</si>
  <si>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</si>
  <si>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</si>
  <si>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</si>
  <si>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</si>
  <si>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</si>
  <si>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</si>
  <si>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</si>
  <si>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</si>
  <si>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</si>
  <si>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</si>
  <si>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</si>
  <si>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</si>
  <si>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</si>
  <si>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</si>
  <si>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</si>
  <si>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</si>
  <si>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</si>
  <si>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</si>
  <si>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</si>
  <si>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</si>
  <si>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</si>
  <si>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</si>
  <si>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</si>
  <si>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</si>
  <si>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</si>
  <si>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</si>
  <si>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</si>
  <si>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</si>
  <si>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</si>
  <si>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</si>
  <si>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</si>
  <si>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</si>
  <si>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</si>
  <si>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</si>
  <si>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</si>
  <si>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</si>
  <si>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</si>
  <si>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</si>
  <si>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</si>
  <si>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</si>
  <si>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</si>
  <si>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</si>
  <si>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</si>
  <si>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</si>
  <si>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</si>
  <si>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</si>
  <si>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</si>
  <si>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</si>
  <si>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</si>
  <si>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</si>
  <si>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</si>
  <si>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</si>
  <si>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</si>
  <si>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</si>
  <si>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</si>
  <si>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</si>
  <si>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</si>
  <si>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</si>
  <si>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</si>
  <si>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</si>
  <si>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</si>
  <si>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</si>
  <si>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</si>
  <si>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</si>
  <si>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</si>
  <si>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</si>
  <si>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</si>
  <si>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</si>
  <si>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</si>
  <si>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</si>
  <si>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</si>
  <si>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</si>
  <si>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</si>
  <si>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</si>
  <si>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</si>
  <si>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</si>
  <si>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</si>
  <si>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</si>
  <si>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</si>
  <si>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</si>
  <si>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</si>
  <si>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</si>
  <si>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</si>
  <si>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</si>
  <si>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</si>
  <si>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</si>
  <si>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</si>
  <si>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</si>
  <si>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</si>
  <si>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</si>
  <si>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</si>
  <si>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</si>
  <si>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</si>
  <si>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</si>
  <si>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</si>
  <si>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</si>
  <si>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</si>
  <si>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</si>
  <si>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</si>
  <si>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</si>
  <si>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</si>
  <si>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</si>
  <si>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</si>
  <si>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</si>
  <si>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</si>
  <si>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</si>
  <si>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</si>
  <si>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</si>
  <si>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</si>
  <si>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</si>
  <si>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</si>
  <si>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42003</t>
  </si>
  <si>
    <t>BERLARE</t>
  </si>
  <si>
    <t>Eandis (januari 2018); Infrax (juni 2018)</t>
  </si>
  <si>
    <t>MOW (september 2017)</t>
  </si>
  <si>
    <t>referentietaak LNE (2017); Jaarverslag De Lijn (2016)</t>
  </si>
  <si>
    <t>VEA (april 2018)</t>
  </si>
  <si>
    <t>VEA (januari 2017)</t>
  </si>
  <si>
    <t>VEA (juni 2018)</t>
  </si>
  <si>
    <t>Robert Van Migerode</t>
  </si>
  <si>
    <t>Sluis 17 A, 9290 Berlare</t>
  </si>
  <si>
    <t>WKK-0349 Van Migerode</t>
  </si>
  <si>
    <t>interne verbrandingsmotor</t>
  </si>
  <si>
    <t>WKK interne verbrandinsgmotor (vloeibaar)</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</si>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</sst>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124176.78251341781</c:v>
                </c:pt>
                <c:pt idx="1">
                  <c:v>24589.305440508291</c:v>
                </c:pt>
                <c:pt idx="2">
                  <c:v>1129.42</c:v>
                </c:pt>
                <c:pt idx="3">
                  <c:v>7642.614747189411</c:v>
                </c:pt>
                <c:pt idx="4">
                  <c:v>14224.341904540663</c:v>
                </c:pt>
                <c:pt idx="5">
                  <c:v>62382.504952888361</c:v>
                </c:pt>
                <c:pt idx="6">
                  <c:v>862.86722489873364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124176.78251341781</c:v>
                </c:pt>
                <c:pt idx="1">
                  <c:v>24589.305440508291</c:v>
                </c:pt>
                <c:pt idx="2">
                  <c:v>1129.42</c:v>
                </c:pt>
                <c:pt idx="3">
                  <c:v>7642.614747189411</c:v>
                </c:pt>
                <c:pt idx="4">
                  <c:v>14224.341904540663</c:v>
                </c:pt>
                <c:pt idx="5">
                  <c:v>62382.504952888361</c:v>
                </c:pt>
                <c:pt idx="6">
                  <c:v>862.86722489873364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22052.767167392034</c:v>
                </c:pt>
                <c:pt idx="1">
                  <c:v>4017.1121066382129</c:v>
                </c:pt>
                <c:pt idx="2">
                  <c:v>142.35904191206123</c:v>
                </c:pt>
                <c:pt idx="3">
                  <c:v>1760.9029755806537</c:v>
                </c:pt>
                <c:pt idx="4">
                  <c:v>2659.392371263998</c:v>
                </c:pt>
                <c:pt idx="5">
                  <c:v>15608.085689379999</c:v>
                </c:pt>
                <c:pt idx="6">
                  <c:v>218.00389046441001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863168"/>
        <c:axId val="183864704"/>
      </c:barChart>
      <c:catAx>
        <c:axId val="183863168"/>
        <c:scaling>
          <c:orientation val="minMax"/>
        </c:scaling>
        <c:axPos val="b"/>
        <c:numFmt formatCode="General" sourceLinked="0"/>
        <c:tickLblPos val="nextTo"/>
        <c:crossAx val="183864704"/>
        <c:crosses val="autoZero"/>
        <c:auto val="1"/>
        <c:lblAlgn val="ctr"/>
        <c:lblOffset val="100"/>
      </c:catAx>
      <c:valAx>
        <c:axId val="183864704"/>
        <c:scaling>
          <c:orientation val="minMax"/>
        </c:scaling>
        <c:axPos val="l"/>
        <c:majorGridlines>
          <c:spPr>
            <a:ln>
              <a:noFill/>
            </a:ln>
          </c:spPr>
        </c:majorGridlines>
        <c:numFmt formatCode="#,##0" sourceLinked="1"/>
        <c:tickLblPos val="nextTo"/>
        <c:crossAx val="18386316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22052.767167392034</c:v>
                </c:pt>
                <c:pt idx="1">
                  <c:v>4017.1121066382129</c:v>
                </c:pt>
                <c:pt idx="2">
                  <c:v>142.35904191206123</c:v>
                </c:pt>
                <c:pt idx="3">
                  <c:v>1760.9029755806537</c:v>
                </c:pt>
                <c:pt idx="4">
                  <c:v>2659.392371263998</c:v>
                </c:pt>
                <c:pt idx="5">
                  <c:v>15608.085689379999</c:v>
                </c:pt>
                <c:pt idx="6">
                  <c:v>218.00389046441001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42003</v>
      </c>
      <c r="B6" s="415"/>
      <c r="C6" s="416"/>
    </row>
    <row r="7" spans="1:7" s="413" customFormat="1" ht="15.75" customHeight="1">
      <c r="A7" s="417" t="str">
        <f>txtMunicipality</f>
        <v>BERLARE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6225</v>
      </c>
      <c r="C9" s="342">
        <v>6966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1843.41</v>
      </c>
    </row>
    <row r="15" spans="1:6">
      <c r="A15" s="348" t="s">
        <v>184</v>
      </c>
      <c r="B15" s="334">
        <v>22</v>
      </c>
    </row>
    <row r="16" spans="1:6">
      <c r="A16" s="348" t="s">
        <v>6</v>
      </c>
      <c r="B16" s="334">
        <v>987</v>
      </c>
    </row>
    <row r="17" spans="1:6">
      <c r="A17" s="348" t="s">
        <v>7</v>
      </c>
      <c r="B17" s="334">
        <v>516</v>
      </c>
    </row>
    <row r="18" spans="1:6">
      <c r="A18" s="348" t="s">
        <v>8</v>
      </c>
      <c r="B18" s="334">
        <v>861</v>
      </c>
    </row>
    <row r="19" spans="1:6">
      <c r="A19" s="348" t="s">
        <v>9</v>
      </c>
      <c r="B19" s="334">
        <v>977</v>
      </c>
    </row>
    <row r="20" spans="1:6">
      <c r="A20" s="348" t="s">
        <v>10</v>
      </c>
      <c r="B20" s="334">
        <v>661</v>
      </c>
    </row>
    <row r="21" spans="1:6">
      <c r="A21" s="348" t="s">
        <v>11</v>
      </c>
      <c r="B21" s="334">
        <v>192</v>
      </c>
    </row>
    <row r="22" spans="1:6">
      <c r="A22" s="348" t="s">
        <v>12</v>
      </c>
      <c r="B22" s="334">
        <v>2900</v>
      </c>
    </row>
    <row r="23" spans="1:6">
      <c r="A23" s="348" t="s">
        <v>13</v>
      </c>
      <c r="B23" s="334">
        <v>0</v>
      </c>
    </row>
    <row r="24" spans="1:6">
      <c r="A24" s="348" t="s">
        <v>14</v>
      </c>
      <c r="B24" s="334">
        <v>0</v>
      </c>
    </row>
    <row r="25" spans="1:6">
      <c r="A25" s="348" t="s">
        <v>15</v>
      </c>
      <c r="B25" s="334">
        <v>72</v>
      </c>
    </row>
    <row r="26" spans="1:6">
      <c r="A26" s="348" t="s">
        <v>16</v>
      </c>
      <c r="B26" s="334">
        <v>53</v>
      </c>
    </row>
    <row r="27" spans="1:6">
      <c r="A27" s="348" t="s">
        <v>17</v>
      </c>
      <c r="B27" s="334">
        <v>0</v>
      </c>
    </row>
    <row r="28" spans="1:6" s="356" customFormat="1">
      <c r="A28" s="355" t="s">
        <v>18</v>
      </c>
      <c r="B28" s="355">
        <v>94036</v>
      </c>
    </row>
    <row r="29" spans="1:6">
      <c r="A29" s="355" t="s">
        <v>744</v>
      </c>
      <c r="B29" s="355">
        <v>73</v>
      </c>
      <c r="C29" s="356"/>
      <c r="D29" s="356"/>
      <c r="E29" s="356"/>
      <c r="F29" s="356"/>
    </row>
    <row r="30" spans="1:6">
      <c r="A30" s="341" t="s">
        <v>745</v>
      </c>
      <c r="B30" s="341">
        <v>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14477.063526239999</v>
      </c>
    </row>
    <row r="37" spans="1:6">
      <c r="A37" s="348" t="s">
        <v>25</v>
      </c>
      <c r="B37" s="348" t="s">
        <v>28</v>
      </c>
      <c r="C37" s="334">
        <v>0</v>
      </c>
      <c r="D37" s="334">
        <v>0</v>
      </c>
      <c r="E37" s="334">
        <v>0</v>
      </c>
      <c r="F37" s="334">
        <v>0</v>
      </c>
    </row>
    <row r="38" spans="1:6">
      <c r="A38" s="348" t="s">
        <v>25</v>
      </c>
      <c r="B38" s="348" t="s">
        <v>29</v>
      </c>
      <c r="C38" s="334">
        <v>0</v>
      </c>
      <c r="D38" s="334">
        <v>0</v>
      </c>
      <c r="E38" s="334">
        <v>3</v>
      </c>
      <c r="F38" s="334">
        <v>1447.425772624</v>
      </c>
    </row>
    <row r="39" spans="1:6">
      <c r="A39" s="348" t="s">
        <v>30</v>
      </c>
      <c r="B39" s="348" t="s">
        <v>31</v>
      </c>
      <c r="C39" s="334">
        <v>3310</v>
      </c>
      <c r="D39" s="334">
        <v>53582926.526551001</v>
      </c>
      <c r="E39" s="334">
        <v>6067</v>
      </c>
      <c r="F39" s="334">
        <v>26842970.6686772</v>
      </c>
    </row>
    <row r="40" spans="1:6">
      <c r="A40" s="348" t="s">
        <v>30</v>
      </c>
      <c r="B40" s="348" t="s">
        <v>29</v>
      </c>
      <c r="C40" s="334">
        <v>0</v>
      </c>
      <c r="D40" s="334">
        <v>0</v>
      </c>
      <c r="E40" s="334">
        <v>0</v>
      </c>
      <c r="F40" s="334">
        <v>0</v>
      </c>
    </row>
    <row r="41" spans="1:6">
      <c r="A41" s="348" t="s">
        <v>32</v>
      </c>
      <c r="B41" s="348" t="s">
        <v>33</v>
      </c>
      <c r="C41" s="334">
        <v>48</v>
      </c>
      <c r="D41" s="334">
        <v>927766.14814453502</v>
      </c>
      <c r="E41" s="334">
        <v>136</v>
      </c>
      <c r="F41" s="334">
        <v>864707.22870359605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59039.934187655097</v>
      </c>
    </row>
    <row r="45" spans="1:6">
      <c r="A45" s="348" t="s">
        <v>32</v>
      </c>
      <c r="B45" s="348" t="s">
        <v>37</v>
      </c>
      <c r="C45" s="334">
        <v>0</v>
      </c>
      <c r="D45" s="334">
        <v>0</v>
      </c>
      <c r="E45" s="334">
        <v>3</v>
      </c>
      <c r="F45" s="334">
        <v>122125.96448878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10105578.685590399</v>
      </c>
      <c r="E48" s="334">
        <v>34</v>
      </c>
      <c r="F48" s="334">
        <v>917732.98432286398</v>
      </c>
    </row>
    <row r="49" spans="1:6">
      <c r="A49" s="348" t="s">
        <v>32</v>
      </c>
      <c r="B49" s="348" t="s">
        <v>40</v>
      </c>
      <c r="C49" s="334">
        <v>0</v>
      </c>
      <c r="D49" s="334">
        <v>0</v>
      </c>
      <c r="E49" s="334">
        <v>0</v>
      </c>
      <c r="F49" s="334">
        <v>0</v>
      </c>
    </row>
    <row r="50" spans="1:6">
      <c r="A50" s="348" t="s">
        <v>32</v>
      </c>
      <c r="B50" s="348" t="s">
        <v>41</v>
      </c>
      <c r="C50" s="334">
        <v>4</v>
      </c>
      <c r="D50" s="334">
        <v>200643.55686608099</v>
      </c>
      <c r="E50" s="334">
        <v>11</v>
      </c>
      <c r="F50" s="334">
        <v>329032.62566540902</v>
      </c>
    </row>
    <row r="51" spans="1:6">
      <c r="A51" s="348" t="s">
        <v>42</v>
      </c>
      <c r="B51" s="348" t="s">
        <v>43</v>
      </c>
      <c r="C51" s="334">
        <v>7</v>
      </c>
      <c r="D51" s="334">
        <v>131698.32746549699</v>
      </c>
      <c r="E51" s="334">
        <v>55</v>
      </c>
      <c r="F51" s="334">
        <v>882941.85691428301</v>
      </c>
    </row>
    <row r="52" spans="1:6">
      <c r="A52" s="348" t="s">
        <v>42</v>
      </c>
      <c r="B52" s="348" t="s">
        <v>29</v>
      </c>
      <c r="C52" s="334">
        <v>7</v>
      </c>
      <c r="D52" s="334">
        <v>628078.52330286603</v>
      </c>
      <c r="E52" s="334">
        <v>10</v>
      </c>
      <c r="F52" s="334">
        <v>114786.877843147</v>
      </c>
    </row>
    <row r="53" spans="1:6">
      <c r="A53" s="348" t="s">
        <v>44</v>
      </c>
      <c r="B53" s="348" t="s">
        <v>45</v>
      </c>
      <c r="C53" s="334">
        <v>99</v>
      </c>
      <c r="D53" s="334">
        <v>1806216.78086932</v>
      </c>
      <c r="E53" s="334">
        <v>223</v>
      </c>
      <c r="F53" s="334">
        <v>1967943.20796217</v>
      </c>
    </row>
    <row r="54" spans="1:6">
      <c r="A54" s="348" t="s">
        <v>46</v>
      </c>
      <c r="B54" s="348" t="s">
        <v>47</v>
      </c>
      <c r="C54" s="334">
        <v>0</v>
      </c>
      <c r="D54" s="334">
        <v>0</v>
      </c>
      <c r="E54" s="334">
        <v>3</v>
      </c>
      <c r="F54" s="334">
        <v>1129420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526647.79070752405</v>
      </c>
      <c r="E57" s="334">
        <v>43</v>
      </c>
      <c r="F57" s="334">
        <v>1308956.67705255</v>
      </c>
    </row>
    <row r="58" spans="1:6">
      <c r="A58" s="348" t="s">
        <v>49</v>
      </c>
      <c r="B58" s="348" t="s">
        <v>51</v>
      </c>
      <c r="C58" s="334">
        <v>10</v>
      </c>
      <c r="D58" s="334">
        <v>323323.98236244603</v>
      </c>
      <c r="E58" s="334">
        <v>24</v>
      </c>
      <c r="F58" s="334">
        <v>181118.79379067401</v>
      </c>
    </row>
    <row r="59" spans="1:6">
      <c r="A59" s="348" t="s">
        <v>49</v>
      </c>
      <c r="B59" s="348" t="s">
        <v>52</v>
      </c>
      <c r="C59" s="334">
        <v>48</v>
      </c>
      <c r="D59" s="334">
        <v>1397243.9955394</v>
      </c>
      <c r="E59" s="334">
        <v>151</v>
      </c>
      <c r="F59" s="334">
        <v>3063972.0775292302</v>
      </c>
    </row>
    <row r="60" spans="1:6">
      <c r="A60" s="348" t="s">
        <v>49</v>
      </c>
      <c r="B60" s="348" t="s">
        <v>53</v>
      </c>
      <c r="C60" s="334">
        <v>49</v>
      </c>
      <c r="D60" s="334">
        <v>2453671.1875593401</v>
      </c>
      <c r="E60" s="334">
        <v>89</v>
      </c>
      <c r="F60" s="334">
        <v>2440124.9240645999</v>
      </c>
    </row>
    <row r="61" spans="1:6">
      <c r="A61" s="348" t="s">
        <v>49</v>
      </c>
      <c r="B61" s="348" t="s">
        <v>54</v>
      </c>
      <c r="C61" s="334">
        <v>74</v>
      </c>
      <c r="D61" s="334">
        <v>4617199.20528627</v>
      </c>
      <c r="E61" s="334">
        <v>165</v>
      </c>
      <c r="F61" s="334">
        <v>1636945.39315049</v>
      </c>
    </row>
    <row r="62" spans="1:6">
      <c r="A62" s="348" t="s">
        <v>49</v>
      </c>
      <c r="B62" s="348" t="s">
        <v>55</v>
      </c>
      <c r="C62" s="334">
        <v>3</v>
      </c>
      <c r="D62" s="334">
        <v>229304.21517108401</v>
      </c>
      <c r="E62" s="334">
        <v>8</v>
      </c>
      <c r="F62" s="334">
        <v>161984.64476932801</v>
      </c>
    </row>
    <row r="63" spans="1:6">
      <c r="A63" s="348" t="s">
        <v>49</v>
      </c>
      <c r="B63" s="348" t="s">
        <v>29</v>
      </c>
      <c r="C63" s="334">
        <v>80</v>
      </c>
      <c r="D63" s="334">
        <v>2354358.4514889098</v>
      </c>
      <c r="E63" s="334">
        <v>101</v>
      </c>
      <c r="F63" s="334">
        <v>1651569.0475379201</v>
      </c>
    </row>
    <row r="64" spans="1:6">
      <c r="A64" s="348" t="s">
        <v>56</v>
      </c>
      <c r="B64" s="348" t="s">
        <v>57</v>
      </c>
      <c r="C64" s="334">
        <v>0</v>
      </c>
      <c r="D64" s="334">
        <v>0</v>
      </c>
      <c r="E64" s="334">
        <v>0</v>
      </c>
      <c r="F64" s="334">
        <v>0</v>
      </c>
    </row>
    <row r="65" spans="1:6">
      <c r="A65" s="348" t="s">
        <v>56</v>
      </c>
      <c r="B65" s="348" t="s">
        <v>29</v>
      </c>
      <c r="C65" s="334">
        <v>3</v>
      </c>
      <c r="D65" s="334">
        <v>75488.901456136693</v>
      </c>
      <c r="E65" s="334">
        <v>6</v>
      </c>
      <c r="F65" s="334">
        <v>24105.350954092399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54638.978739821199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41762929</v>
      </c>
      <c r="E73" s="476">
        <v>44141733.65875975</v>
      </c>
    </row>
    <row r="74" spans="1:6">
      <c r="A74" s="348" t="s">
        <v>64</v>
      </c>
      <c r="B74" s="348" t="s">
        <v>657</v>
      </c>
      <c r="C74" s="1272" t="s">
        <v>659</v>
      </c>
      <c r="D74" s="476">
        <v>3658377.9938591854</v>
      </c>
      <c r="E74" s="476">
        <v>3827140.0756069878</v>
      </c>
    </row>
    <row r="75" spans="1:6">
      <c r="A75" s="348" t="s">
        <v>65</v>
      </c>
      <c r="B75" s="348" t="s">
        <v>656</v>
      </c>
      <c r="C75" s="1272" t="s">
        <v>660</v>
      </c>
      <c r="D75" s="476">
        <v>22872481</v>
      </c>
      <c r="E75" s="476">
        <v>24505964.181273244</v>
      </c>
    </row>
    <row r="76" spans="1:6">
      <c r="A76" s="348" t="s">
        <v>65</v>
      </c>
      <c r="B76" s="348" t="s">
        <v>657</v>
      </c>
      <c r="C76" s="1272" t="s">
        <v>661</v>
      </c>
      <c r="D76" s="476">
        <v>1949246.9938591854</v>
      </c>
      <c r="E76" s="476">
        <v>2052546.4986134877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234024.0122816294</v>
      </c>
      <c r="C83" s="476">
        <v>233125.4152622775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15845.65262842558</v>
      </c>
    </row>
    <row r="91" spans="1:6">
      <c r="A91" s="348" t="s">
        <v>68</v>
      </c>
      <c r="B91" s="334">
        <v>3257.1830562303503</v>
      </c>
    </row>
    <row r="92" spans="1:6">
      <c r="A92" s="341" t="s">
        <v>69</v>
      </c>
      <c r="B92" s="342">
        <v>204.28071592035747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1055</v>
      </c>
    </row>
    <row r="98" spans="1:6">
      <c r="A98" s="348" t="s">
        <v>72</v>
      </c>
      <c r="B98" s="334">
        <v>3</v>
      </c>
    </row>
    <row r="99" spans="1:6">
      <c r="A99" s="348" t="s">
        <v>73</v>
      </c>
      <c r="B99" s="334">
        <v>179</v>
      </c>
    </row>
    <row r="100" spans="1:6">
      <c r="A100" s="348" t="s">
        <v>74</v>
      </c>
      <c r="B100" s="334">
        <v>711</v>
      </c>
    </row>
    <row r="101" spans="1:6">
      <c r="A101" s="348" t="s">
        <v>75</v>
      </c>
      <c r="B101" s="334">
        <v>87</v>
      </c>
    </row>
    <row r="102" spans="1:6">
      <c r="A102" s="348" t="s">
        <v>76</v>
      </c>
      <c r="B102" s="334">
        <v>120</v>
      </c>
    </row>
    <row r="103" spans="1:6">
      <c r="A103" s="348" t="s">
        <v>77</v>
      </c>
      <c r="B103" s="334">
        <v>285</v>
      </c>
    </row>
    <row r="104" spans="1:6">
      <c r="A104" s="348" t="s">
        <v>78</v>
      </c>
      <c r="B104" s="334">
        <v>2904</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38</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109</v>
      </c>
    </row>
    <row r="130" spans="1:6">
      <c r="A130" s="348" t="s">
        <v>295</v>
      </c>
      <c r="B130" s="334">
        <v>3</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45030.540539389614</v>
      </c>
      <c r="C3" s="43" t="s">
        <v>170</v>
      </c>
      <c r="D3" s="43"/>
      <c r="E3" s="154"/>
      <c r="F3" s="43"/>
      <c r="G3" s="43"/>
      <c r="H3" s="43"/>
      <c r="I3" s="43"/>
      <c r="J3" s="43"/>
      <c r="K3" s="96"/>
    </row>
    <row r="4" spans="1:11">
      <c r="A4" s="383" t="s">
        <v>171</v>
      </c>
      <c r="B4" s="49">
        <f>IF(ISERROR('SEAP template'!B69),0,'SEAP template'!B69)</f>
        <v>19347.616400576288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0.12604614927313243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45.5625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1129.42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1129.42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0.12604614927313243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142.35904191206123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26842.970668677201</v>
      </c>
      <c r="C5" s="17">
        <f>IF(ISERROR('Eigen informatie GS &amp; warmtenet'!B57),0,'Eigen informatie GS &amp; warmtenet'!B57)</f>
        <v>0</v>
      </c>
      <c r="D5" s="30">
        <f>(SUM(HH_hh_gas_kWh,HH_rest_gas_kWh)/1000)*0.902</f>
        <v>48331.799726949008</v>
      </c>
      <c r="E5" s="17">
        <f>B46*B57</f>
        <v>7525.7797609018708</v>
      </c>
      <c r="F5" s="17">
        <f>B51*B62</f>
        <v>22639.306667986279</v>
      </c>
      <c r="G5" s="18"/>
      <c r="H5" s="17"/>
      <c r="I5" s="17"/>
      <c r="J5" s="17">
        <f>B50*B61+C50*C61</f>
        <v>2097.9894545687694</v>
      </c>
      <c r="K5" s="17"/>
      <c r="L5" s="17"/>
      <c r="M5" s="17"/>
      <c r="N5" s="17">
        <f>B48*B59+C48*C59</f>
        <v>12465.519844770988</v>
      </c>
      <c r="O5" s="17">
        <f>B69*B70*B71</f>
        <v>234.5</v>
      </c>
      <c r="P5" s="17">
        <f>B77*B78*B79/1000-B77*B78*B79/1000/B80</f>
        <v>781.73333333333335</v>
      </c>
    </row>
    <row r="6" spans="1:16">
      <c r="A6" s="16" t="s">
        <v>621</v>
      </c>
      <c r="B6" s="843">
        <f>kWh_PV_kleiner_dan_10kW</f>
        <v>3257.1830562303503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30100.153724907552</v>
      </c>
      <c r="C8" s="21">
        <f>C5</f>
        <v>0</v>
      </c>
      <c r="D8" s="21">
        <f>D5</f>
        <v>48331.799726949008</v>
      </c>
      <c r="E8" s="21">
        <f>E5</f>
        <v>7525.7797609018708</v>
      </c>
      <c r="F8" s="21">
        <f>F5</f>
        <v>22639.306667986279</v>
      </c>
      <c r="G8" s="21"/>
      <c r="H8" s="21"/>
      <c r="I8" s="21"/>
      <c r="J8" s="21">
        <f>J5</f>
        <v>2097.9894545687694</v>
      </c>
      <c r="K8" s="21"/>
      <c r="L8" s="21">
        <f>L5</f>
        <v>0</v>
      </c>
      <c r="M8" s="21">
        <f>M5</f>
        <v>0</v>
      </c>
      <c r="N8" s="21">
        <f>N5</f>
        <v>12465.519844770988</v>
      </c>
      <c r="O8" s="21">
        <f>O5</f>
        <v>234.5</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0.12604614927313243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3794.0084695539304</v>
      </c>
      <c r="C12" s="23">
        <f ca="1">C10*C8</f>
        <v>0</v>
      </c>
      <c r="D12" s="23">
        <f>D8*D10</f>
        <v>9763.0235448436997</v>
      </c>
      <c r="E12" s="23">
        <f>E10*E8</f>
        <v>1708.3520057247247</v>
      </c>
      <c r="F12" s="23">
        <f>F10*F8</f>
        <v>6044.6948803523364</v>
      </c>
      <c r="G12" s="23"/>
      <c r="H12" s="23"/>
      <c r="I12" s="23"/>
      <c r="J12" s="23">
        <f>J10*J8</f>
        <v>742.68826691734432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1055</v>
      </c>
      <c r="C18" s="166" t="s">
        <v>111</v>
      </c>
      <c r="D18" s="228"/>
      <c r="E18" s="15"/>
    </row>
    <row r="19" spans="1:7">
      <c r="A19" s="171" t="s">
        <v>72</v>
      </c>
      <c r="B19" s="37">
        <f>aantalw2001_ander</f>
        <v>3</v>
      </c>
      <c r="C19" s="166" t="s">
        <v>111</v>
      </c>
      <c r="D19" s="229"/>
      <c r="E19" s="15"/>
    </row>
    <row r="20" spans="1:7">
      <c r="A20" s="171" t="s">
        <v>73</v>
      </c>
      <c r="B20" s="37">
        <f>aantalw2001_propaan</f>
        <v>179</v>
      </c>
      <c r="C20" s="167">
        <f>IF(ISERROR(B20/SUM($B$20,$B$21,$B$22)*100),0,B20/SUM($B$20,$B$21,$B$22)*100)</f>
        <v>18.321392016376663</v>
      </c>
      <c r="D20" s="229"/>
      <c r="E20" s="15"/>
    </row>
    <row r="21" spans="1:7">
      <c r="A21" s="171" t="s">
        <v>74</v>
      </c>
      <c r="B21" s="37">
        <f>aantalw2001_elektriciteit</f>
        <v>711</v>
      </c>
      <c r="C21" s="167">
        <f>IF(ISERROR(B21/SUM($B$20,$B$21,$B$22)*100),0,B21/SUM($B$20,$B$21,$B$22)*100)</f>
        <v>72.773797338792221</v>
      </c>
      <c r="D21" s="229"/>
      <c r="E21" s="15"/>
    </row>
    <row r="22" spans="1:7">
      <c r="A22" s="171" t="s">
        <v>75</v>
      </c>
      <c r="B22" s="37">
        <f>aantalw2001_hout</f>
        <v>87</v>
      </c>
      <c r="C22" s="167">
        <f>IF(ISERROR(B22/SUM($B$20,$B$21,$B$22)*100),0,B22/SUM($B$20,$B$21,$B$22)*100)</f>
        <v>8.904810644831116</v>
      </c>
      <c r="D22" s="229"/>
      <c r="E22" s="15"/>
    </row>
    <row r="23" spans="1:7">
      <c r="A23" s="171" t="s">
        <v>76</v>
      </c>
      <c r="B23" s="37">
        <f>aantalw2001_niet_gespec</f>
        <v>120</v>
      </c>
      <c r="C23" s="166" t="s">
        <v>111</v>
      </c>
      <c r="D23" s="228"/>
      <c r="E23" s="15"/>
    </row>
    <row r="24" spans="1:7">
      <c r="A24" s="171" t="s">
        <v>77</v>
      </c>
      <c r="B24" s="37">
        <f>aantalw2001_steenkool</f>
        <v>285</v>
      </c>
      <c r="C24" s="166" t="s">
        <v>111</v>
      </c>
      <c r="D24" s="229"/>
      <c r="E24" s="15"/>
    </row>
    <row r="25" spans="1:7">
      <c r="A25" s="171" t="s">
        <v>78</v>
      </c>
      <c r="B25" s="37">
        <f>aantalw2001_stookolie</f>
        <v>2904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6225</v>
      </c>
      <c r="C28" s="36"/>
      <c r="D28" s="228"/>
    </row>
    <row r="29" spans="1:7" s="15" customFormat="1">
      <c r="A29" s="230" t="s">
        <v>795</v>
      </c>
      <c r="B29" s="37">
        <f>SUM(HH_hh_gas_aantal,HH_rest_gas_aantal)</f>
        <v>3310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3310</v>
      </c>
      <c r="C32" s="167">
        <f>IF(ISERROR(B32/SUM($B$32,$B$34,$B$35,$B$36,$B$38,$B$39)*100),0,B32/SUM($B$32,$B$34,$B$35,$B$36,$B$38,$B$39)*100)</f>
        <v>53.525226390685646</v>
      </c>
      <c r="D32" s="233"/>
      <c r="G32" s="15"/>
    </row>
    <row r="33" spans="1:7">
      <c r="A33" s="171" t="s">
        <v>72</v>
      </c>
      <c r="B33" s="34" t="s">
        <v>111</v>
      </c>
      <c r="C33" s="167"/>
      <c r="D33" s="233"/>
      <c r="G33" s="15"/>
    </row>
    <row r="34" spans="1:7">
      <c r="A34" s="171" t="s">
        <v>73</v>
      </c>
      <c r="B34" s="33">
        <f>IF((($B$28-$B$32-$B$39-$B$77-$B$38)*C20/100)&lt;0,0,($B$28-$B$32-$B$39-$B$77-$B$38)*C20/100)</f>
        <v>355.43500511770725</v>
      </c>
      <c r="C34" s="167">
        <f>IF(ISERROR(B34/SUM($B$32,$B$34,$B$35,$B$36,$B$38,$B$39)*100),0,B34/SUM($B$32,$B$34,$B$35,$B$36,$B$38,$B$39)*100)</f>
        <v>5.7476553220845297</v>
      </c>
      <c r="D34" s="233"/>
      <c r="G34" s="15"/>
    </row>
    <row r="35" spans="1:7">
      <c r="A35" s="171" t="s">
        <v>74</v>
      </c>
      <c r="B35" s="33">
        <f>IF((($B$28-$B$32-$B$39-$B$77-$B$38)*C21/100)&lt;0,0,($B$28-$B$32-$B$39-$B$77-$B$38)*C21/100)</f>
        <v>1411.8116683725689</v>
      </c>
      <c r="C35" s="167">
        <f>IF(ISERROR(B35/SUM($B$32,$B$34,$B$35,$B$36,$B$38,$B$39)*100),0,B35/SUM($B$32,$B$34,$B$35,$B$36,$B$38,$B$39)*100)</f>
        <v>22.830072256994971</v>
      </c>
      <c r="D35" s="233"/>
      <c r="G35" s="15"/>
    </row>
    <row r="36" spans="1:7">
      <c r="A36" s="171" t="s">
        <v>75</v>
      </c>
      <c r="B36" s="33">
        <f>IF((($B$28-$B$32-$B$39-$B$77-$B$38)*C22/100)&lt;0,0,($B$28-$B$32-$B$39-$B$77-$B$38)*C22/100)</f>
        <v>172.75332650972368</v>
      </c>
      <c r="C36" s="167">
        <f>IF(ISERROR(B36/SUM($B$32,$B$34,$B$35,$B$36,$B$38,$B$39)*100),0,B36/SUM($B$32,$B$34,$B$35,$B$36,$B$38,$B$39)*100)</f>
        <v>2.7935531453706934</v>
      </c>
      <c r="D36" s="233"/>
      <c r="G36" s="15"/>
    </row>
    <row r="37" spans="1:7">
      <c r="A37" s="171" t="s">
        <v>76</v>
      </c>
      <c r="B37" s="34" t="s">
        <v>111</v>
      </c>
      <c r="C37" s="167"/>
      <c r="D37" s="173"/>
      <c r="G37" s="15"/>
    </row>
    <row r="38" spans="1:7">
      <c r="A38" s="171" t="s">
        <v>77</v>
      </c>
      <c r="B38" s="33">
        <f>IF((B24-(B29-B18)*0.1)&lt;0,0,B24-(B29-B18)*0.1)</f>
        <v>59.5</v>
      </c>
      <c r="C38" s="167">
        <f>IF(ISERROR(B38/SUM($B$32,$B$34,$B$35,$B$36,$B$38,$B$39)*100),0,B38/SUM($B$32,$B$34,$B$35,$B$36,$B$38,$B$39)*100)</f>
        <v>0.96216041397153962</v>
      </c>
      <c r="D38" s="234"/>
      <c r="G38" s="15"/>
    </row>
    <row r="39" spans="1:7">
      <c r="A39" s="171" t="s">
        <v>78</v>
      </c>
      <c r="B39" s="33">
        <f>IF((B25-(B29-B18))&lt;0,0,B25-(B29-B18)*0.9)</f>
        <v>874.5</v>
      </c>
      <c r="C39" s="167">
        <f>IF(ISERROR(B39/SUM($B$32,$B$34,$B$35,$B$36,$B$38,$B$39)*100),0,B39/SUM($B$32,$B$34,$B$35,$B$36,$B$38,$B$39)*100)</f>
        <v>14.141332470892628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3310</v>
      </c>
      <c r="C44" s="34" t="s">
        <v>111</v>
      </c>
      <c r="D44" s="174"/>
    </row>
    <row r="45" spans="1:7">
      <c r="A45" s="171" t="s">
        <v>72</v>
      </c>
      <c r="B45" s="33" t="str">
        <f t="shared" si="0"/>
        <v>-</v>
      </c>
      <c r="C45" s="34" t="s">
        <v>111</v>
      </c>
      <c r="D45" s="174"/>
    </row>
    <row r="46" spans="1:7">
      <c r="A46" s="171" t="s">
        <v>73</v>
      </c>
      <c r="B46" s="33">
        <f t="shared" si="0"/>
        <v>355.43500511770725</v>
      </c>
      <c r="C46" s="34" t="s">
        <v>111</v>
      </c>
      <c r="D46" s="174"/>
    </row>
    <row r="47" spans="1:7">
      <c r="A47" s="171" t="s">
        <v>74</v>
      </c>
      <c r="B47" s="33">
        <f t="shared" si="0"/>
        <v>1411.8116683725689</v>
      </c>
      <c r="C47" s="34" t="s">
        <v>111</v>
      </c>
      <c r="D47" s="174"/>
    </row>
    <row r="48" spans="1:7">
      <c r="A48" s="171" t="s">
        <v>75</v>
      </c>
      <c r="B48" s="33">
        <f t="shared" si="0"/>
        <v>172.75332650972368</v>
      </c>
      <c r="C48" s="33">
        <f>B48*10</f>
        <v>1727.5332650972368</v>
      </c>
      <c r="D48" s="234"/>
    </row>
    <row r="49" spans="1:6">
      <c r="A49" s="171" t="s">
        <v>76</v>
      </c>
      <c r="B49" s="33" t="str">
        <f t="shared" si="0"/>
        <v>-</v>
      </c>
      <c r="C49" s="34" t="s">
        <v>111</v>
      </c>
      <c r="D49" s="234"/>
    </row>
    <row r="50" spans="1:6">
      <c r="A50" s="171" t="s">
        <v>77</v>
      </c>
      <c r="B50" s="33">
        <f t="shared" si="0"/>
        <v>59.5</v>
      </c>
      <c r="C50" s="33">
        <f>B50*2</f>
        <v>119</v>
      </c>
      <c r="D50" s="234"/>
    </row>
    <row r="51" spans="1:6">
      <c r="A51" s="171" t="s">
        <v>78</v>
      </c>
      <c r="B51" s="33">
        <f t="shared" si="0"/>
        <v>874.5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10444.671557894791</v>
      </c>
      <c r="C5" s="17">
        <f>IF(ISERROR('Eigen informatie GS &amp; warmtenet'!B58),0,'Eigen informatie GS &amp; warmtenet'!B58)</f>
        <v>0</v>
      </c>
      <c r="D5" s="30">
        <f>SUM(D6:D12)</f>
        <v>10735.377442959707</v>
      </c>
      <c r="E5" s="17">
        <f>SUM(E6:E12)</f>
        <v>170.60714381653409</v>
      </c>
      <c r="F5" s="17">
        <f>SUM(F6:F12)</f>
        <v>1828.5058743615518</v>
      </c>
      <c r="G5" s="18"/>
      <c r="H5" s="17"/>
      <c r="I5" s="17"/>
      <c r="J5" s="17">
        <f>SUM(J6:J12)</f>
        <v>3.2411634618778197E-2</v>
      </c>
      <c r="K5" s="17"/>
      <c r="L5" s="17"/>
      <c r="M5" s="17"/>
      <c r="N5" s="17">
        <f>SUM(N6:N12)</f>
        <v>1281.2251765077533</v>
      </c>
      <c r="O5" s="17">
        <f>B38*B39*B40</f>
        <v>4.6900000000000004</v>
      </c>
      <c r="P5" s="17">
        <f>B46*B47*B48/1000-B46*B47*B48/1000/B49</f>
        <v>38.133333333333333</v>
      </c>
      <c r="R5" s="32"/>
    </row>
    <row r="6" spans="1:18">
      <c r="A6" s="32" t="s">
        <v>54</v>
      </c>
      <c r="B6" s="37">
        <f>B26</f>
        <v>1636.94539315049</v>
      </c>
      <c r="C6" s="33"/>
      <c r="D6" s="37">
        <f>IF(ISERROR(TER_kantoor_gas_kWh/1000),0,TER_kantoor_gas_kWh/1000)*0.902</f>
        <v>4164.7136831682155</v>
      </c>
      <c r="E6" s="33">
        <f>$C$26*'E Balans VL '!I12/100/3.6*1000000</f>
        <v>1.0259829284758921E-2</v>
      </c>
      <c r="F6" s="33">
        <f>$C$26*('E Balans VL '!L12+'E Balans VL '!N12)/100/3.6*1000000</f>
        <v>245.98715197377925</v>
      </c>
      <c r="G6" s="34"/>
      <c r="H6" s="33"/>
      <c r="I6" s="33"/>
      <c r="J6" s="33">
        <f>$C$26*('E Balans VL '!D12+'E Balans VL '!E12)/100/3.6*1000000</f>
        <v>0</v>
      </c>
      <c r="K6" s="33"/>
      <c r="L6" s="33"/>
      <c r="M6" s="33"/>
      <c r="N6" s="33">
        <f>$C$26*'E Balans VL '!Y12/100/3.6*1000000</f>
        <v>1.5654955647585838</v>
      </c>
      <c r="O6" s="33"/>
      <c r="P6" s="33"/>
      <c r="R6" s="32"/>
    </row>
    <row r="7" spans="1:18">
      <c r="A7" s="32" t="s">
        <v>53</v>
      </c>
      <c r="B7" s="37">
        <f t="shared" ref="B7:B12" si="0">B27</f>
        <v>2440.1249240645998</v>
      </c>
      <c r="C7" s="33"/>
      <c r="D7" s="37">
        <f>IF(ISERROR(TER_horeca_gas_kWh/1000),0,TER_horeca_gas_kWh/1000)*0.902</f>
        <v>2213.2114111785249</v>
      </c>
      <c r="E7" s="33">
        <f>$C$27*'E Balans VL '!I9/100/3.6*1000000</f>
        <v>34.942182465382729</v>
      </c>
      <c r="F7" s="33">
        <f>$C$27*('E Balans VL '!L9+'E Balans VL '!N9)/100/3.6*1000000</f>
        <v>309.00029380707468</v>
      </c>
      <c r="G7" s="34"/>
      <c r="H7" s="33"/>
      <c r="I7" s="33"/>
      <c r="J7" s="33">
        <f>$C$27*('E Balans VL '!D9+'E Balans VL '!E9)/100/3.6*1000000</f>
        <v>0</v>
      </c>
      <c r="K7" s="33"/>
      <c r="L7" s="33"/>
      <c r="M7" s="33"/>
      <c r="N7" s="33">
        <f>$C$27*'E Balans VL '!Y9/100/3.6*1000000</f>
        <v>0.70148211553218254</v>
      </c>
      <c r="O7" s="33"/>
      <c r="P7" s="33"/>
      <c r="R7" s="32"/>
    </row>
    <row r="8" spans="1:18">
      <c r="A8" s="6" t="s">
        <v>52</v>
      </c>
      <c r="B8" s="37">
        <f t="shared" si="0"/>
        <v>3063.9720775292303</v>
      </c>
      <c r="C8" s="33"/>
      <c r="D8" s="37">
        <f>IF(ISERROR(TER_handel_gas_kWh/1000),0,TER_handel_gas_kWh/1000)*0.902</f>
        <v>1260.3140839765388</v>
      </c>
      <c r="E8" s="33">
        <f>$C$28*'E Balans VL '!I13/100/3.6*1000000</f>
        <v>111.12988941987605</v>
      </c>
      <c r="F8" s="33">
        <f>$C$28*('E Balans VL '!L13+'E Balans VL '!N13)/100/3.6*1000000</f>
        <v>590.1520468219029</v>
      </c>
      <c r="G8" s="34"/>
      <c r="H8" s="33"/>
      <c r="I8" s="33"/>
      <c r="J8" s="33">
        <f>$C$28*('E Balans VL '!D13+'E Balans VL '!E13)/100/3.6*1000000</f>
        <v>0</v>
      </c>
      <c r="K8" s="33"/>
      <c r="L8" s="33"/>
      <c r="M8" s="33"/>
      <c r="N8" s="33">
        <f>$C$28*'E Balans VL '!Y13/100/3.6*1000000</f>
        <v>4.2443063159114764</v>
      </c>
      <c r="O8" s="33"/>
      <c r="P8" s="33"/>
      <c r="R8" s="32"/>
    </row>
    <row r="9" spans="1:18">
      <c r="A9" s="32" t="s">
        <v>51</v>
      </c>
      <c r="B9" s="37">
        <f t="shared" si="0"/>
        <v>181.118793790674</v>
      </c>
      <c r="C9" s="33"/>
      <c r="D9" s="37">
        <f>IF(ISERROR(TER_gezond_gas_kWh/1000),0,TER_gezond_gas_kWh/1000)*0.902</f>
        <v>291.63823209092635</v>
      </c>
      <c r="E9" s="33">
        <f>$C$29*'E Balans VL '!I10/100/3.6*1000000</f>
        <v>1.1339824716323344E-2</v>
      </c>
      <c r="F9" s="33">
        <f>$C$29*('E Balans VL '!L10+'E Balans VL '!N10)/100/3.6*1000000</f>
        <v>26.905748271813991</v>
      </c>
      <c r="G9" s="34"/>
      <c r="H9" s="33"/>
      <c r="I9" s="33"/>
      <c r="J9" s="33">
        <f>$C$29*('E Balans VL '!D10+'E Balans VL '!E10)/100/3.6*1000000</f>
        <v>0</v>
      </c>
      <c r="K9" s="33"/>
      <c r="L9" s="33"/>
      <c r="M9" s="33"/>
      <c r="N9" s="33">
        <f>$C$29*'E Balans VL '!Y10/100/3.6*1000000</f>
        <v>2.8015629788238541</v>
      </c>
      <c r="O9" s="33"/>
      <c r="P9" s="33"/>
      <c r="R9" s="32"/>
    </row>
    <row r="10" spans="1:18">
      <c r="A10" s="32" t="s">
        <v>50</v>
      </c>
      <c r="B10" s="37">
        <f t="shared" si="0"/>
        <v>1308.95667705255</v>
      </c>
      <c r="C10" s="33"/>
      <c r="D10" s="37">
        <f>IF(ISERROR(TER_ander_gas_kWh/1000),0,TER_ander_gas_kWh/1000)*0.902</f>
        <v>475.03630721818666</v>
      </c>
      <c r="E10" s="33">
        <f>$C$30*'E Balans VL '!I14/100/3.6*1000000</f>
        <v>1.5602295848384538</v>
      </c>
      <c r="F10" s="33">
        <f>$C$30*('E Balans VL '!L14+'E Balans VL '!N14)/100/3.6*1000000</f>
        <v>342.48125836025429</v>
      </c>
      <c r="G10" s="34"/>
      <c r="H10" s="33"/>
      <c r="I10" s="33"/>
      <c r="J10" s="33">
        <f>$C$30*('E Balans VL '!D14+'E Balans VL '!E14)/100/3.6*1000000</f>
        <v>2.8412318490312907E-2</v>
      </c>
      <c r="K10" s="33"/>
      <c r="L10" s="33"/>
      <c r="M10" s="33"/>
      <c r="N10" s="33">
        <f>$C$30*'E Balans VL '!Y14/100/3.6*1000000</f>
        <v>1111.5339804339881</v>
      </c>
      <c r="O10" s="33"/>
      <c r="P10" s="33"/>
      <c r="R10" s="32"/>
    </row>
    <row r="11" spans="1:18">
      <c r="A11" s="32" t="s">
        <v>55</v>
      </c>
      <c r="B11" s="37">
        <f t="shared" si="0"/>
        <v>161.98464476932801</v>
      </c>
      <c r="C11" s="33"/>
      <c r="D11" s="37">
        <f>IF(ISERROR(TER_onderwijs_gas_kWh/1000),0,TER_onderwijs_gas_kWh/1000)*0.902</f>
        <v>206.83240208431781</v>
      </c>
      <c r="E11" s="33">
        <f>$C$31*'E Balans VL '!I11/100/3.6*1000000</f>
        <v>2.4440873884897547</v>
      </c>
      <c r="F11" s="33">
        <f>$C$31*('E Balans VL '!L11+'E Balans VL '!N11)/100/3.6*1000000</f>
        <v>28.382297545272099</v>
      </c>
      <c r="G11" s="34"/>
      <c r="H11" s="33"/>
      <c r="I11" s="33"/>
      <c r="J11" s="33">
        <f>$C$31*('E Balans VL '!D11+'E Balans VL '!E11)/100/3.6*1000000</f>
        <v>0</v>
      </c>
      <c r="K11" s="33"/>
      <c r="L11" s="33"/>
      <c r="M11" s="33"/>
      <c r="N11" s="33">
        <f>$C$31*'E Balans VL '!Y11/100/3.6*1000000</f>
        <v>0.4558371049225452</v>
      </c>
      <c r="O11" s="33"/>
      <c r="P11" s="33"/>
      <c r="R11" s="32"/>
    </row>
    <row r="12" spans="1:18">
      <c r="A12" s="32" t="s">
        <v>260</v>
      </c>
      <c r="B12" s="37">
        <f t="shared" si="0"/>
        <v>1651.5690475379201</v>
      </c>
      <c r="C12" s="33"/>
      <c r="D12" s="37">
        <f>IF(ISERROR(TER_rest_gas_kWh/1000),0,TER_rest_gas_kWh/1000)*0.902</f>
        <v>2123.6313232429966</v>
      </c>
      <c r="E12" s="33">
        <f>$C$32*'E Balans VL '!I8/100/3.6*1000000</f>
        <v>20.509155303946034</v>
      </c>
      <c r="F12" s="33">
        <f>$C$32*('E Balans VL '!L8+'E Balans VL '!N8)/100/3.6*1000000</f>
        <v>285.59707758145453</v>
      </c>
      <c r="G12" s="34"/>
      <c r="H12" s="33"/>
      <c r="I12" s="33"/>
      <c r="J12" s="33">
        <f>$C$32*('E Balans VL '!D8+'E Balans VL '!E8)/100/3.6*1000000</f>
        <v>3.9993161284652906E-3</v>
      </c>
      <c r="K12" s="33"/>
      <c r="L12" s="33"/>
      <c r="M12" s="33"/>
      <c r="N12" s="33">
        <f>$C$32*'E Balans VL '!Y8/100/3.6*1000000</f>
        <v>159.92251199381667</v>
      </c>
      <c r="O12" s="33"/>
      <c r="P12" s="33"/>
      <c r="R12" s="32"/>
    </row>
    <row r="13" spans="1:18">
      <c r="A13" s="16" t="s">
        <v>488</v>
      </c>
      <c r="B13" s="247">
        <f ca="1">'lokale energieproductie'!N90+'lokale energieproductie'!N59</f>
        <v>40.5</v>
      </c>
      <c r="C13" s="247">
        <f ca="1">'lokale energieproductie'!O90+'lokale energieproductie'!O59</f>
        <v>45.5625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-101.25</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10485.171557894791</v>
      </c>
      <c r="C16" s="21">
        <f t="shared" ca="1" si="1"/>
        <v>45.5625</v>
      </c>
      <c r="D16" s="21">
        <f t="shared" ca="1" si="1"/>
        <v>10735.377442959707</v>
      </c>
      <c r="E16" s="21">
        <f t="shared" si="1"/>
        <v>170.60714381653409</v>
      </c>
      <c r="F16" s="21">
        <f t="shared" ca="1" si="1"/>
        <v>1828.5058743615518</v>
      </c>
      <c r="G16" s="21">
        <f t="shared" si="1"/>
        <v>0</v>
      </c>
      <c r="H16" s="21">
        <f t="shared" si="1"/>
        <v>0</v>
      </c>
      <c r="I16" s="21">
        <f t="shared" si="1"/>
        <v>0</v>
      </c>
      <c r="J16" s="21">
        <f t="shared" si="1"/>
        <v>3.2411634618778197E-2</v>
      </c>
      <c r="K16" s="21">
        <f t="shared" si="1"/>
        <v>0</v>
      </c>
      <c r="L16" s="21">
        <f t="shared" ca="1" si="1"/>
        <v>0</v>
      </c>
      <c r="M16" s="21">
        <f t="shared" si="1"/>
        <v>0</v>
      </c>
      <c r="N16" s="21">
        <f t="shared" ca="1" si="1"/>
        <v>1281.2251765077533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0.12604614927313243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1321.6154993408095</v>
      </c>
      <c r="C20" s="23">
        <f t="shared" ref="C20:P20" ca="1" si="2">C16*C18</f>
        <v>0</v>
      </c>
      <c r="D20" s="23">
        <f t="shared" ca="1" si="2"/>
        <v>2168.546243477861</v>
      </c>
      <c r="E20" s="23">
        <f t="shared" si="2"/>
        <v>38.727821646353242</v>
      </c>
      <c r="F20" s="23">
        <f t="shared" ca="1" si="2"/>
        <v>488.21106845453437</v>
      </c>
      <c r="G20" s="23">
        <f t="shared" si="2"/>
        <v>0</v>
      </c>
      <c r="H20" s="23">
        <f t="shared" si="2"/>
        <v>0</v>
      </c>
      <c r="I20" s="23">
        <f t="shared" si="2"/>
        <v>0</v>
      </c>
      <c r="J20" s="23">
        <f t="shared" si="2"/>
        <v>1.1473718655047481E-2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1636.94539315049</v>
      </c>
      <c r="C26" s="39">
        <f>IF(ISERROR(B26*3.6/1000000/'E Balans VL '!Z12*100),0,B26*3.6/1000000/'E Balans VL '!Z12*100)</f>
        <v>3.4602432480238268E-2</v>
      </c>
      <c r="D26" s="237" t="s">
        <v>754</v>
      </c>
      <c r="F26" s="6"/>
    </row>
    <row r="27" spans="1:18">
      <c r="A27" s="231" t="s">
        <v>53</v>
      </c>
      <c r="B27" s="33">
        <f>IF(ISERROR(TER_horeca_ele_kWh/1000),0,TER_horeca_ele_kWh/1000)</f>
        <v>2440.1249240645998</v>
      </c>
      <c r="C27" s="39">
        <f>IF(ISERROR(B27*3.6/1000000/'E Balans VL '!Z9*100),0,B27*3.6/1000000/'E Balans VL '!Z9*100)</f>
        <v>0.19235413828302253</v>
      </c>
      <c r="D27" s="237" t="s">
        <v>754</v>
      </c>
      <c r="F27" s="6"/>
    </row>
    <row r="28" spans="1:18">
      <c r="A28" s="171" t="s">
        <v>52</v>
      </c>
      <c r="B28" s="33">
        <f>IF(ISERROR(TER_handel_ele_kWh/1000),0,TER_handel_ele_kWh/1000)</f>
        <v>3063.9720775292303</v>
      </c>
      <c r="C28" s="39">
        <f>IF(ISERROR(B28*3.6/1000000/'E Balans VL '!Z13*100),0,B28*3.6/1000000/'E Balans VL '!Z13*100)</f>
        <v>8.8928849524327502E-2</v>
      </c>
      <c r="D28" s="237" t="s">
        <v>754</v>
      </c>
      <c r="F28" s="6"/>
    </row>
    <row r="29" spans="1:18">
      <c r="A29" s="231" t="s">
        <v>51</v>
      </c>
      <c r="B29" s="33">
        <f>IF(ISERROR(TER_gezond_ele_kWh/1000),0,TER_gezond_ele_kWh/1000)</f>
        <v>181.118793790674</v>
      </c>
      <c r="C29" s="39">
        <f>IF(ISERROR(B29*3.6/1000000/'E Balans VL '!Z10*100),0,B29*3.6/1000000/'E Balans VL '!Z10*100)</f>
        <v>1.9074783035255415E-2</v>
      </c>
      <c r="D29" s="237" t="s">
        <v>754</v>
      </c>
      <c r="F29" s="6"/>
    </row>
    <row r="30" spans="1:18">
      <c r="A30" s="231" t="s">
        <v>50</v>
      </c>
      <c r="B30" s="33">
        <f>IF(ISERROR(TER_ander_ele_kWh/1000),0,TER_ander_ele_kWh/1000)</f>
        <v>1308.95667705255</v>
      </c>
      <c r="C30" s="39">
        <f>IF(ISERROR(B30*3.6/1000000/'E Balans VL '!Z14*100),0,B30*3.6/1000000/'E Balans VL '!Z14*100)</f>
        <v>9.6548928803372111E-2</v>
      </c>
      <c r="D30" s="237" t="s">
        <v>754</v>
      </c>
      <c r="F30" s="6"/>
    </row>
    <row r="31" spans="1:18">
      <c r="A31" s="231" t="s">
        <v>55</v>
      </c>
      <c r="B31" s="33">
        <f>IF(ISERROR(TER_onderwijs_ele_kWh/1000),0,TER_onderwijs_ele_kWh/1000)</f>
        <v>161.98464476932801</v>
      </c>
      <c r="C31" s="39">
        <f>IF(ISERROR(B31*3.6/1000000/'E Balans VL '!Z11*100),0,B31*3.6/1000000/'E Balans VL '!Z11*100)</f>
        <v>4.0228375103846761E-2</v>
      </c>
      <c r="D31" s="237" t="s">
        <v>754</v>
      </c>
    </row>
    <row r="32" spans="1:18">
      <c r="A32" s="231" t="s">
        <v>260</v>
      </c>
      <c r="B32" s="33">
        <f>IF(ISERROR(TER_rest_ele_kWh/1000),0,TER_rest_ele_kWh/1000)</f>
        <v>1651.5690475379201</v>
      </c>
      <c r="C32" s="39">
        <f>IF(ISERROR(B32*3.6/1000000/'E Balans VL '!Z8*100),0,B32*3.6/1000000/'E Balans VL '!Z8*100)</f>
        <v>1.3590221026172956E-2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2292.6387373683042</v>
      </c>
      <c r="C5" s="17">
        <f>IF(ISERROR('Eigen informatie GS &amp; warmtenet'!B59),0,'Eigen informatie GS &amp; warmtenet'!B59)</f>
        <v>0</v>
      </c>
      <c r="D5" s="30">
        <f>SUM(D6:D15)</f>
        <v>10133.057528322117</v>
      </c>
      <c r="E5" s="17">
        <f>SUM(E6:E15)</f>
        <v>308.2230650041239</v>
      </c>
      <c r="F5" s="17">
        <f>SUM(F6:F15)</f>
        <v>945.07764383406266</v>
      </c>
      <c r="G5" s="18"/>
      <c r="H5" s="17"/>
      <c r="I5" s="17"/>
      <c r="J5" s="17">
        <f>SUM(J6:J15)</f>
        <v>3.4861563943725473</v>
      </c>
      <c r="K5" s="17"/>
      <c r="L5" s="17"/>
      <c r="M5" s="17"/>
      <c r="N5" s="17">
        <f>SUM(N6:N15)</f>
        <v>541.85877361768235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59.039934187655099</v>
      </c>
      <c r="C8" s="33"/>
      <c r="D8" s="37">
        <f>IF( ISERROR(IND_metaal_Gas_kWH/1000),0,IND_metaal_Gas_kWH/1000)*0.902</f>
        <v>0</v>
      </c>
      <c r="E8" s="33">
        <f>C30*'E Balans VL '!I18/100/3.6*1000000</f>
        <v>0.54281517354477593</v>
      </c>
      <c r="F8" s="33">
        <f>C30*'E Balans VL '!L18/100/3.6*1000000+C30*'E Balans VL '!N18/100/3.6*1000000</f>
        <v>5.5359801884220117</v>
      </c>
      <c r="G8" s="34"/>
      <c r="H8" s="33"/>
      <c r="I8" s="33"/>
      <c r="J8" s="40">
        <f>C30*'E Balans VL '!D18/100/3.6*1000000+C30*'E Balans VL '!E18/100/3.6*1000000</f>
        <v>0</v>
      </c>
      <c r="K8" s="33"/>
      <c r="L8" s="33"/>
      <c r="M8" s="33"/>
      <c r="N8" s="33">
        <f>C30*'E Balans VL '!Y18/100/3.6*1000000</f>
        <v>0.84230222878681882</v>
      </c>
      <c r="O8" s="33"/>
      <c r="P8" s="33"/>
      <c r="R8" s="32"/>
    </row>
    <row r="9" spans="1:18">
      <c r="A9" s="6" t="s">
        <v>33</v>
      </c>
      <c r="B9" s="37">
        <f t="shared" si="0"/>
        <v>864.707228703596</v>
      </c>
      <c r="C9" s="33"/>
      <c r="D9" s="37">
        <f>IF( ISERROR(IND_andere_gas_kWh/1000),0,IND_andere_gas_kWh/1000)*0.902</f>
        <v>836.84506562637057</v>
      </c>
      <c r="E9" s="33">
        <f>C31*'E Balans VL '!I19/100/3.6*1000000</f>
        <v>252.77075681426115</v>
      </c>
      <c r="F9" s="33">
        <f>C31*'E Balans VL '!L19/100/3.6*1000000+C31*'E Balans VL '!N19/100/3.6*1000000</f>
        <v>694.85771058640512</v>
      </c>
      <c r="G9" s="34"/>
      <c r="H9" s="33"/>
      <c r="I9" s="33"/>
      <c r="J9" s="40">
        <f>C31*'E Balans VL '!D19/100/3.6*1000000+C31*'E Balans VL '!E19/100/3.6*1000000</f>
        <v>0</v>
      </c>
      <c r="K9" s="33"/>
      <c r="L9" s="33"/>
      <c r="M9" s="33"/>
      <c r="N9" s="33">
        <f>C31*'E Balans VL '!Y19/100/3.6*1000000</f>
        <v>285.71267902196877</v>
      </c>
      <c r="O9" s="33"/>
      <c r="P9" s="33"/>
      <c r="R9" s="32"/>
    </row>
    <row r="10" spans="1:18">
      <c r="A10" s="6" t="s">
        <v>41</v>
      </c>
      <c r="B10" s="37">
        <f t="shared" si="0"/>
        <v>329.032625665409</v>
      </c>
      <c r="C10" s="33"/>
      <c r="D10" s="37">
        <f>IF( ISERROR(IND_voed_gas_kWh/1000),0,IND_voed_gas_kWh/1000)*0.902</f>
        <v>180.98048829320504</v>
      </c>
      <c r="E10" s="33">
        <f>C32*'E Balans VL '!I20/100/3.6*1000000</f>
        <v>0.69607362130645778</v>
      </c>
      <c r="F10" s="33">
        <f>C32*'E Balans VL '!L20/100/3.6*1000000+C32*'E Balans VL '!N20/100/3.6*1000000</f>
        <v>20.920230436777931</v>
      </c>
      <c r="G10" s="34"/>
      <c r="H10" s="33"/>
      <c r="I10" s="33"/>
      <c r="J10" s="40">
        <f>C32*'E Balans VL '!D20/100/3.6*1000000+C32*'E Balans VL '!E20/100/3.6*1000000</f>
        <v>0</v>
      </c>
      <c r="K10" s="33"/>
      <c r="L10" s="33"/>
      <c r="M10" s="33"/>
      <c r="N10" s="33">
        <f>C32*'E Balans VL '!Y20/100/3.6*1000000</f>
        <v>22.706498144201724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122.12596448878</v>
      </c>
      <c r="C12" s="33"/>
      <c r="D12" s="37">
        <f>IF( ISERROR(IND_min_gas_kWh/1000),0,IND_min_gas_kWh/1000)*0.902</f>
        <v>0</v>
      </c>
      <c r="E12" s="33">
        <f>C34*'E Balans VL '!I22/100/3.6*1000000</f>
        <v>3.5399288368262902</v>
      </c>
      <c r="F12" s="33">
        <f>C34*'E Balans VL '!L22/100/3.6*1000000+C34*'E Balans VL '!N22/100/3.6*1000000</f>
        <v>41.988286645398695</v>
      </c>
      <c r="G12" s="34"/>
      <c r="H12" s="33"/>
      <c r="I12" s="33"/>
      <c r="J12" s="40">
        <f>C34*'E Balans VL '!D22/100/3.6*1000000+C34*'E Balans VL '!E22/100/3.6*1000000</f>
        <v>0.20068976176551245</v>
      </c>
      <c r="K12" s="33"/>
      <c r="L12" s="33"/>
      <c r="M12" s="33"/>
      <c r="N12" s="33">
        <f>C34*'E Balans VL '!Y22/100/3.6*1000000</f>
        <v>26.735380558141799</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917.73298432286401</v>
      </c>
      <c r="C15" s="33"/>
      <c r="D15" s="37">
        <f>IF( ISERROR(IND_rest_gas_kWh/1000),0,IND_rest_gas_kWh/1000)*0.902</f>
        <v>9115.2319744025408</v>
      </c>
      <c r="E15" s="33">
        <f>C37*'E Balans VL '!I15/100/3.6*1000000</f>
        <v>50.673490558185208</v>
      </c>
      <c r="F15" s="33">
        <f>C37*'E Balans VL '!L15/100/3.6*1000000+C37*'E Balans VL '!N15/100/3.6*1000000</f>
        <v>181.77543597705875</v>
      </c>
      <c r="G15" s="34"/>
      <c r="H15" s="33"/>
      <c r="I15" s="33"/>
      <c r="J15" s="40">
        <f>C37*'E Balans VL '!D15/100/3.6*1000000+C37*'E Balans VL '!E15/100/3.6*1000000</f>
        <v>3.2854666326070348</v>
      </c>
      <c r="K15" s="33"/>
      <c r="L15" s="33"/>
      <c r="M15" s="33"/>
      <c r="N15" s="33">
        <f>C37*'E Balans VL '!Y15/100/3.6*1000000</f>
        <v>205.86191366458323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2292.6387373683042</v>
      </c>
      <c r="C18" s="21">
        <f>C5+C16</f>
        <v>0</v>
      </c>
      <c r="D18" s="21">
        <f>MAX((D5+D16),0)</f>
        <v>10133.057528322117</v>
      </c>
      <c r="E18" s="21">
        <f>MAX((E5+E16),0)</f>
        <v>308.2230650041239</v>
      </c>
      <c r="F18" s="21">
        <f>MAX((F5+F16),0)</f>
        <v>945.07764383406266</v>
      </c>
      <c r="G18" s="21"/>
      <c r="H18" s="21"/>
      <c r="I18" s="21"/>
      <c r="J18" s="21">
        <f>MAX((J5+J16),0)</f>
        <v>3.4861563943725473</v>
      </c>
      <c r="K18" s="21"/>
      <c r="L18" s="21">
        <f>MAX((L5+L16),0)</f>
        <v>0</v>
      </c>
      <c r="M18" s="21"/>
      <c r="N18" s="21">
        <f>MAX((N5+N16),0)</f>
        <v>541.85877361768235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0.12604614927313243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288.9782845196911</v>
      </c>
      <c r="C22" s="23">
        <f ca="1">C18*C20</f>
        <v>0</v>
      </c>
      <c r="D22" s="23">
        <f>D18*D20</f>
        <v>2046.8776207210678</v>
      </c>
      <c r="E22" s="23">
        <f>E18*E20</f>
        <v>69.966635755936124</v>
      </c>
      <c r="F22" s="23">
        <f>F18*F20</f>
        <v>252.33573090369475</v>
      </c>
      <c r="G22" s="23"/>
      <c r="H22" s="23"/>
      <c r="I22" s="23"/>
      <c r="J22" s="23">
        <f>J18*J20</f>
        <v>1.2340993636078816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59.039934187655099</v>
      </c>
      <c r="C30" s="39">
        <f>IF(ISERROR(B30*3.6/1000000/'E Balans VL '!Z18*100),0,B30*3.6/1000000/'E Balans VL '!Z18*100)</f>
        <v>3.3459444587071985E-3</v>
      </c>
      <c r="D30" s="237" t="s">
        <v>754</v>
      </c>
    </row>
    <row r="31" spans="1:18">
      <c r="A31" s="6" t="s">
        <v>33</v>
      </c>
      <c r="B31" s="37">
        <f>IF( ISERROR(IND_ander_ele_kWh/1000),0,IND_ander_ele_kWh/1000)</f>
        <v>864.707228703596</v>
      </c>
      <c r="C31" s="39">
        <f>IF(ISERROR(B31*3.6/1000000/'E Balans VL '!Z19*100),0,B31*3.6/1000000/'E Balans VL '!Z19*100)</f>
        <v>3.9219519315761751E-2</v>
      </c>
      <c r="D31" s="237" t="s">
        <v>754</v>
      </c>
    </row>
    <row r="32" spans="1:18">
      <c r="A32" s="171" t="s">
        <v>41</v>
      </c>
      <c r="B32" s="37">
        <f>IF( ISERROR(IND_voed_ele_kWh/1000),0,IND_voed_ele_kWh/1000)</f>
        <v>329.032625665409</v>
      </c>
      <c r="C32" s="39">
        <f>IF(ISERROR(B32*3.6/1000000/'E Balans VL '!Z20*100),0,B32*3.6/1000000/'E Balans VL '!Z20*100)</f>
        <v>1.0178472793831845E-2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122.12596448878</v>
      </c>
      <c r="C34" s="39">
        <f>IF(ISERROR(B34*3.6/1000000/'E Balans VL '!Z22*100),0,B34*3.6/1000000/'E Balans VL '!Z22*100)</f>
        <v>2.196665072532222E-2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917.73298432286401</v>
      </c>
      <c r="C37" s="39">
        <f>IF(ISERROR(B37*3.6/1000000/'E Balans VL '!Z15*100),0,B37*3.6/1000000/'E Balans VL '!Z15*100)</f>
        <v>7.2741609840544915E-3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997.72873475743006</v>
      </c>
      <c r="C5" s="17">
        <f>'Eigen informatie GS &amp; warmtenet'!B60</f>
        <v>0</v>
      </c>
      <c r="D5" s="30">
        <f>IF(ISERROR(SUM(LB_lb_gas_kWh,LB_rest_gas_kWh,onbekend_gas_kWh)/1000),0,SUM(LB_lb_gas_kWh,LB_rest_gas_kWh,onbekend_gas_kWh)/1000)*0.902</f>
        <v>2314.5262557371902</v>
      </c>
      <c r="E5" s="17">
        <f>B17*'E Balans VL '!I25/3.6*1000000/100</f>
        <v>29.326294929814058</v>
      </c>
      <c r="F5" s="17">
        <f>B17*('E Balans VL '!L25/3.6*1000000+'E Balans VL '!N25/3.6*1000000)/100</f>
        <v>4156.4839945684698</v>
      </c>
      <c r="G5" s="18"/>
      <c r="H5" s="17"/>
      <c r="I5" s="17"/>
      <c r="J5" s="17">
        <f>('E Balans VL '!D25+'E Balans VL '!E25)/3.6*1000000*landbouw!B17/100</f>
        <v>144.5494671965063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997.72873475743006</v>
      </c>
      <c r="C8" s="21">
        <f>C5+C6</f>
        <v>0</v>
      </c>
      <c r="D8" s="21">
        <f>MAX((D5+D6),0)</f>
        <v>2314.5262557371902</v>
      </c>
      <c r="E8" s="21">
        <f>MAX((E5+E6),0)</f>
        <v>29.326294929814058</v>
      </c>
      <c r="F8" s="21">
        <f>MAX((F5+F6),0)</f>
        <v>4156.4839945684698</v>
      </c>
      <c r="G8" s="21"/>
      <c r="H8" s="21"/>
      <c r="I8" s="21"/>
      <c r="J8" s="21">
        <f>MAX((J5+J6),0)</f>
        <v>144.5494671965063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0.12604614927313243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125.75986503532859</v>
      </c>
      <c r="C12" s="23">
        <f ca="1">C8*C10</f>
        <v>0</v>
      </c>
      <c r="D12" s="23">
        <f>D8*D10</f>
        <v>467.53430365891245</v>
      </c>
      <c r="E12" s="23">
        <f>E8*E10</f>
        <v>6.6570689490677912</v>
      </c>
      <c r="F12" s="23">
        <f>F8*F10</f>
        <v>1109.7812265497814</v>
      </c>
      <c r="G12" s="23"/>
      <c r="H12" s="23"/>
      <c r="I12" s="23"/>
      <c r="J12" s="23">
        <f>J8*J10</f>
        <v>51.170511387563231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0.14158083774052085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308.26386587795685</v>
      </c>
      <c r="C26" s="247">
        <f>B26*'GWP N2O_CH4'!B5</f>
        <v>6473.5411834370934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64.069309397111724</v>
      </c>
      <c r="C27" s="247">
        <f>B27*'GWP N2O_CH4'!B5</f>
        <v>1345.4554973393463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3.801992508529183</v>
      </c>
      <c r="C28" s="247">
        <f>B28*'GWP N2O_CH4'!B4</f>
        <v>1178.6176776440468</v>
      </c>
      <c r="D28" s="50"/>
    </row>
    <row r="29" spans="1:4">
      <c r="A29" s="41" t="s">
        <v>277</v>
      </c>
      <c r="B29" s="247">
        <f>B34*'ha_N2O bodem landbouw'!B4</f>
        <v>11.993668588148338</v>
      </c>
      <c r="C29" s="247">
        <f>B29*'GWP N2O_CH4'!B4</f>
        <v>3718.037262325985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2.7369138397947551E-3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9.1540024061540027E-5</v>
      </c>
      <c r="C5" s="463" t="s">
        <v>211</v>
      </c>
      <c r="D5" s="448">
        <f>SUM(D6:D11)</f>
        <v>3.5015987473409354E-4</v>
      </c>
      <c r="E5" s="448">
        <f>SUM(E6:E11)</f>
        <v>4.6093103288132172E-4</v>
      </c>
      <c r="F5" s="461" t="s">
        <v>211</v>
      </c>
      <c r="G5" s="448">
        <f>SUM(G6:G11)</f>
        <v>0.17311184095062557</v>
      </c>
      <c r="H5" s="448">
        <f>SUM(H6:H11)</f>
        <v>3.9282510205836486E-2</v>
      </c>
      <c r="I5" s="463" t="s">
        <v>211</v>
      </c>
      <c r="J5" s="463" t="s">
        <v>211</v>
      </c>
      <c r="K5" s="463" t="s">
        <v>211</v>
      </c>
      <c r="L5" s="463" t="s">
        <v>211</v>
      </c>
      <c r="M5" s="448">
        <f>SUM(M6:M11)</f>
        <v>1.1280035742259059E-2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5.9146828735833619E-5</v>
      </c>
      <c r="C6" s="449"/>
      <c r="D6" s="962">
        <f>vkm_2011_GW_PW*SUMIFS(TableVerdeelsleutelVkm[CNG],TableVerdeelsleutelVkm[Voertuigtype],"Lichte voertuigen")*SUMIFS(TableECFTransport[EnergieConsumptieFactor (PJ per km)],TableECFTransport[Index],CONCATENATE($A6,"_CNG_CNG"))</f>
        <v>1.7740653901567659E-4</v>
      </c>
      <c r="E6" s="962">
        <f>vkm_2011_GW_PW*SUMIFS(TableVerdeelsleutelVkm[LPG],TableVerdeelsleutelVkm[Voertuigtype],"Lichte voertuigen")*SUMIFS(TableECFTransport[EnergieConsumptieFactor (PJ per km)],TableECFTransport[Index],CONCATENATE($A6,"_LPG_LPG"))</f>
        <v>2.4236281548887454E-4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6.2663914001280407E-2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2.0174423227144841E-2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4.2598835628884328E-3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3.4330398675313747E-2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1.0461377837910556E-5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2.0061545044756427E-3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3.2393195325706408E-5</v>
      </c>
      <c r="C8" s="449"/>
      <c r="D8" s="451">
        <f>vkm_2011_NGW_PW*SUMIFS(TableVerdeelsleutelVkm[CNG],TableVerdeelsleutelVkm[Voertuigtype],"Lichte voertuigen")*SUMIFS(TableECFTransport[EnergieConsumptieFactor (PJ per km)],TableECFTransport[Index],CONCATENATE($A8,"_CNG_CNG"))</f>
        <v>1.7275333571841695E-4</v>
      </c>
      <c r="E8" s="451">
        <f>vkm_2011_NGW_PW*SUMIFS(TableVerdeelsleutelVkm[LPG],TableVerdeelsleutelVkm[Voertuigtype],"Lichte voertuigen")*SUMIFS(TableECFTransport[EnergieConsumptieFactor (PJ per km)],TableECFTransport[Index],CONCATENATE($A8,"_LPG_LPG"))</f>
        <v>2.1856821739244718E-4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5.2662945193131722E-2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1.9090897101571407E-2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3.6434021444268303E-3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2.3454583080899667E-2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6.7284992823299233E-6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1.3705955304681532E-3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25.427784461538895</v>
      </c>
      <c r="C14" s="21"/>
      <c r="D14" s="21">
        <f t="shared" ref="D14:M14" si="0">((D5)*10^9/3600)+D12</f>
        <v>97.266631870581548</v>
      </c>
      <c r="E14" s="21">
        <f t="shared" si="0"/>
        <v>128.03639802258937</v>
      </c>
      <c r="F14" s="21"/>
      <c r="G14" s="21">
        <f t="shared" si="0"/>
        <v>48086.622486284883</v>
      </c>
      <c r="H14" s="21">
        <f t="shared" si="0"/>
        <v>10911.808390510136</v>
      </c>
      <c r="I14" s="21"/>
      <c r="J14" s="21"/>
      <c r="K14" s="21"/>
      <c r="L14" s="21"/>
      <c r="M14" s="21">
        <f t="shared" si="0"/>
        <v>3133.3432617386275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0.12604614927313243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3.2050743159241688</v>
      </c>
      <c r="C18" s="23"/>
      <c r="D18" s="23">
        <f t="shared" ref="D18:M18" si="1">D14*D16</f>
        <v>19.647859637857476</v>
      </c>
      <c r="E18" s="23">
        <f t="shared" si="1"/>
        <v>29.064262351127788</v>
      </c>
      <c r="F18" s="23"/>
      <c r="G18" s="23">
        <f t="shared" si="1"/>
        <v>12839.128203838065</v>
      </c>
      <c r="H18" s="23">
        <f t="shared" si="1"/>
        <v>2717.0402892370239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2.9393782983965396E-3</v>
      </c>
      <c r="H50" s="321">
        <f t="shared" si="2"/>
        <v>0</v>
      </c>
      <c r="I50" s="321">
        <f t="shared" si="2"/>
        <v>0</v>
      </c>
      <c r="J50" s="321">
        <f t="shared" si="2"/>
        <v>0</v>
      </c>
      <c r="K50" s="321">
        <f t="shared" si="2"/>
        <v>0</v>
      </c>
      <c r="L50" s="321">
        <f t="shared" si="2"/>
        <v>0</v>
      </c>
      <c r="M50" s="321">
        <f t="shared" si="2"/>
        <v>1.6694371123890205E-4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2.9393782983965396E-3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1.6694371123890205E-4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816.49397177681647</v>
      </c>
      <c r="H54" s="21">
        <f t="shared" si="3"/>
        <v>0</v>
      </c>
      <c r="I54" s="21">
        <f t="shared" si="3"/>
        <v>0</v>
      </c>
      <c r="J54" s="21">
        <f t="shared" si="3"/>
        <v>0</v>
      </c>
      <c r="K54" s="21">
        <f t="shared" si="3"/>
        <v>0</v>
      </c>
      <c r="L54" s="21">
        <f t="shared" si="3"/>
        <v>0</v>
      </c>
      <c r="M54" s="21">
        <f t="shared" si="3"/>
        <v>46.37325312191723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0.12604614927313243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218.00389046441001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15845.65262842558</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3461.4637721507079</v>
      </c>
      <c r="C6" s="1263"/>
      <c r="D6" s="1248"/>
      <c r="E6" s="1248"/>
      <c r="F6" s="1266"/>
      <c r="G6" s="1269"/>
      <c r="H6" s="1260"/>
      <c r="I6" s="1248"/>
      <c r="J6" s="1248"/>
      <c r="K6" s="1248"/>
      <c r="L6" s="1252"/>
      <c r="M6" s="575"/>
      <c r="N6" s="1226"/>
      <c r="O6" s="1227"/>
      <c r="Q6" s="573"/>
      <c r="R6" s="1214"/>
      <c r="S6" s="1214"/>
    </row>
    <row r="7" spans="1:19" s="563" customFormat="1">
      <c r="A7" s="576" t="s">
        <v>252</v>
      </c>
      <c r="B7" s="577">
        <f>N57</f>
        <v>40.5</v>
      </c>
      <c r="C7" s="578">
        <f>B100</f>
        <v>0</v>
      </c>
      <c r="D7" s="579"/>
      <c r="E7" s="579">
        <f>E100</f>
        <v>0</v>
      </c>
      <c r="F7" s="580"/>
      <c r="G7" s="581"/>
      <c r="H7" s="579">
        <f>I100</f>
        <v>0</v>
      </c>
      <c r="I7" s="579">
        <f>G100+F100</f>
        <v>47.647058823529413</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19347.616400576288</v>
      </c>
      <c r="C9" s="594">
        <f t="shared" ref="C9:L9" si="0">SUM(C7:C8)</f>
        <v>0</v>
      </c>
      <c r="D9" s="594">
        <f t="shared" si="0"/>
        <v>0</v>
      </c>
      <c r="E9" s="594">
        <f t="shared" si="0"/>
        <v>0</v>
      </c>
      <c r="F9" s="594">
        <f t="shared" si="0"/>
        <v>0</v>
      </c>
      <c r="G9" s="594">
        <f t="shared" si="0"/>
        <v>0</v>
      </c>
      <c r="H9" s="594">
        <f t="shared" si="0"/>
        <v>0</v>
      </c>
      <c r="I9" s="594">
        <f t="shared" si="0"/>
        <v>47.647058823529413</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45.5625</v>
      </c>
      <c r="C16" s="610">
        <f>B101</f>
        <v>0</v>
      </c>
      <c r="D16" s="611"/>
      <c r="E16" s="611">
        <f>E101</f>
        <v>0</v>
      </c>
      <c r="F16" s="612"/>
      <c r="G16" s="613"/>
      <c r="H16" s="610">
        <f>I101</f>
        <v>0</v>
      </c>
      <c r="I16" s="611">
        <f>G101+F101</f>
        <v>53.602941176470587</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45.5625</v>
      </c>
      <c r="C19" s="593">
        <f>SUM(C16:C18)</f>
        <v>0</v>
      </c>
      <c r="D19" s="593">
        <f t="shared" ref="D19:M19" si="1">SUM(D16:D18)</f>
        <v>0</v>
      </c>
      <c r="E19" s="593">
        <f t="shared" si="1"/>
        <v>0</v>
      </c>
      <c r="F19" s="593">
        <f t="shared" si="1"/>
        <v>0</v>
      </c>
      <c r="G19" s="593">
        <f t="shared" si="1"/>
        <v>0</v>
      </c>
      <c r="H19" s="593">
        <f t="shared" si="1"/>
        <v>0</v>
      </c>
      <c r="I19" s="593">
        <f t="shared" si="1"/>
        <v>53.602941176470587</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42003</v>
      </c>
      <c r="C27" s="851">
        <v>9290</v>
      </c>
      <c r="D27" s="672" t="s">
        <v>844</v>
      </c>
      <c r="E27" s="671" t="s">
        <v>845</v>
      </c>
      <c r="F27" s="671" t="s">
        <v>846</v>
      </c>
      <c r="G27" s="671" t="s">
        <v>847</v>
      </c>
      <c r="H27" s="671" t="s">
        <v>848</v>
      </c>
      <c r="I27" s="671" t="s">
        <v>845</v>
      </c>
      <c r="J27" s="850">
        <v>40787</v>
      </c>
      <c r="K27" s="850">
        <v>40848</v>
      </c>
      <c r="L27" s="671" t="s">
        <v>849</v>
      </c>
      <c r="M27" s="671">
        <v>9</v>
      </c>
      <c r="N27" s="671">
        <v>40.5</v>
      </c>
      <c r="O27" s="671">
        <v>45.5625</v>
      </c>
      <c r="P27" s="671">
        <v>0</v>
      </c>
      <c r="Q27" s="671">
        <v>0</v>
      </c>
      <c r="R27" s="671">
        <v>0</v>
      </c>
      <c r="S27" s="671">
        <v>0</v>
      </c>
      <c r="T27" s="671">
        <v>0</v>
      </c>
      <c r="U27" s="671">
        <v>101.25</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v>
      </c>
      <c r="N57" s="629">
        <f>SUM(N27:N56)</f>
        <v>40.5</v>
      </c>
      <c r="O57" s="629">
        <f t="shared" ref="O57:W57" si="2">SUM(O27:O56)</f>
        <v>45.5625</v>
      </c>
      <c r="P57" s="629">
        <f t="shared" si="2"/>
        <v>0</v>
      </c>
      <c r="Q57" s="629">
        <f t="shared" si="2"/>
        <v>0</v>
      </c>
      <c r="R57" s="629">
        <f t="shared" si="2"/>
        <v>0</v>
      </c>
      <c r="S57" s="629">
        <f t="shared" si="2"/>
        <v>0</v>
      </c>
      <c r="T57" s="629">
        <f t="shared" si="2"/>
        <v>0</v>
      </c>
      <c r="U57" s="629">
        <f t="shared" si="2"/>
        <v>101.25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v>
      </c>
      <c r="N59" s="629">
        <f ca="1">SUMIF($Z$27:AB56,"tertiair",N27:N56)</f>
        <v>40.5</v>
      </c>
      <c r="O59" s="629">
        <f ca="1">SUMIF($Z$27:AC56,"tertiair",O27:O56)</f>
        <v>45.5625</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101.25</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47.647058823529413</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53.602941176470587</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11614.591557894792</v>
      </c>
      <c r="D10" s="718">
        <f ca="1">tertiair!C16</f>
        <v>45.5625</v>
      </c>
      <c r="E10" s="718">
        <f ca="1">tertiair!D16</f>
        <v>10735.377442959707</v>
      </c>
      <c r="F10" s="718">
        <f>tertiair!E16</f>
        <v>170.60714381653409</v>
      </c>
      <c r="G10" s="718">
        <f ca="1">tertiair!F16</f>
        <v>1828.5058743615518</v>
      </c>
      <c r="H10" s="718">
        <f>tertiair!G16</f>
        <v>0</v>
      </c>
      <c r="I10" s="718">
        <f>tertiair!H16</f>
        <v>0</v>
      </c>
      <c r="J10" s="718">
        <f>tertiair!I16</f>
        <v>0</v>
      </c>
      <c r="K10" s="718">
        <f>tertiair!J16</f>
        <v>3.2411634618778197E-2</v>
      </c>
      <c r="L10" s="718">
        <f>tertiair!K16</f>
        <v>0</v>
      </c>
      <c r="M10" s="718">
        <f ca="1">tertiair!L16</f>
        <v>0</v>
      </c>
      <c r="N10" s="718">
        <f>tertiair!M16</f>
        <v>0</v>
      </c>
      <c r="O10" s="718">
        <f ca="1">tertiair!N16</f>
        <v>1281.2251765077533</v>
      </c>
      <c r="P10" s="718">
        <f>tertiair!O16</f>
        <v>4.6900000000000004</v>
      </c>
      <c r="Q10" s="719">
        <f>tertiair!P16</f>
        <v>38.133333333333333</v>
      </c>
      <c r="R10" s="721">
        <f ca="1">SUM(C10:Q10)</f>
        <v>25718.725440508293</v>
      </c>
      <c r="S10" s="67"/>
    </row>
    <row r="11" spans="1:19" s="474" customFormat="1">
      <c r="A11" s="870" t="s">
        <v>225</v>
      </c>
      <c r="B11" s="875"/>
      <c r="C11" s="718">
        <f>huishoudens!B8</f>
        <v>30100.153724907552</v>
      </c>
      <c r="D11" s="718">
        <f>huishoudens!C8</f>
        <v>0</v>
      </c>
      <c r="E11" s="718">
        <f>huishoudens!D8</f>
        <v>48331.799726949008</v>
      </c>
      <c r="F11" s="718">
        <f>huishoudens!E8</f>
        <v>7525.7797609018708</v>
      </c>
      <c r="G11" s="718">
        <f>huishoudens!F8</f>
        <v>22639.306667986279</v>
      </c>
      <c r="H11" s="718">
        <f>huishoudens!G8</f>
        <v>0</v>
      </c>
      <c r="I11" s="718">
        <f>huishoudens!H8</f>
        <v>0</v>
      </c>
      <c r="J11" s="718">
        <f>huishoudens!I8</f>
        <v>0</v>
      </c>
      <c r="K11" s="718">
        <f>huishoudens!J8</f>
        <v>2097.9894545687694</v>
      </c>
      <c r="L11" s="718">
        <f>huishoudens!K8</f>
        <v>0</v>
      </c>
      <c r="M11" s="718">
        <f>huishoudens!L8</f>
        <v>0</v>
      </c>
      <c r="N11" s="718">
        <f>huishoudens!M8</f>
        <v>0</v>
      </c>
      <c r="O11" s="718">
        <f>huishoudens!N8</f>
        <v>12465.519844770988</v>
      </c>
      <c r="P11" s="718">
        <f>huishoudens!O8</f>
        <v>234.5</v>
      </c>
      <c r="Q11" s="719">
        <f>huishoudens!P8</f>
        <v>781.73333333333335</v>
      </c>
      <c r="R11" s="721">
        <f>SUM(C11:Q11)</f>
        <v>124176.78251341781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2292.6387373683042</v>
      </c>
      <c r="D13" s="718">
        <f>industrie!C18</f>
        <v>0</v>
      </c>
      <c r="E13" s="718">
        <f>industrie!D18</f>
        <v>10133.057528322117</v>
      </c>
      <c r="F13" s="718">
        <f>industrie!E18</f>
        <v>308.2230650041239</v>
      </c>
      <c r="G13" s="718">
        <f>industrie!F18</f>
        <v>945.07764383406266</v>
      </c>
      <c r="H13" s="718">
        <f>industrie!G18</f>
        <v>0</v>
      </c>
      <c r="I13" s="718">
        <f>industrie!H18</f>
        <v>0</v>
      </c>
      <c r="J13" s="718">
        <f>industrie!I18</f>
        <v>0</v>
      </c>
      <c r="K13" s="718">
        <f>industrie!J18</f>
        <v>3.4861563943725473</v>
      </c>
      <c r="L13" s="718">
        <f>industrie!K18</f>
        <v>0</v>
      </c>
      <c r="M13" s="718">
        <f>industrie!L18</f>
        <v>0</v>
      </c>
      <c r="N13" s="718">
        <f>industrie!M18</f>
        <v>0</v>
      </c>
      <c r="O13" s="718">
        <f>industrie!N18</f>
        <v>541.85877361768235</v>
      </c>
      <c r="P13" s="718">
        <f>industrie!O18</f>
        <v>0</v>
      </c>
      <c r="Q13" s="719">
        <f>industrie!P18</f>
        <v>0</v>
      </c>
      <c r="R13" s="721">
        <f>SUM(C13:Q13)</f>
        <v>14224.341904540663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44007.384020170648</v>
      </c>
      <c r="D15" s="723">
        <f t="shared" ref="D15:Q15" ca="1" si="0">SUM(D9:D14)</f>
        <v>45.5625</v>
      </c>
      <c r="E15" s="723">
        <f t="shared" ca="1" si="0"/>
        <v>69200.234698230823</v>
      </c>
      <c r="F15" s="723">
        <f t="shared" si="0"/>
        <v>8004.6099697225291</v>
      </c>
      <c r="G15" s="723">
        <f t="shared" ca="1" si="0"/>
        <v>25412.890186181892</v>
      </c>
      <c r="H15" s="723">
        <f t="shared" si="0"/>
        <v>0</v>
      </c>
      <c r="I15" s="723">
        <f t="shared" si="0"/>
        <v>0</v>
      </c>
      <c r="J15" s="723">
        <f t="shared" si="0"/>
        <v>0</v>
      </c>
      <c r="K15" s="723">
        <f t="shared" si="0"/>
        <v>2101.5080225977608</v>
      </c>
      <c r="L15" s="723">
        <f t="shared" si="0"/>
        <v>0</v>
      </c>
      <c r="M15" s="723">
        <f t="shared" ca="1" si="0"/>
        <v>0</v>
      </c>
      <c r="N15" s="723">
        <f t="shared" si="0"/>
        <v>0</v>
      </c>
      <c r="O15" s="723">
        <f t="shared" ca="1" si="0"/>
        <v>14288.603794896422</v>
      </c>
      <c r="P15" s="723">
        <f t="shared" si="0"/>
        <v>239.19</v>
      </c>
      <c r="Q15" s="724">
        <f t="shared" si="0"/>
        <v>819.86666666666667</v>
      </c>
      <c r="R15" s="725">
        <f ca="1">SUM(R9:R14)</f>
        <v>164119.84985846677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816.49397177681647</v>
      </c>
      <c r="I18" s="718">
        <f>transport!H54</f>
        <v>0</v>
      </c>
      <c r="J18" s="718">
        <f>transport!I54</f>
        <v>0</v>
      </c>
      <c r="K18" s="718">
        <f>transport!J54</f>
        <v>0</v>
      </c>
      <c r="L18" s="718">
        <f>transport!K54</f>
        <v>0</v>
      </c>
      <c r="M18" s="718">
        <f>transport!L54</f>
        <v>0</v>
      </c>
      <c r="N18" s="718">
        <f>transport!M54</f>
        <v>46.37325312191723</v>
      </c>
      <c r="O18" s="718">
        <f>transport!N54</f>
        <v>0</v>
      </c>
      <c r="P18" s="718">
        <f>transport!O54</f>
        <v>0</v>
      </c>
      <c r="Q18" s="719">
        <f>transport!P54</f>
        <v>0</v>
      </c>
      <c r="R18" s="721">
        <f>SUM(C18:Q18)</f>
        <v>862.86722489873364</v>
      </c>
      <c r="S18" s="67"/>
    </row>
    <row r="19" spans="1:19" s="474" customFormat="1" ht="15" thickBot="1">
      <c r="A19" s="870" t="s">
        <v>307</v>
      </c>
      <c r="B19" s="875"/>
      <c r="C19" s="727">
        <f>transport!B14</f>
        <v>25.427784461538895</v>
      </c>
      <c r="D19" s="727">
        <f>transport!C14</f>
        <v>0</v>
      </c>
      <c r="E19" s="727">
        <f>transport!D14</f>
        <v>97.266631870581548</v>
      </c>
      <c r="F19" s="727">
        <f>transport!E14</f>
        <v>128.03639802258937</v>
      </c>
      <c r="G19" s="727">
        <f>transport!F14</f>
        <v>0</v>
      </c>
      <c r="H19" s="727">
        <f>transport!G14</f>
        <v>48086.622486284883</v>
      </c>
      <c r="I19" s="727">
        <f>transport!H14</f>
        <v>10911.808390510136</v>
      </c>
      <c r="J19" s="727">
        <f>transport!I14</f>
        <v>0</v>
      </c>
      <c r="K19" s="727">
        <f>transport!J14</f>
        <v>0</v>
      </c>
      <c r="L19" s="727">
        <f>transport!K14</f>
        <v>0</v>
      </c>
      <c r="M19" s="727">
        <f>transport!L14</f>
        <v>0</v>
      </c>
      <c r="N19" s="727">
        <f>transport!M14</f>
        <v>3133.3432617386275</v>
      </c>
      <c r="O19" s="727">
        <f>transport!N14</f>
        <v>0</v>
      </c>
      <c r="P19" s="727">
        <f>transport!O14</f>
        <v>0</v>
      </c>
      <c r="Q19" s="728">
        <f>transport!P14</f>
        <v>0</v>
      </c>
      <c r="R19" s="729">
        <f>SUM(C19:Q19)</f>
        <v>62382.504952888361</v>
      </c>
      <c r="S19" s="67"/>
    </row>
    <row r="20" spans="1:19" s="474" customFormat="1" ht="15.75" thickBot="1">
      <c r="A20" s="730" t="s">
        <v>230</v>
      </c>
      <c r="B20" s="878"/>
      <c r="C20" s="873">
        <f>SUM(C17:C19)</f>
        <v>25.427784461538895</v>
      </c>
      <c r="D20" s="731">
        <f t="shared" ref="D20:R20" si="1">SUM(D17:D19)</f>
        <v>0</v>
      </c>
      <c r="E20" s="731">
        <f t="shared" si="1"/>
        <v>97.266631870581548</v>
      </c>
      <c r="F20" s="731">
        <f t="shared" si="1"/>
        <v>128.03639802258937</v>
      </c>
      <c r="G20" s="731">
        <f t="shared" si="1"/>
        <v>0</v>
      </c>
      <c r="H20" s="731">
        <f t="shared" si="1"/>
        <v>48903.116458061697</v>
      </c>
      <c r="I20" s="731">
        <f t="shared" si="1"/>
        <v>10911.808390510136</v>
      </c>
      <c r="J20" s="731">
        <f t="shared" si="1"/>
        <v>0</v>
      </c>
      <c r="K20" s="731">
        <f t="shared" si="1"/>
        <v>0</v>
      </c>
      <c r="L20" s="731">
        <f t="shared" si="1"/>
        <v>0</v>
      </c>
      <c r="M20" s="731">
        <f t="shared" si="1"/>
        <v>0</v>
      </c>
      <c r="N20" s="731">
        <f t="shared" si="1"/>
        <v>3179.7165148605445</v>
      </c>
      <c r="O20" s="731">
        <f t="shared" si="1"/>
        <v>0</v>
      </c>
      <c r="P20" s="731">
        <f t="shared" si="1"/>
        <v>0</v>
      </c>
      <c r="Q20" s="732">
        <f t="shared" si="1"/>
        <v>0</v>
      </c>
      <c r="R20" s="733">
        <f t="shared" si="1"/>
        <v>63245.372177787096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997.72873475743006</v>
      </c>
      <c r="D22" s="727">
        <f>+landbouw!C8</f>
        <v>0</v>
      </c>
      <c r="E22" s="727">
        <f>+landbouw!D8</f>
        <v>2314.5262557371902</v>
      </c>
      <c r="F22" s="727">
        <f>+landbouw!E8</f>
        <v>29.326294929814058</v>
      </c>
      <c r="G22" s="727">
        <f>+landbouw!F8</f>
        <v>4156.4839945684698</v>
      </c>
      <c r="H22" s="727">
        <f>+landbouw!G8</f>
        <v>0</v>
      </c>
      <c r="I22" s="727">
        <f>+landbouw!H8</f>
        <v>0</v>
      </c>
      <c r="J22" s="727">
        <f>+landbouw!I8</f>
        <v>0</v>
      </c>
      <c r="K22" s="727">
        <f>+landbouw!J8</f>
        <v>144.5494671965063</v>
      </c>
      <c r="L22" s="727">
        <f>+landbouw!K8</f>
        <v>0</v>
      </c>
      <c r="M22" s="727">
        <f>+landbouw!L8</f>
        <v>0</v>
      </c>
      <c r="N22" s="727">
        <f>+landbouw!M8</f>
        <v>0</v>
      </c>
      <c r="O22" s="727">
        <f>+landbouw!N8</f>
        <v>0</v>
      </c>
      <c r="P22" s="727">
        <f>+landbouw!O8</f>
        <v>0</v>
      </c>
      <c r="Q22" s="728">
        <f>+landbouw!P8</f>
        <v>0</v>
      </c>
      <c r="R22" s="729">
        <f>SUM(C22:Q22)</f>
        <v>7642.614747189411</v>
      </c>
      <c r="S22" s="67"/>
    </row>
    <row r="23" spans="1:19" s="474" customFormat="1" ht="17.25" thickTop="1" thickBot="1">
      <c r="A23" s="734" t="s">
        <v>116</v>
      </c>
      <c r="B23" s="864"/>
      <c r="C23" s="735">
        <f ca="1">C20+C15+C22</f>
        <v>45030.540539389614</v>
      </c>
      <c r="D23" s="735">
        <f t="shared" ref="D23:Q23" ca="1" si="2">D20+D15+D22</f>
        <v>45.5625</v>
      </c>
      <c r="E23" s="735">
        <f t="shared" ca="1" si="2"/>
        <v>71612.027585838601</v>
      </c>
      <c r="F23" s="735">
        <f t="shared" si="2"/>
        <v>8161.9726626749325</v>
      </c>
      <c r="G23" s="735">
        <f t="shared" ca="1" si="2"/>
        <v>29569.374180750361</v>
      </c>
      <c r="H23" s="735">
        <f t="shared" si="2"/>
        <v>48903.116458061697</v>
      </c>
      <c r="I23" s="735">
        <f t="shared" si="2"/>
        <v>10911.808390510136</v>
      </c>
      <c r="J23" s="735">
        <f t="shared" si="2"/>
        <v>0</v>
      </c>
      <c r="K23" s="735">
        <f t="shared" si="2"/>
        <v>2246.057489794267</v>
      </c>
      <c r="L23" s="735">
        <f t="shared" si="2"/>
        <v>0</v>
      </c>
      <c r="M23" s="735">
        <f t="shared" ca="1" si="2"/>
        <v>0</v>
      </c>
      <c r="N23" s="735">
        <f t="shared" si="2"/>
        <v>3179.7165148605445</v>
      </c>
      <c r="O23" s="735">
        <f t="shared" ca="1" si="2"/>
        <v>14288.603794896422</v>
      </c>
      <c r="P23" s="735">
        <f t="shared" si="2"/>
        <v>239.19</v>
      </c>
      <c r="Q23" s="736">
        <f t="shared" si="2"/>
        <v>819.86666666666667</v>
      </c>
      <c r="R23" s="737">
        <f ca="1">R20+R15+R22</f>
        <v>235007.83678344329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1463.9745412528707</v>
      </c>
      <c r="D36" s="718">
        <f ca="1">tertiair!C20</f>
        <v>0</v>
      </c>
      <c r="E36" s="718">
        <f ca="1">tertiair!D20</f>
        <v>2168.546243477861</v>
      </c>
      <c r="F36" s="718">
        <f>tertiair!E20</f>
        <v>38.727821646353242</v>
      </c>
      <c r="G36" s="718">
        <f ca="1">tertiair!F20</f>
        <v>488.21106845453437</v>
      </c>
      <c r="H36" s="718">
        <f>tertiair!G20</f>
        <v>0</v>
      </c>
      <c r="I36" s="718">
        <f>tertiair!H20</f>
        <v>0</v>
      </c>
      <c r="J36" s="718">
        <f>tertiair!I20</f>
        <v>0</v>
      </c>
      <c r="K36" s="718">
        <f>tertiair!J20</f>
        <v>1.1473718655047481E-2</v>
      </c>
      <c r="L36" s="718">
        <f>tertiair!K20</f>
        <v>0</v>
      </c>
      <c r="M36" s="718">
        <f ca="1">tertiair!L20</f>
        <v>0</v>
      </c>
      <c r="N36" s="718">
        <f>tertiair!M20</f>
        <v>0</v>
      </c>
      <c r="O36" s="718">
        <f ca="1">tertiair!N20</f>
        <v>0</v>
      </c>
      <c r="P36" s="718">
        <f>tertiair!O20</f>
        <v>0</v>
      </c>
      <c r="Q36" s="828">
        <f>tertiair!P20</f>
        <v>0</v>
      </c>
      <c r="R36" s="917">
        <f ca="1">SUM(C36:Q36)</f>
        <v>4159.4711485502748</v>
      </c>
    </row>
    <row r="37" spans="1:18">
      <c r="A37" s="885" t="s">
        <v>225</v>
      </c>
      <c r="B37" s="892"/>
      <c r="C37" s="718">
        <f ca="1">huishoudens!B12</f>
        <v>3794.0084695539304</v>
      </c>
      <c r="D37" s="718">
        <f ca="1">huishoudens!C12</f>
        <v>0</v>
      </c>
      <c r="E37" s="718">
        <f>huishoudens!D12</f>
        <v>9763.0235448436997</v>
      </c>
      <c r="F37" s="718">
        <f>huishoudens!E12</f>
        <v>1708.3520057247247</v>
      </c>
      <c r="G37" s="718">
        <f>huishoudens!F12</f>
        <v>6044.6948803523364</v>
      </c>
      <c r="H37" s="718">
        <f>huishoudens!G12</f>
        <v>0</v>
      </c>
      <c r="I37" s="718">
        <f>huishoudens!H12</f>
        <v>0</v>
      </c>
      <c r="J37" s="718">
        <f>huishoudens!I12</f>
        <v>0</v>
      </c>
      <c r="K37" s="718">
        <f>huishoudens!J12</f>
        <v>742.68826691734432</v>
      </c>
      <c r="L37" s="718">
        <f>huishoudens!K12</f>
        <v>0</v>
      </c>
      <c r="M37" s="718">
        <f>huishoudens!L12</f>
        <v>0</v>
      </c>
      <c r="N37" s="718">
        <f>huishoudens!M12</f>
        <v>0</v>
      </c>
      <c r="O37" s="718">
        <f>huishoudens!N12</f>
        <v>0</v>
      </c>
      <c r="P37" s="718">
        <f>huishoudens!O12</f>
        <v>0</v>
      </c>
      <c r="Q37" s="828">
        <f>huishoudens!P12</f>
        <v>0</v>
      </c>
      <c r="R37" s="917">
        <f ca="1">SUM(C37:Q37)</f>
        <v>22052.767167392034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288.9782845196911</v>
      </c>
      <c r="D39" s="718">
        <f ca="1">industrie!C22</f>
        <v>0</v>
      </c>
      <c r="E39" s="718">
        <f>industrie!D22</f>
        <v>2046.8776207210678</v>
      </c>
      <c r="F39" s="718">
        <f>industrie!E22</f>
        <v>69.966635755936124</v>
      </c>
      <c r="G39" s="718">
        <f>industrie!F22</f>
        <v>252.33573090369475</v>
      </c>
      <c r="H39" s="718">
        <f>industrie!G22</f>
        <v>0</v>
      </c>
      <c r="I39" s="718">
        <f>industrie!H22</f>
        <v>0</v>
      </c>
      <c r="J39" s="718">
        <f>industrie!I22</f>
        <v>0</v>
      </c>
      <c r="K39" s="718">
        <f>industrie!J22</f>
        <v>1.2340993636078816</v>
      </c>
      <c r="L39" s="718">
        <f>industrie!K22</f>
        <v>0</v>
      </c>
      <c r="M39" s="718">
        <f>industrie!L22</f>
        <v>0</v>
      </c>
      <c r="N39" s="718">
        <f>industrie!M22</f>
        <v>0</v>
      </c>
      <c r="O39" s="718">
        <f>industrie!N22</f>
        <v>0</v>
      </c>
      <c r="P39" s="718">
        <f>industrie!O22</f>
        <v>0</v>
      </c>
      <c r="Q39" s="828">
        <f>industrie!P22</f>
        <v>0</v>
      </c>
      <c r="R39" s="918">
        <f ca="1">SUM(C39:Q39)</f>
        <v>2659.392371263998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5546.9612953264923</v>
      </c>
      <c r="D41" s="763">
        <f t="shared" ref="D41:R41" ca="1" si="4">SUM(D35:D40)</f>
        <v>0</v>
      </c>
      <c r="E41" s="763">
        <f t="shared" ca="1" si="4"/>
        <v>13978.44740904263</v>
      </c>
      <c r="F41" s="763">
        <f t="shared" si="4"/>
        <v>1817.046463127014</v>
      </c>
      <c r="G41" s="763">
        <f t="shared" ca="1" si="4"/>
        <v>6785.2416797105652</v>
      </c>
      <c r="H41" s="763">
        <f t="shared" si="4"/>
        <v>0</v>
      </c>
      <c r="I41" s="763">
        <f t="shared" si="4"/>
        <v>0</v>
      </c>
      <c r="J41" s="763">
        <f t="shared" si="4"/>
        <v>0</v>
      </c>
      <c r="K41" s="763">
        <f t="shared" si="4"/>
        <v>743.93383999960724</v>
      </c>
      <c r="L41" s="763">
        <f t="shared" si="4"/>
        <v>0</v>
      </c>
      <c r="M41" s="763">
        <f t="shared" ca="1" si="4"/>
        <v>0</v>
      </c>
      <c r="N41" s="763">
        <f t="shared" si="4"/>
        <v>0</v>
      </c>
      <c r="O41" s="763">
        <f t="shared" ca="1" si="4"/>
        <v>0</v>
      </c>
      <c r="P41" s="763">
        <f t="shared" si="4"/>
        <v>0</v>
      </c>
      <c r="Q41" s="764">
        <f t="shared" si="4"/>
        <v>0</v>
      </c>
      <c r="R41" s="765">
        <f t="shared" ca="1" si="4"/>
        <v>28871.630687206307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218.00389046441001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218.00389046441001</v>
      </c>
    </row>
    <row r="45" spans="1:18" ht="15" thickBot="1">
      <c r="A45" s="888" t="s">
        <v>307</v>
      </c>
      <c r="B45" s="898"/>
      <c r="C45" s="727">
        <f ca="1">transport!B18</f>
        <v>3.2050743159241688</v>
      </c>
      <c r="D45" s="727">
        <f>transport!C18</f>
        <v>0</v>
      </c>
      <c r="E45" s="727">
        <f>transport!D18</f>
        <v>19.647859637857476</v>
      </c>
      <c r="F45" s="727">
        <f>transport!E18</f>
        <v>29.064262351127788</v>
      </c>
      <c r="G45" s="727">
        <f>transport!F18</f>
        <v>0</v>
      </c>
      <c r="H45" s="727">
        <f>transport!G18</f>
        <v>12839.128203838065</v>
      </c>
      <c r="I45" s="727">
        <f>transport!H18</f>
        <v>2717.0402892370239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15608.085689379999</v>
      </c>
    </row>
    <row r="46" spans="1:18" ht="15.75" thickBot="1">
      <c r="A46" s="886" t="s">
        <v>230</v>
      </c>
      <c r="B46" s="899"/>
      <c r="C46" s="763">
        <f t="shared" ref="C46:R46" ca="1" si="5">SUM(C43:C45)</f>
        <v>3.2050743159241688</v>
      </c>
      <c r="D46" s="763">
        <f t="shared" ca="1" si="5"/>
        <v>0</v>
      </c>
      <c r="E46" s="763">
        <f t="shared" si="5"/>
        <v>19.647859637857476</v>
      </c>
      <c r="F46" s="763">
        <f t="shared" si="5"/>
        <v>29.064262351127788</v>
      </c>
      <c r="G46" s="763">
        <f t="shared" si="5"/>
        <v>0</v>
      </c>
      <c r="H46" s="763">
        <f t="shared" si="5"/>
        <v>13057.132094302475</v>
      </c>
      <c r="I46" s="763">
        <f t="shared" si="5"/>
        <v>2717.0402892370239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15826.089579844409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125.75986503532859</v>
      </c>
      <c r="D48" s="718">
        <f ca="1">+landbouw!C12</f>
        <v>0</v>
      </c>
      <c r="E48" s="718">
        <f>+landbouw!D12</f>
        <v>467.53430365891245</v>
      </c>
      <c r="F48" s="718">
        <f>+landbouw!E12</f>
        <v>6.6570689490677912</v>
      </c>
      <c r="G48" s="718">
        <f>+landbouw!F12</f>
        <v>1109.7812265497814</v>
      </c>
      <c r="H48" s="718">
        <f>+landbouw!G12</f>
        <v>0</v>
      </c>
      <c r="I48" s="718">
        <f>+landbouw!H12</f>
        <v>0</v>
      </c>
      <c r="J48" s="718">
        <f>+landbouw!I12</f>
        <v>0</v>
      </c>
      <c r="K48" s="718">
        <f>+landbouw!J12</f>
        <v>51.170511387563231</v>
      </c>
      <c r="L48" s="718">
        <f>+landbouw!K12</f>
        <v>0</v>
      </c>
      <c r="M48" s="718">
        <f>+landbouw!L12</f>
        <v>0</v>
      </c>
      <c r="N48" s="718">
        <f>+landbouw!M12</f>
        <v>0</v>
      </c>
      <c r="O48" s="718">
        <f>+landbouw!N12</f>
        <v>0</v>
      </c>
      <c r="P48" s="718">
        <f>+landbouw!O12</f>
        <v>0</v>
      </c>
      <c r="Q48" s="719">
        <f>+landbouw!P12</f>
        <v>0</v>
      </c>
      <c r="R48" s="761">
        <f ca="1">SUM(C48:Q48)</f>
        <v>1760.9029755806537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5675.926234677745</v>
      </c>
      <c r="D53" s="773">
        <f t="shared" ref="D53:Q53" ca="1" si="6">D41+D46+D48</f>
        <v>0</v>
      </c>
      <c r="E53" s="773">
        <f t="shared" ca="1" si="6"/>
        <v>14465.629572339401</v>
      </c>
      <c r="F53" s="773">
        <f t="shared" si="6"/>
        <v>1852.7677944272095</v>
      </c>
      <c r="G53" s="773">
        <f t="shared" ca="1" si="6"/>
        <v>7895.0229062603466</v>
      </c>
      <c r="H53" s="773">
        <f t="shared" si="6"/>
        <v>13057.132094302475</v>
      </c>
      <c r="I53" s="773">
        <f t="shared" si="6"/>
        <v>2717.0402892370239</v>
      </c>
      <c r="J53" s="773">
        <f t="shared" si="6"/>
        <v>0</v>
      </c>
      <c r="K53" s="773">
        <f t="shared" si="6"/>
        <v>795.10435138717048</v>
      </c>
      <c r="L53" s="773">
        <f t="shared" si="6"/>
        <v>0</v>
      </c>
      <c r="M53" s="773">
        <f t="shared" ca="1" si="6"/>
        <v>0</v>
      </c>
      <c r="N53" s="773">
        <f t="shared" si="6"/>
        <v>0</v>
      </c>
      <c r="O53" s="773">
        <f t="shared" ca="1" si="6"/>
        <v>0</v>
      </c>
      <c r="P53" s="773">
        <f>P41+P46+P48</f>
        <v>0</v>
      </c>
      <c r="Q53" s="774">
        <f t="shared" si="6"/>
        <v>0</v>
      </c>
      <c r="R53" s="775">
        <f ca="1">R41+R46+R48</f>
        <v>46458.623242631373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0.12604614927313243</v>
      </c>
      <c r="D55" s="836">
        <f t="shared" ca="1" si="7"/>
        <v>0</v>
      </c>
      <c r="E55" s="836">
        <f t="shared" ca="1" si="7"/>
        <v>0.20200000000000007</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15845.65262842558</v>
      </c>
      <c r="C64" s="795">
        <f>'lokale energieproductie'!B4</f>
        <v>15845.65262842558</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3461.4637721507079</v>
      </c>
      <c r="C66" s="795">
        <f>'lokale energieproductie'!B6</f>
        <v>3461.4637721507079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40.5</v>
      </c>
      <c r="C67" s="794">
        <f>B67*IFERROR(SUM(J67:L67)/SUM(D67:M67),0)</f>
        <v>40.5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47.647058823529413</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19347.616400576288</v>
      </c>
      <c r="C69" s="803">
        <f>SUM(C64:C68)</f>
        <v>19347.616400576288</v>
      </c>
      <c r="D69" s="804">
        <f t="shared" ref="D69:M69" si="8">SUM(D67:D68)</f>
        <v>0</v>
      </c>
      <c r="E69" s="804">
        <f t="shared" si="8"/>
        <v>0</v>
      </c>
      <c r="F69" s="804">
        <f t="shared" si="8"/>
        <v>0</v>
      </c>
      <c r="G69" s="804">
        <f t="shared" si="8"/>
        <v>0</v>
      </c>
      <c r="H69" s="804">
        <f t="shared" si="8"/>
        <v>0</v>
      </c>
      <c r="I69" s="804">
        <f t="shared" si="8"/>
        <v>0</v>
      </c>
      <c r="J69" s="804">
        <f t="shared" si="8"/>
        <v>47.647058823529413</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45.5625</v>
      </c>
      <c r="C78" s="817">
        <f>B78*IFERROR(SUM(I78:L78)/SUM(D78:M78),0)</f>
        <v>45.5625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53.602941176470587</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45.5625</v>
      </c>
      <c r="C81" s="803">
        <f>SUM(C78:C80)</f>
        <v>45.5625</v>
      </c>
      <c r="D81" s="803">
        <f t="shared" ref="D81:P81" si="9">SUM(D78:D80)</f>
        <v>0</v>
      </c>
      <c r="E81" s="803">
        <f t="shared" si="9"/>
        <v>0</v>
      </c>
      <c r="F81" s="803">
        <f t="shared" si="9"/>
        <v>0</v>
      </c>
      <c r="G81" s="803">
        <f t="shared" si="9"/>
        <v>0</v>
      </c>
      <c r="H81" s="803">
        <f t="shared" si="9"/>
        <v>0</v>
      </c>
      <c r="I81" s="803">
        <f t="shared" si="9"/>
        <v>0</v>
      </c>
      <c r="J81" s="803">
        <f t="shared" si="9"/>
        <v>53.602941176470587</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30100.153724907552</v>
      </c>
      <c r="C4" s="478">
        <f>huishoudens!C8</f>
        <v>0</v>
      </c>
      <c r="D4" s="478">
        <f>huishoudens!D8</f>
        <v>48331.799726949008</v>
      </c>
      <c r="E4" s="478">
        <f>huishoudens!E8</f>
        <v>7525.7797609018708</v>
      </c>
      <c r="F4" s="478">
        <f>huishoudens!F8</f>
        <v>22639.306667986279</v>
      </c>
      <c r="G4" s="478">
        <f>huishoudens!G8</f>
        <v>0</v>
      </c>
      <c r="H4" s="478">
        <f>huishoudens!H8</f>
        <v>0</v>
      </c>
      <c r="I4" s="478">
        <f>huishoudens!I8</f>
        <v>0</v>
      </c>
      <c r="J4" s="478">
        <f>huishoudens!J8</f>
        <v>2097.9894545687694</v>
      </c>
      <c r="K4" s="478">
        <f>huishoudens!K8</f>
        <v>0</v>
      </c>
      <c r="L4" s="478">
        <f>huishoudens!L8</f>
        <v>0</v>
      </c>
      <c r="M4" s="478">
        <f>huishoudens!M8</f>
        <v>0</v>
      </c>
      <c r="N4" s="478">
        <f>huishoudens!N8</f>
        <v>12465.519844770988</v>
      </c>
      <c r="O4" s="478">
        <f>huishoudens!O8</f>
        <v>234.5</v>
      </c>
      <c r="P4" s="479">
        <f>huishoudens!P8</f>
        <v>781.73333333333335</v>
      </c>
      <c r="Q4" s="480">
        <f>SUM(B4:P4)</f>
        <v>124176.78251341781</v>
      </c>
    </row>
    <row r="5" spans="1:17">
      <c r="A5" s="477" t="s">
        <v>156</v>
      </c>
      <c r="B5" s="478">
        <f ca="1">tertiair!B16</f>
        <v>10485.171557894791</v>
      </c>
      <c r="C5" s="478">
        <f ca="1">tertiair!C16</f>
        <v>45.5625</v>
      </c>
      <c r="D5" s="478">
        <f ca="1">tertiair!D16</f>
        <v>10735.377442959707</v>
      </c>
      <c r="E5" s="478">
        <f>tertiair!E16</f>
        <v>170.60714381653409</v>
      </c>
      <c r="F5" s="478">
        <f ca="1">tertiair!F16</f>
        <v>1828.5058743615518</v>
      </c>
      <c r="G5" s="478">
        <f>tertiair!G16</f>
        <v>0</v>
      </c>
      <c r="H5" s="478">
        <f>tertiair!H16</f>
        <v>0</v>
      </c>
      <c r="I5" s="478">
        <f>tertiair!I16</f>
        <v>0</v>
      </c>
      <c r="J5" s="478">
        <f>tertiair!J16</f>
        <v>3.2411634618778197E-2</v>
      </c>
      <c r="K5" s="478">
        <f>tertiair!K16</f>
        <v>0</v>
      </c>
      <c r="L5" s="478">
        <f ca="1">tertiair!L16</f>
        <v>0</v>
      </c>
      <c r="M5" s="478">
        <f>tertiair!M16</f>
        <v>0</v>
      </c>
      <c r="N5" s="478">
        <f ca="1">tertiair!N16</f>
        <v>1281.2251765077533</v>
      </c>
      <c r="O5" s="478">
        <f>tertiair!O16</f>
        <v>4.6900000000000004</v>
      </c>
      <c r="P5" s="479">
        <f>tertiair!P16</f>
        <v>38.133333333333333</v>
      </c>
      <c r="Q5" s="477">
        <f t="shared" ref="Q5:Q13" ca="1" si="0">SUM(B5:P5)</f>
        <v>24589.305440508291</v>
      </c>
    </row>
    <row r="6" spans="1:17">
      <c r="A6" s="477" t="s">
        <v>194</v>
      </c>
      <c r="B6" s="478">
        <f>'openbare verlichting'!B8</f>
        <v>1129.42</v>
      </c>
      <c r="C6" s="478"/>
      <c r="D6" s="478"/>
      <c r="E6" s="478"/>
      <c r="F6" s="478"/>
      <c r="G6" s="478"/>
      <c r="H6" s="478"/>
      <c r="I6" s="478"/>
      <c r="J6" s="478"/>
      <c r="K6" s="478"/>
      <c r="L6" s="478"/>
      <c r="M6" s="478"/>
      <c r="N6" s="478"/>
      <c r="O6" s="478"/>
      <c r="P6" s="479"/>
      <c r="Q6" s="477">
        <f t="shared" si="0"/>
        <v>1129.42</v>
      </c>
    </row>
    <row r="7" spans="1:17">
      <c r="A7" s="477" t="s">
        <v>112</v>
      </c>
      <c r="B7" s="478">
        <f>landbouw!B8</f>
        <v>997.72873475743006</v>
      </c>
      <c r="C7" s="478">
        <f>landbouw!C8</f>
        <v>0</v>
      </c>
      <c r="D7" s="478">
        <f>landbouw!D8</f>
        <v>2314.5262557371902</v>
      </c>
      <c r="E7" s="478">
        <f>landbouw!E8</f>
        <v>29.326294929814058</v>
      </c>
      <c r="F7" s="478">
        <f>landbouw!F8</f>
        <v>4156.4839945684698</v>
      </c>
      <c r="G7" s="478">
        <f>landbouw!G8</f>
        <v>0</v>
      </c>
      <c r="H7" s="478">
        <f>landbouw!H8</f>
        <v>0</v>
      </c>
      <c r="I7" s="478">
        <f>landbouw!I8</f>
        <v>0</v>
      </c>
      <c r="J7" s="478">
        <f>landbouw!J8</f>
        <v>144.5494671965063</v>
      </c>
      <c r="K7" s="478">
        <f>landbouw!K8</f>
        <v>0</v>
      </c>
      <c r="L7" s="478">
        <f>landbouw!L8</f>
        <v>0</v>
      </c>
      <c r="M7" s="478">
        <f>landbouw!M8</f>
        <v>0</v>
      </c>
      <c r="N7" s="478">
        <f>landbouw!N8</f>
        <v>0</v>
      </c>
      <c r="O7" s="478">
        <f>landbouw!O8</f>
        <v>0</v>
      </c>
      <c r="P7" s="479">
        <f>landbouw!P8</f>
        <v>0</v>
      </c>
      <c r="Q7" s="477">
        <f t="shared" si="0"/>
        <v>7642.614747189411</v>
      </c>
    </row>
    <row r="8" spans="1:17">
      <c r="A8" s="477" t="s">
        <v>635</v>
      </c>
      <c r="B8" s="478">
        <f>industrie!B18</f>
        <v>2292.6387373683042</v>
      </c>
      <c r="C8" s="478">
        <f>industrie!C18</f>
        <v>0</v>
      </c>
      <c r="D8" s="478">
        <f>industrie!D18</f>
        <v>10133.057528322117</v>
      </c>
      <c r="E8" s="478">
        <f>industrie!E18</f>
        <v>308.2230650041239</v>
      </c>
      <c r="F8" s="478">
        <f>industrie!F18</f>
        <v>945.07764383406266</v>
      </c>
      <c r="G8" s="478">
        <f>industrie!G18</f>
        <v>0</v>
      </c>
      <c r="H8" s="478">
        <f>industrie!H18</f>
        <v>0</v>
      </c>
      <c r="I8" s="478">
        <f>industrie!I18</f>
        <v>0</v>
      </c>
      <c r="J8" s="478">
        <f>industrie!J18</f>
        <v>3.4861563943725473</v>
      </c>
      <c r="K8" s="478">
        <f>industrie!K18</f>
        <v>0</v>
      </c>
      <c r="L8" s="478">
        <f>industrie!L18</f>
        <v>0</v>
      </c>
      <c r="M8" s="478">
        <f>industrie!M18</f>
        <v>0</v>
      </c>
      <c r="N8" s="478">
        <f>industrie!N18</f>
        <v>541.85877361768235</v>
      </c>
      <c r="O8" s="478">
        <f>industrie!O18</f>
        <v>0</v>
      </c>
      <c r="P8" s="479">
        <f>industrie!P18</f>
        <v>0</v>
      </c>
      <c r="Q8" s="477">
        <f t="shared" si="0"/>
        <v>14224.341904540663</v>
      </c>
    </row>
    <row r="9" spans="1:17" s="483" customFormat="1">
      <c r="A9" s="481" t="s">
        <v>561</v>
      </c>
      <c r="B9" s="482">
        <f>transport!B14</f>
        <v>25.427784461538895</v>
      </c>
      <c r="C9" s="482"/>
      <c r="D9" s="482">
        <f>transport!D14</f>
        <v>97.266631870581548</v>
      </c>
      <c r="E9" s="482">
        <f>transport!E14</f>
        <v>128.03639802258937</v>
      </c>
      <c r="F9" s="482"/>
      <c r="G9" s="482">
        <f>transport!G14</f>
        <v>48086.622486284883</v>
      </c>
      <c r="H9" s="482">
        <f>transport!H14</f>
        <v>10911.808390510136</v>
      </c>
      <c r="I9" s="482"/>
      <c r="J9" s="482"/>
      <c r="K9" s="482"/>
      <c r="L9" s="482"/>
      <c r="M9" s="482">
        <f>transport!M14</f>
        <v>3133.3432617386275</v>
      </c>
      <c r="N9" s="482"/>
      <c r="O9" s="482"/>
      <c r="P9" s="482"/>
      <c r="Q9" s="481">
        <f>SUM(B9:P9)</f>
        <v>62382.504952888361</v>
      </c>
    </row>
    <row r="10" spans="1:17">
      <c r="A10" s="477" t="s">
        <v>551</v>
      </c>
      <c r="B10" s="478">
        <f>transport!B54</f>
        <v>0</v>
      </c>
      <c r="C10" s="478"/>
      <c r="D10" s="478">
        <f>transport!D54</f>
        <v>0</v>
      </c>
      <c r="E10" s="478"/>
      <c r="F10" s="478"/>
      <c r="G10" s="478">
        <f>transport!G54</f>
        <v>816.49397177681647</v>
      </c>
      <c r="H10" s="478"/>
      <c r="I10" s="478"/>
      <c r="J10" s="478"/>
      <c r="K10" s="478"/>
      <c r="L10" s="478"/>
      <c r="M10" s="478">
        <f>transport!M54</f>
        <v>46.37325312191723</v>
      </c>
      <c r="N10" s="478"/>
      <c r="O10" s="478"/>
      <c r="P10" s="479"/>
      <c r="Q10" s="477">
        <f t="shared" si="0"/>
        <v>862.86722489873364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45030.540539389607</v>
      </c>
      <c r="C14" s="488">
        <f t="shared" ref="C14:Q14" ca="1" si="1">SUM(C4:C13)</f>
        <v>45.5625</v>
      </c>
      <c r="D14" s="488">
        <f t="shared" ca="1" si="1"/>
        <v>71612.027585838601</v>
      </c>
      <c r="E14" s="488">
        <f t="shared" si="1"/>
        <v>8161.9726626749325</v>
      </c>
      <c r="F14" s="488">
        <f t="shared" ca="1" si="1"/>
        <v>29569.374180750361</v>
      </c>
      <c r="G14" s="488">
        <f t="shared" si="1"/>
        <v>48903.116458061697</v>
      </c>
      <c r="H14" s="488">
        <f t="shared" si="1"/>
        <v>10911.808390510136</v>
      </c>
      <c r="I14" s="488">
        <f t="shared" si="1"/>
        <v>0</v>
      </c>
      <c r="J14" s="488">
        <f t="shared" si="1"/>
        <v>2246.057489794267</v>
      </c>
      <c r="K14" s="488">
        <f t="shared" si="1"/>
        <v>0</v>
      </c>
      <c r="L14" s="488">
        <f t="shared" ca="1" si="1"/>
        <v>0</v>
      </c>
      <c r="M14" s="488">
        <f t="shared" si="1"/>
        <v>3179.7165148605445</v>
      </c>
      <c r="N14" s="488">
        <f t="shared" ca="1" si="1"/>
        <v>14288.603794896422</v>
      </c>
      <c r="O14" s="488">
        <f t="shared" si="1"/>
        <v>239.19</v>
      </c>
      <c r="P14" s="489">
        <f t="shared" si="1"/>
        <v>819.86666666666667</v>
      </c>
      <c r="Q14" s="489">
        <f t="shared" ca="1" si="1"/>
        <v>235007.83678344329</v>
      </c>
    </row>
    <row r="16" spans="1:17">
      <c r="A16" s="491" t="s">
        <v>556</v>
      </c>
      <c r="B16" s="841">
        <f ca="1">huishoudens!B10</f>
        <v>0.12604614927313243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3794.0084695539304</v>
      </c>
      <c r="C21" s="478">
        <f t="shared" ref="C21:C28" ca="1" si="3">C4*$C$16</f>
        <v>0</v>
      </c>
      <c r="D21" s="478">
        <f t="shared" ref="D21:D30" si="4">D4*$D$16</f>
        <v>9763.0235448436997</v>
      </c>
      <c r="E21" s="478">
        <f t="shared" ref="E21:E30" si="5">E4*$E$16</f>
        <v>1708.3520057247247</v>
      </c>
      <c r="F21" s="478">
        <f t="shared" ref="F21:F28" si="6">F4*$F$16</f>
        <v>6044.6948803523364</v>
      </c>
      <c r="G21" s="478">
        <f t="shared" ref="G21:G30" si="7">G4*$G$16</f>
        <v>0</v>
      </c>
      <c r="H21" s="478">
        <f t="shared" ref="H21:H30" si="8">H4*$H$16</f>
        <v>0</v>
      </c>
      <c r="I21" s="478">
        <f t="shared" ref="I21:I28" si="9">I4*$I$16</f>
        <v>0</v>
      </c>
      <c r="J21" s="478">
        <f t="shared" ref="J21:J28" si="10">J4*$J$16</f>
        <v>742.68826691734432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22052.767167392034</v>
      </c>
    </row>
    <row r="22" spans="1:17">
      <c r="A22" s="477" t="s">
        <v>156</v>
      </c>
      <c r="B22" s="478">
        <f t="shared" ca="1" si="2"/>
        <v>1321.6154993408095</v>
      </c>
      <c r="C22" s="478">
        <f t="shared" ca="1" si="3"/>
        <v>0</v>
      </c>
      <c r="D22" s="478">
        <f t="shared" ca="1" si="4"/>
        <v>2168.546243477861</v>
      </c>
      <c r="E22" s="478">
        <f t="shared" si="5"/>
        <v>38.727821646353242</v>
      </c>
      <c r="F22" s="478">
        <f t="shared" ca="1" si="6"/>
        <v>488.21106845453437</v>
      </c>
      <c r="G22" s="478">
        <f t="shared" si="7"/>
        <v>0</v>
      </c>
      <c r="H22" s="478">
        <f t="shared" si="8"/>
        <v>0</v>
      </c>
      <c r="I22" s="478">
        <f t="shared" si="9"/>
        <v>0</v>
      </c>
      <c r="J22" s="478">
        <f t="shared" si="10"/>
        <v>1.1473718655047481E-2</v>
      </c>
      <c r="K22" s="478">
        <f t="shared" si="11"/>
        <v>0</v>
      </c>
      <c r="L22" s="478">
        <f t="shared" ca="1" si="12"/>
        <v>0</v>
      </c>
      <c r="M22" s="478">
        <f t="shared" si="13"/>
        <v>0</v>
      </c>
      <c r="N22" s="478">
        <f t="shared" ca="1" si="14"/>
        <v>0</v>
      </c>
      <c r="O22" s="478">
        <f t="shared" si="15"/>
        <v>0</v>
      </c>
      <c r="P22" s="479">
        <f t="shared" si="16"/>
        <v>0</v>
      </c>
      <c r="Q22" s="477">
        <f t="shared" ref="Q22:Q30" ca="1" si="17">SUM(B22:P22)</f>
        <v>4017.1121066382129</v>
      </c>
    </row>
    <row r="23" spans="1:17">
      <c r="A23" s="477" t="s">
        <v>194</v>
      </c>
      <c r="B23" s="478">
        <f t="shared" ca="1" si="2"/>
        <v>142.35904191206123</v>
      </c>
      <c r="C23" s="478"/>
      <c r="D23" s="478"/>
      <c r="E23" s="478"/>
      <c r="F23" s="478"/>
      <c r="G23" s="478"/>
      <c r="H23" s="478"/>
      <c r="I23" s="478"/>
      <c r="J23" s="478"/>
      <c r="K23" s="478"/>
      <c r="L23" s="478"/>
      <c r="M23" s="478"/>
      <c r="N23" s="478"/>
      <c r="O23" s="478"/>
      <c r="P23" s="479"/>
      <c r="Q23" s="477">
        <f t="shared" ca="1" si="17"/>
        <v>142.35904191206123</v>
      </c>
    </row>
    <row r="24" spans="1:17">
      <c r="A24" s="477" t="s">
        <v>112</v>
      </c>
      <c r="B24" s="478">
        <f t="shared" ca="1" si="2"/>
        <v>125.75986503532859</v>
      </c>
      <c r="C24" s="478">
        <f t="shared" ca="1" si="3"/>
        <v>0</v>
      </c>
      <c r="D24" s="478">
        <f t="shared" si="4"/>
        <v>467.53430365891245</v>
      </c>
      <c r="E24" s="478">
        <f t="shared" si="5"/>
        <v>6.6570689490677912</v>
      </c>
      <c r="F24" s="478">
        <f t="shared" si="6"/>
        <v>1109.7812265497814</v>
      </c>
      <c r="G24" s="478">
        <f t="shared" si="7"/>
        <v>0</v>
      </c>
      <c r="H24" s="478">
        <f t="shared" si="8"/>
        <v>0</v>
      </c>
      <c r="I24" s="478">
        <f t="shared" si="9"/>
        <v>0</v>
      </c>
      <c r="J24" s="478">
        <f t="shared" si="10"/>
        <v>51.170511387563231</v>
      </c>
      <c r="K24" s="478">
        <f t="shared" si="11"/>
        <v>0</v>
      </c>
      <c r="L24" s="478">
        <f t="shared" si="12"/>
        <v>0</v>
      </c>
      <c r="M24" s="478">
        <f t="shared" si="13"/>
        <v>0</v>
      </c>
      <c r="N24" s="478">
        <f t="shared" si="14"/>
        <v>0</v>
      </c>
      <c r="O24" s="478">
        <f t="shared" si="15"/>
        <v>0</v>
      </c>
      <c r="P24" s="479">
        <f t="shared" si="16"/>
        <v>0</v>
      </c>
      <c r="Q24" s="477">
        <f t="shared" ca="1" si="17"/>
        <v>1760.9029755806537</v>
      </c>
    </row>
    <row r="25" spans="1:17">
      <c r="A25" s="477" t="s">
        <v>635</v>
      </c>
      <c r="B25" s="478">
        <f t="shared" ca="1" si="2"/>
        <v>288.9782845196911</v>
      </c>
      <c r="C25" s="478">
        <f t="shared" ca="1" si="3"/>
        <v>0</v>
      </c>
      <c r="D25" s="478">
        <f t="shared" si="4"/>
        <v>2046.8776207210678</v>
      </c>
      <c r="E25" s="478">
        <f t="shared" si="5"/>
        <v>69.966635755936124</v>
      </c>
      <c r="F25" s="478">
        <f t="shared" si="6"/>
        <v>252.33573090369475</v>
      </c>
      <c r="G25" s="478">
        <f t="shared" si="7"/>
        <v>0</v>
      </c>
      <c r="H25" s="478">
        <f t="shared" si="8"/>
        <v>0</v>
      </c>
      <c r="I25" s="478">
        <f t="shared" si="9"/>
        <v>0</v>
      </c>
      <c r="J25" s="478">
        <f t="shared" si="10"/>
        <v>1.2340993636078816</v>
      </c>
      <c r="K25" s="478">
        <f t="shared" si="11"/>
        <v>0</v>
      </c>
      <c r="L25" s="478">
        <f t="shared" si="12"/>
        <v>0</v>
      </c>
      <c r="M25" s="478">
        <f t="shared" si="13"/>
        <v>0</v>
      </c>
      <c r="N25" s="478">
        <f t="shared" si="14"/>
        <v>0</v>
      </c>
      <c r="O25" s="478">
        <f t="shared" si="15"/>
        <v>0</v>
      </c>
      <c r="P25" s="479">
        <f t="shared" si="16"/>
        <v>0</v>
      </c>
      <c r="Q25" s="477">
        <f t="shared" ca="1" si="17"/>
        <v>2659.392371263998</v>
      </c>
    </row>
    <row r="26" spans="1:17" s="483" customFormat="1">
      <c r="A26" s="481" t="s">
        <v>561</v>
      </c>
      <c r="B26" s="835">
        <f t="shared" ca="1" si="2"/>
        <v>3.2050743159241688</v>
      </c>
      <c r="C26" s="482"/>
      <c r="D26" s="482">
        <f t="shared" si="4"/>
        <v>19.647859637857476</v>
      </c>
      <c r="E26" s="482">
        <f t="shared" si="5"/>
        <v>29.064262351127788</v>
      </c>
      <c r="F26" s="482"/>
      <c r="G26" s="482">
        <f t="shared" si="7"/>
        <v>12839.128203838065</v>
      </c>
      <c r="H26" s="482">
        <f t="shared" si="8"/>
        <v>2717.0402892370239</v>
      </c>
      <c r="I26" s="482"/>
      <c r="J26" s="482"/>
      <c r="K26" s="482"/>
      <c r="L26" s="482"/>
      <c r="M26" s="482">
        <f t="shared" si="13"/>
        <v>0</v>
      </c>
      <c r="N26" s="482"/>
      <c r="O26" s="482"/>
      <c r="P26" s="493"/>
      <c r="Q26" s="481">
        <f t="shared" ca="1" si="17"/>
        <v>15608.085689379999</v>
      </c>
    </row>
    <row r="27" spans="1:17">
      <c r="A27" s="477" t="s">
        <v>551</v>
      </c>
      <c r="B27" s="478">
        <f t="shared" ca="1" si="2"/>
        <v>0</v>
      </c>
      <c r="C27" s="478"/>
      <c r="D27" s="482">
        <f t="shared" si="4"/>
        <v>0</v>
      </c>
      <c r="E27" s="478"/>
      <c r="F27" s="478"/>
      <c r="G27" s="478">
        <f t="shared" si="7"/>
        <v>218.00389046441001</v>
      </c>
      <c r="H27" s="478"/>
      <c r="I27" s="478"/>
      <c r="J27" s="478"/>
      <c r="K27" s="478"/>
      <c r="L27" s="478"/>
      <c r="M27" s="478">
        <f t="shared" si="13"/>
        <v>0</v>
      </c>
      <c r="N27" s="478"/>
      <c r="O27" s="478"/>
      <c r="P27" s="479"/>
      <c r="Q27" s="477">
        <f t="shared" ca="1" si="17"/>
        <v>218.00389046441001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5675.926234677745</v>
      </c>
      <c r="C31" s="488">
        <f t="shared" ca="1" si="18"/>
        <v>0</v>
      </c>
      <c r="D31" s="488">
        <f t="shared" ca="1" si="18"/>
        <v>14465.629572339401</v>
      </c>
      <c r="E31" s="488">
        <f t="shared" si="18"/>
        <v>1852.7677944272095</v>
      </c>
      <c r="F31" s="488">
        <f t="shared" ca="1" si="18"/>
        <v>7895.0229062603466</v>
      </c>
      <c r="G31" s="488">
        <f t="shared" si="18"/>
        <v>13057.132094302475</v>
      </c>
      <c r="H31" s="488">
        <f t="shared" si="18"/>
        <v>2717.0402892370239</v>
      </c>
      <c r="I31" s="488">
        <f t="shared" si="18"/>
        <v>0</v>
      </c>
      <c r="J31" s="488">
        <f t="shared" si="18"/>
        <v>795.10435138717048</v>
      </c>
      <c r="K31" s="488">
        <f t="shared" si="18"/>
        <v>0</v>
      </c>
      <c r="L31" s="488">
        <f t="shared" ca="1" si="18"/>
        <v>0</v>
      </c>
      <c r="M31" s="488">
        <f t="shared" si="18"/>
        <v>0</v>
      </c>
      <c r="N31" s="488">
        <f t="shared" ca="1" si="18"/>
        <v>0</v>
      </c>
      <c r="O31" s="488">
        <f t="shared" si="18"/>
        <v>0</v>
      </c>
      <c r="P31" s="489">
        <f t="shared" si="18"/>
        <v>0</v>
      </c>
      <c r="Q31" s="489">
        <f t="shared" ca="1" si="18"/>
        <v>46458.623242631373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0.12604614927313243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0.12604614927313243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0.12604614927313243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2019-01-01T21:20:24Z</dcterms:modified>
</cp:coreProperties>
</file>