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O21" s="1"/>
  <c r="E16"/>
  <c r="I16"/>
  <c r="F16"/>
  <c r="J16"/>
  <c r="K16"/>
  <c r="K24" s="1"/>
  <c r="D16"/>
  <c r="D27" s="1"/>
  <c r="H16"/>
  <c r="L16" i="16"/>
  <c r="L18" s="1"/>
  <c r="L22" s="1"/>
  <c r="M39"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D28"/>
  <c r="D30"/>
  <c r="I28"/>
  <c r="M13" i="14"/>
  <c r="K22" i="48"/>
  <c r="G22" i="14"/>
  <c r="P22" i="16"/>
  <c r="Q39" i="14" s="1"/>
  <c r="G11"/>
  <c r="J12" i="17"/>
  <c r="K48" i="14" s="1"/>
  <c r="Q13"/>
  <c r="B35" i="13"/>
  <c r="J15" i="14"/>
  <c r="J23" s="1"/>
  <c r="P8" i="48"/>
  <c r="P25" s="1"/>
  <c r="D18" i="16"/>
  <c r="G31" i="20"/>
  <c r="H43" i="14" s="1"/>
  <c r="G12" i="22"/>
  <c r="D16" i="15"/>
  <c r="K22" i="14"/>
  <c r="E8" i="17"/>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Q15" s="1"/>
  <c r="Q23" s="1"/>
  <c r="J5" i="15"/>
  <c r="F4" i="48"/>
  <c r="F21" s="1"/>
  <c r="B69" i="14"/>
  <c r="B4" i="6" s="1"/>
  <c r="L53" i="14"/>
  <c r="F5" i="15"/>
  <c r="F16" s="1"/>
  <c r="B5"/>
  <c r="B16" s="1"/>
  <c r="E13" i="14"/>
  <c r="B5" i="16"/>
  <c r="B18" s="1"/>
  <c r="N5" i="15"/>
  <c r="N16" s="1"/>
  <c r="F12" i="13"/>
  <c r="G37" i="14" s="1"/>
  <c r="P5" i="48"/>
  <c r="P22" s="1"/>
  <c r="F13" i="16"/>
  <c r="E13"/>
  <c r="N13"/>
  <c r="J13"/>
  <c r="B47" i="13"/>
  <c r="N12" i="16"/>
  <c r="J12"/>
  <c r="F12"/>
  <c r="E12"/>
  <c r="Q11" i="48"/>
  <c r="O5"/>
  <c r="R9" i="14"/>
  <c r="O28" i="48"/>
  <c r="H22"/>
  <c r="K31"/>
  <c r="M25"/>
  <c r="M24"/>
  <c r="I31"/>
  <c r="C50" i="13"/>
  <c r="J5" s="1"/>
  <c r="J8" s="1"/>
  <c r="E12" i="17"/>
  <c r="F48" i="14" s="1"/>
  <c r="C5" i="48"/>
  <c r="Q41" i="14" l="1"/>
  <c r="Q53" s="1"/>
  <c r="Q55" s="1"/>
  <c r="I7" i="18"/>
  <c r="J67" i="14"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O14" i="48"/>
  <c r="E41" i="14"/>
  <c r="E53" s="1"/>
  <c r="I9" i="18"/>
  <c r="F10" i="14"/>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<sst xmlns="http://schemas.openxmlformats.org/spreadsheetml/2006/main" count="2099" uniqueCount="844">
  <si>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</si>
  <si>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</si>
  <si>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</si>
  <si>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</si>
  <si>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</si>
  <si>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</si>
  <si>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</si>
  <si>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</si>
  <si>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</si>
  <si>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</si>
  <si>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</si>
  <si>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</si>
  <si>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</si>
  <si>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</si>
  <si>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</si>
  <si>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</si>
  <si>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</si>
  <si>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</si>
  <si>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</si>
  <si>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</si>
  <si>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</si>
  <si>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</si>
  <si>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</si>
  <si>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</si>
  <si>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</si>
  <si>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</si>
  <si>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</si>
  <si>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</si>
  <si>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</si>
  <si>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</si>
  <si>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</si>
  <si>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</si>
  <si>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</si>
  <si>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</si>
  <si>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</si>
  <si>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</si>
  <si>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</si>
  <si>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</si>
  <si>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</si>
  <si>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</si>
  <si>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</si>
  <si>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</si>
  <si>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</si>
  <si>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</si>
  <si>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</si>
  <si>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</si>
  <si>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</si>
  <si>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</si>
  <si>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</si>
  <si>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</si>
  <si>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</si>
  <si>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</si>
  <si>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</si>
  <si>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</si>
  <si>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</si>
  <si>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</si>
  <si>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</si>
  <si>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</si>
  <si>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</si>
  <si>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</si>
  <si>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</si>
  <si>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</si>
  <si>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</si>
  <si>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</si>
  <si>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</si>
  <si>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</si>
  <si>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</si>
  <si>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</si>
  <si>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</si>
  <si>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</si>
  <si>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</si>
  <si>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</si>
  <si>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</si>
  <si>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</si>
  <si>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</si>
  <si>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</si>
  <si>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</si>
  <si>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</si>
  <si>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</si>
  <si>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</si>
  <si>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</si>
  <si>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</si>
  <si>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</si>
  <si>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</si>
  <si>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</si>
  <si>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</si>
  <si>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</si>
  <si>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</si>
  <si>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</si>
  <si>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</si>
  <si>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</si>
  <si>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</si>
  <si>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</si>
  <si>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</si>
  <si>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</si>
  <si>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</si>
  <si>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</si>
  <si>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</si>
  <si>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</si>
  <si>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</si>
  <si>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</si>
  <si>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</si>
  <si>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</si>
  <si>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</si>
  <si>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</si>
  <si>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</si>
  <si>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</si>
  <si>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</si>
  <si>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</si>
  <si>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</si>
  <si>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</si>
  <si>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</si>
  <si>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</si>
  <si>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</si>
  <si>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</si>
  <si>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</si>
  <si>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</si>
  <si>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</si>
  <si>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</si>
  <si>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</si>
  <si>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</si>
  <si>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</si>
  <si>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</si>
  <si>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</si>
  <si>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</si>
  <si>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</si>
  <si>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</si>
  <si>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</si>
  <si>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</si>
  <si>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</si>
  <si>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</si>
  <si>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</si>
  <si>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</si>
  <si>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</si>
  <si>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</si>
  <si>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</si>
  <si>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</si>
  <si>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</si>
  <si>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</si>
  <si>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</si>
  <si>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</si>
  <si>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</si>
  <si>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</si>
  <si>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</si>
  <si>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</si>
  <si>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</si>
  <si>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</si>
  <si>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</si>
  <si>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</si>
  <si>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</si>
  <si>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</si>
  <si>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</si>
  <si>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</si>
  <si>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</si>
  <si>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</si>
  <si>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</si>
  <si>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</si>
  <si>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</si>
  <si>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</si>
  <si>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</si>
  <si>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</si>
  <si>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</si>
  <si>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</si>
  <si>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</si>
  <si>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</si>
  <si>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</si>
  <si>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</si>
  <si>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</si>
  <si>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</si>
  <si>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</si>
  <si>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</si>
  <si>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</si>
  <si>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</si>
  <si>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</si>
  <si>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</si>
  <si>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</si>
  <si>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</si>
  <si>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</si>
  <si>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</si>
  <si>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</si>
  <si>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</si>
  <si>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</si>
  <si>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</si>
  <si>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</si>
  <si>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</si>
  <si>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</si>
  <si>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</si>
  <si>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</si>
  <si>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</si>
  <si>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</si>
  <si>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</si>
  <si>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</si>
  <si>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</si>
  <si>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</si>
  <si>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</si>
  <si>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</si>
  <si>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</si>
  <si>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</si>
  <si>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</si>
  <si>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</si>
  <si>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</si>
  <si>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</si>
  <si>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</si>
  <si>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</si>
  <si>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</si>
  <si>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</si>
  <si>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</si>
  <si>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</si>
  <si>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</si>
  <si>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</si>
  <si>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</si>
  <si>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</si>
  <si>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</si>
  <si>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</si>
  <si>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</si>
  <si>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</si>
  <si>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</si>
  <si>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</si>
  <si>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</si>
  <si>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</si>
  <si>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</si>
  <si>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</si>
  <si>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</si>
  <si>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</si>
  <si>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</si>
  <si>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</si>
  <si>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</si>
  <si>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</si>
  <si>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</si>
  <si>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</si>
  <si>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</si>
  <si>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</si>
  <si>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</si>
  <si>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</si>
  <si>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</si>
  <si>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</si>
  <si>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</si>
  <si>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</si>
  <si>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</si>
  <si>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</si>
  <si>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</si>
  <si>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</si>
  <si>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</si>
  <si>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</si>
  <si>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</si>
  <si>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</si>
  <si>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</si>
  <si>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</si>
  <si>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</si>
  <si>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</si>
  <si>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</si>
  <si>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</si>
  <si>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</si>
  <si>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</si>
  <si>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</si>
  <si>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</si>
  <si>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</si>
  <si>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</si>
  <si>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</si>
  <si>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</si>
  <si>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</si>
  <si>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</si>
  <si>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</si>
  <si>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</si>
  <si>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</si>
  <si>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</si>
  <si>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</si>
  <si>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</si>
  <si>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</si>
  <si>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</si>
  <si>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</si>
  <si>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</si>
  <si>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</si>
  <si>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</si>
  <si>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</si>
  <si>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</si>
  <si>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</si>
  <si>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</si>
  <si>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</si>
  <si>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</si>
  <si>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</si>
  <si>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</si>
  <si>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</si>
  <si>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</si>
  <si>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</si>
  <si>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</si>
  <si>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</si>
  <si>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</si>
  <si>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</si>
  <si>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</si>
  <si>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</si>
  <si>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</si>
  <si>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</si>
  <si>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</si>
  <si>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</si>
  <si>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</si>
  <si>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</si>
  <si>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</si>
  <si>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</si>
  <si>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</si>
  <si>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</si>
  <si>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</si>
  <si>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</si>
  <si>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</si>
  <si>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</si>
  <si>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</si>
  <si>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</si>
  <si>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</si>
  <si>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</si>
  <si>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</si>
  <si>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</si>
  <si>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</si>
  <si>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</si>
  <si>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</si>
  <si>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</si>
  <si>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</si>
  <si>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</si>
  <si>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</si>
  <si>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</si>
  <si>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</si>
  <si>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</si>
  <si>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</si>
  <si>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</si>
  <si>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</si>
  <si>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</si>
  <si>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</si>
  <si>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</si>
  <si>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</si>
  <si>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</si>
  <si>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</si>
  <si>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</si>
  <si>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</si>
  <si>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</si>
  <si>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</si>
  <si>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</si>
  <si>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</si>
  <si>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</si>
  <si>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</si>
  <si>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</si>
  <si>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</si>
  <si>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</si>
  <si>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</si>
  <si>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</si>
  <si>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</si>
  <si>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</si>
  <si>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</si>
  <si>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</si>
  <si>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</si>
  <si>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</si>
  <si>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</si>
  <si>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</si>
  <si>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</si>
  <si>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</si>
  <si>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</si>
  <si>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</si>
  <si>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</si>
  <si>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</si>
  <si>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</si>
  <si>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</si>
  <si>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</si>
  <si>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</si>
  <si>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</si>
  <si>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</si>
  <si>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</si>
  <si>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</si>
  <si>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</si>
  <si>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</si>
  <si>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</si>
  <si>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</si>
  <si>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</si>
  <si>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</si>
  <si>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</si>
  <si>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</si>
  <si>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</si>
  <si>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</si>
  <si>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</si>
  <si>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</si>
  <si>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</si>
  <si>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</si>
  <si>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</si>
  <si>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</si>
  <si>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</si>
  <si>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</si>
  <si>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</si>
  <si>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</si>
  <si>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</si>
  <si>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</si>
  <si>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</si>
  <si>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</si>
  <si>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</si>
  <si>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</si>
  <si>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</si>
  <si>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</si>
  <si>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</si>
  <si>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</si>
  <si>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</si>
  <si>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</si>
  <si>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</si>
  <si>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</si>
  <si>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</si>
  <si>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</si>
  <si>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</si>
  <si>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</si>
  <si>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</si>
  <si>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</si>
  <si>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</si>
  <si>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</si>
  <si>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</si>
  <si>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</si>
  <si>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</si>
  <si>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</si>
  <si>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</si>
  <si>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</si>
  <si>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</si>
  <si>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</si>
  <si>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</si>
  <si>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</si>
  <si>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</si>
  <si>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</si>
  <si>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</si>
  <si>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</si>
  <si>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</si>
  <si>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</si>
  <si>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</si>
  <si>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</si>
  <si>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</si>
  <si>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</si>
  <si>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</si>
  <si>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</si>
  <si>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</si>
  <si>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</si>
  <si>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</si>
  <si>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</si>
  <si>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</si>
  <si>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</si>
  <si>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</si>
  <si>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</si>
  <si>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</si>
  <si>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</si>
  <si>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</si>
  <si>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</si>
  <si>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</si>
  <si>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</si>
  <si>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</si>
  <si>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</si>
  <si>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</si>
  <si>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</si>
  <si>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</si>
  <si>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</si>
  <si>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</si>
  <si>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</si>
  <si>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</si>
  <si>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</si>
  <si>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</si>
  <si>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</si>
  <si>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</si>
  <si>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</si>
  <si>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</si>
  <si>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</si>
  <si>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</si>
  <si>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</si>
  <si>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</si>
  <si>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</si>
  <si>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</si>
  <si>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</si>
  <si>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</si>
  <si>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</si>
  <si>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</si>
  <si>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</si>
  <si>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</si>
  <si>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</si>
  <si>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</si>
  <si>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</si>
  <si>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</si>
  <si>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</si>
  <si>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</si>
  <si>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</si>
  <si>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</si>
  <si>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</si>
  <si>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</si>
  <si>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</si>
  <si>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</si>
  <si>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</si>
  <si>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</si>
  <si>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</si>
  <si>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</si>
  <si>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</si>
  <si>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</si>
  <si>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</si>
  <si>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</si>
  <si>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</si>
  <si>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</si>
  <si>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</si>
  <si>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</si>
  <si>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</si>
  <si>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</si>
  <si>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</si>
  <si>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</si>
  <si>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</si>
  <si>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</si>
  <si>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</si>
  <si>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</si>
  <si>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</si>
  <si>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</si>
  <si>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</si>
  <si>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</si>
  <si>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</si>
  <si>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</si>
  <si>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</si>
  <si>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</si>
  <si>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</si>
  <si>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</si>
  <si>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</si>
  <si>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</si>
  <si>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</si>
  <si>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</si>
  <si>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</si>
  <si>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</si>
  <si>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</si>
  <si>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</si>
  <si>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</si>
  <si>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</si>
  <si>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</si>
  <si>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</si>
  <si>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</si>
  <si>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</si>
  <si>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</si>
  <si>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</si>
  <si>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</si>
  <si>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</si>
  <si>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</si>
  <si>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</si>
  <si>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</si>
  <si>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</si>
  <si>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</si>
  <si>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</si>
  <si>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</si>
  <si>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</si>
  <si>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</si>
  <si>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</si>
  <si>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</si>
  <si>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</si>
  <si>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</si>
  <si>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</si>
  <si>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</si>
  <si>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</si>
  <si>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</si>
  <si>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</si>
  <si>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</si>
  <si>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</si>
  <si>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</si>
  <si>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</si>
  <si>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</si>
  <si>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</si>
  <si>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</si>
  <si>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</si>
  <si>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</si>
  <si>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</si>
  <si>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</si>
  <si>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</si>
  <si>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</si>
  <si>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</si>
  <si>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</si>
  <si>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</si>
  <si>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</si>
  <si>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</si>
  <si>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</si>
  <si>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</si>
  <si>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</si>
  <si>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</si>
  <si>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</si>
  <si>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</si>
  <si>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</si>
  <si>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</si>
  <si>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</si>
  <si>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</si>
  <si>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</si>
  <si>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</si>
  <si>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</si>
  <si>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</si>
  <si>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</si>
  <si>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</si>
  <si>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</si>
  <si>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</si>
  <si>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</si>
  <si>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</si>
  <si>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</si>
  <si>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</si>
  <si>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</si>
  <si>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</si>
  <si>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</si>
  <si>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</si>
  <si>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</si>
  <si>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</si>
  <si>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</si>
  <si>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</si>
  <si>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</si>
  <si>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</si>
  <si>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</si>
  <si>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</si>
  <si>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</si>
  <si>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</si>
  <si>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</si>
  <si>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</si>
  <si>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</si>
  <si>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</si>
  <si>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</si>
  <si>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</si>
  <si>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</si>
  <si>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</si>
  <si>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</si>
  <si>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</si>
  <si>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</si>
  <si>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</si>
  <si>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</si>
  <si>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</si>
  <si>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</si>
  <si>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</si>
  <si>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</si>
  <si>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</si>
  <si>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</si>
  <si>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</si>
  <si>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</si>
  <si>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</si>
  <si>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</si>
  <si>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</si>
  <si>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</si>
  <si>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</si>
  <si>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</si>
  <si>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</si>
  <si>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</si>
  <si>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</si>
  <si>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</si>
  <si>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</si>
  <si>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</si>
  <si>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</si>
  <si>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</si>
  <si>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</si>
  <si>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</si>
  <si>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</si>
  <si>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</si>
  <si>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</si>
  <si>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</si>
  <si>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</si>
  <si>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</si>
  <si>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</si>
  <si>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</si>
  <si>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</si>
  <si>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</si>
  <si>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</si>
  <si>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</si>
  <si>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</si>
  <si>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</si>
  <si>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</si>
  <si>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</si>
  <si>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</si>
  <si>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</si>
  <si>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</si>
  <si>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</si>
  <si>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</si>
  <si>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</si>
  <si>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</si>
  <si>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</si>
  <si>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</si>
  <si>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</si>
  <si>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</si>
  <si>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</si>
  <si>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</si>
  <si>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</si>
  <si>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</si>
  <si>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</si>
  <si>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</si>
  <si>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</si>
  <si>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</si>
  <si>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</si>
  <si>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</si>
  <si>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</si>
  <si>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</si>
  <si>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</si>
  <si>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</si>
  <si>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</si>
  <si>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</si>
  <si>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</si>
  <si>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</si>
  <si>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</si>
  <si>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</si>
  <si>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</si>
  <si>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</si>
  <si>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</si>
  <si>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</si>
  <si>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</si>
  <si>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</si>
  <si>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</si>
  <si>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</si>
  <si>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</si>
  <si>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</si>
  <si>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</si>
  <si>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</si>
  <si>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</si>
  <si>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</si>
  <si>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</si>
  <si>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</si>
  <si>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</si>
  <si>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</si>
  <si>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</si>
  <si>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</si>
  <si>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</si>
  <si>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</si>
  <si>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</si>
  <si>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</si>
  <si>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</si>
  <si>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</si>
  <si>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</si>
  <si>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</si>
  <si>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</si>
  <si>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</si>
  <si>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</si>
  <si>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</si>
  <si>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</si>
  <si>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</si>
  <si>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</si>
  <si>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</si>
  <si>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</si>
  <si>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</si>
  <si>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</si>
  <si>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</si>
  <si>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</si>
  <si>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</si>
  <si>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</si>
  <si>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</si>
  <si>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</si>
  <si>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</si>
  <si>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</si>
  <si>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</si>
  <si>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</si>
  <si>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</si>
  <si>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</si>
  <si>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</si>
  <si>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</si>
  <si>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</si>
  <si>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</si>
  <si>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</si>
  <si>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</si>
  <si>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</si>
  <si>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</si>
  <si>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</si>
  <si>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</si>
  <si>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</si>
  <si>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</si>
  <si>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</si>
  <si>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</si>
  <si>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</si>
  <si>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</si>
  <si>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</si>
  <si>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</si>
  <si>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</si>
  <si>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</si>
  <si>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</si>
  <si>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</si>
  <si>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</si>
  <si>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</si>
  <si>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</si>
  <si>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</si>
  <si>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</si>
  <si>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</si>
  <si>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</si>
  <si>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</si>
  <si>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</si>
  <si>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</si>
  <si>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</si>
  <si>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</si>
  <si>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</si>
  <si>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</si>
  <si>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</si>
  <si>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</si>
  <si>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</si>
  <si>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</si>
  <si>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</si>
  <si>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</si>
  <si>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</si>
  <si>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</si>
  <si>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</si>
  <si>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</si>
  <si>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</si>
  <si>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</si>
  <si>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</si>
  <si>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</si>
  <si>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</si>
  <si>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</si>
  <si>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</si>
  <si>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</si>
  <si>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</si>
  <si>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</si>
  <si>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</si>
  <si>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</si>
  <si>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</si>
  <si>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</si>
  <si>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</si>
  <si>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</si>
  <si>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</si>
  <si>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</si>
  <si>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</si>
  <si>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</si>
  <si>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</si>
  <si>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</si>
  <si>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</si>
  <si>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</si>
  <si>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</si>
  <si>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</si>
  <si>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</si>
  <si>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</si>
  <si>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</si>
  <si>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</si>
  <si>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</si>
  <si>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</si>
  <si>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</si>
  <si>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</si>
  <si>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</si>
  <si>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</si>
  <si>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</si>
  <si>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</si>
  <si>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</si>
  <si>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</si>
  <si>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</si>
  <si>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</si>
  <si>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</si>
  <si>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</si>
  <si>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</si>
  <si>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</si>
  <si>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</si>
  <si>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</si>
  <si>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</si>
  <si>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</si>
  <si>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</si>
  <si>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</si>
  <si>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</si>
  <si>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41024</t>
  </si>
  <si>
    <t>HAALTERT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</si>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</sst>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165020.3779229552</c:v>
                </c:pt>
                <c:pt idx="1">
                  <c:v>26440.051192952647</c:v>
                </c:pt>
                <c:pt idx="2">
                  <c:v>1119.4739999999999</c:v>
                </c:pt>
                <c:pt idx="3">
                  <c:v>5081.3587292026787</c:v>
                </c:pt>
                <c:pt idx="4">
                  <c:v>16074.350047091863</c:v>
                </c:pt>
                <c:pt idx="5">
                  <c:v>96465.897869270004</c:v>
                </c:pt>
                <c:pt idx="6">
                  <c:v>783.3459365816467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165020.3779229552</c:v>
                </c:pt>
                <c:pt idx="1">
                  <c:v>26440.051192952647</c:v>
                </c:pt>
                <c:pt idx="2">
                  <c:v>1119.4739999999999</c:v>
                </c:pt>
                <c:pt idx="3">
                  <c:v>5081.3587292026787</c:v>
                </c:pt>
                <c:pt idx="4">
                  <c:v>16074.350047091863</c:v>
                </c:pt>
                <c:pt idx="5">
                  <c:v>96465.897869270004</c:v>
                </c:pt>
                <c:pt idx="6">
                  <c:v>783.3459365816467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32378.536225369473</c:v>
                </c:pt>
                <c:pt idx="1">
                  <c:v>4723.1384633733069</c:v>
                </c:pt>
                <c:pt idx="2">
                  <c:v>173.87110209694424</c:v>
                </c:pt>
                <c:pt idx="3">
                  <c:v>1174.6475450218209</c:v>
                </c:pt>
                <c:pt idx="4">
                  <c:v>2624.075567502211</c:v>
                </c:pt>
                <c:pt idx="5">
                  <c:v>24152.433418191315</c:v>
                </c:pt>
                <c:pt idx="6">
                  <c:v>197.91279217301118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32378.536225369473</c:v>
                </c:pt>
                <c:pt idx="1">
                  <c:v>4723.1384633733069</c:v>
                </c:pt>
                <c:pt idx="2">
                  <c:v>173.87110209694424</c:v>
                </c:pt>
                <c:pt idx="3">
                  <c:v>1174.6475450218209</c:v>
                </c:pt>
                <c:pt idx="4">
                  <c:v>2624.075567502211</c:v>
                </c:pt>
                <c:pt idx="5">
                  <c:v>24152.433418191315</c:v>
                </c:pt>
                <c:pt idx="6">
                  <c:v>197.91279217301118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41024</v>
      </c>
      <c r="B6" s="415"/>
      <c r="C6" s="416"/>
    </row>
    <row r="7" spans="1:7" s="413" customFormat="1" ht="15.75" customHeight="1">
      <c r="A7" s="417" t="str">
        <f>txtMunicipality</f>
        <v>HAALTERT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7759</v>
      </c>
      <c r="C9" s="342">
        <v>8015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1403.23</v>
      </c>
    </row>
    <row r="15" spans="1:6">
      <c r="A15" s="348" t="s">
        <v>184</v>
      </c>
      <c r="B15" s="334">
        <v>6</v>
      </c>
    </row>
    <row r="16" spans="1:6">
      <c r="A16" s="348" t="s">
        <v>6</v>
      </c>
      <c r="B16" s="334">
        <v>219</v>
      </c>
    </row>
    <row r="17" spans="1:6">
      <c r="A17" s="348" t="s">
        <v>7</v>
      </c>
      <c r="B17" s="334">
        <v>423</v>
      </c>
    </row>
    <row r="18" spans="1:6">
      <c r="A18" s="348" t="s">
        <v>8</v>
      </c>
      <c r="B18" s="334">
        <v>426</v>
      </c>
    </row>
    <row r="19" spans="1:6">
      <c r="A19" s="348" t="s">
        <v>9</v>
      </c>
      <c r="B19" s="334">
        <v>405</v>
      </c>
    </row>
    <row r="20" spans="1:6">
      <c r="A20" s="348" t="s">
        <v>10</v>
      </c>
      <c r="B20" s="334">
        <v>431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399</v>
      </c>
    </row>
    <row r="27" spans="1:6">
      <c r="A27" s="348" t="s">
        <v>17</v>
      </c>
      <c r="B27" s="334">
        <v>5</v>
      </c>
    </row>
    <row r="28" spans="1:6" s="356" customFormat="1">
      <c r="A28" s="355" t="s">
        <v>18</v>
      </c>
      <c r="B28" s="355">
        <v>0</v>
      </c>
    </row>
    <row r="29" spans="1:6">
      <c r="A29" s="355" t="s">
        <v>744</v>
      </c>
      <c r="B29" s="355">
        <v>71</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161234.98015063099</v>
      </c>
      <c r="E38" s="334">
        <v>4</v>
      </c>
      <c r="F38" s="334">
        <v>50929.919322508002</v>
      </c>
    </row>
    <row r="39" spans="1:6">
      <c r="A39" s="348" t="s">
        <v>30</v>
      </c>
      <c r="B39" s="348" t="s">
        <v>31</v>
      </c>
      <c r="C39" s="334">
        <v>3889</v>
      </c>
      <c r="D39" s="334">
        <v>64768138.141049303</v>
      </c>
      <c r="E39" s="334">
        <v>7626</v>
      </c>
      <c r="F39" s="334">
        <v>30273514.872824602</v>
      </c>
    </row>
    <row r="40" spans="1:6">
      <c r="A40" s="348" t="s">
        <v>30</v>
      </c>
      <c r="B40" s="348" t="s">
        <v>29</v>
      </c>
      <c r="C40" s="334">
        <v>0</v>
      </c>
      <c r="D40" s="334">
        <v>0</v>
      </c>
      <c r="E40" s="334">
        <v>0</v>
      </c>
      <c r="F40" s="334">
        <v>0</v>
      </c>
    </row>
    <row r="41" spans="1:6">
      <c r="A41" s="348" t="s">
        <v>32</v>
      </c>
      <c r="B41" s="348" t="s">
        <v>33</v>
      </c>
      <c r="C41" s="334">
        <v>48</v>
      </c>
      <c r="D41" s="334">
        <v>1088947.0883476399</v>
      </c>
      <c r="E41" s="334">
        <v>170</v>
      </c>
      <c r="F41" s="334">
        <v>921471.85434492899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41413.432449078602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51609.025113173397</v>
      </c>
      <c r="E47" s="334">
        <v>4</v>
      </c>
      <c r="F47" s="334">
        <v>26332.129031841399</v>
      </c>
    </row>
    <row r="48" spans="1:6">
      <c r="A48" s="348" t="s">
        <v>32</v>
      </c>
      <c r="B48" s="348" t="s">
        <v>29</v>
      </c>
      <c r="C48" s="334">
        <v>29</v>
      </c>
      <c r="D48" s="334">
        <v>1584944.3356502401</v>
      </c>
      <c r="E48" s="334">
        <v>47</v>
      </c>
      <c r="F48" s="334">
        <v>6920220.61434134</v>
      </c>
    </row>
    <row r="49" spans="1:6">
      <c r="A49" s="348" t="s">
        <v>32</v>
      </c>
      <c r="B49" s="348" t="s">
        <v>40</v>
      </c>
      <c r="C49" s="334">
        <v>5</v>
      </c>
      <c r="D49" s="334">
        <v>581241.60819153395</v>
      </c>
      <c r="E49" s="334">
        <v>8</v>
      </c>
      <c r="F49" s="334">
        <v>317722.70364016801</v>
      </c>
    </row>
    <row r="50" spans="1:6">
      <c r="A50" s="348" t="s">
        <v>32</v>
      </c>
      <c r="B50" s="348" t="s">
        <v>41</v>
      </c>
      <c r="C50" s="334">
        <v>0</v>
      </c>
      <c r="D50" s="334">
        <v>0</v>
      </c>
      <c r="E50" s="334">
        <v>4</v>
      </c>
      <c r="F50" s="334">
        <v>77265.186933562902</v>
      </c>
    </row>
    <row r="51" spans="1:6">
      <c r="A51" s="348" t="s">
        <v>42</v>
      </c>
      <c r="B51" s="348" t="s">
        <v>43</v>
      </c>
      <c r="C51" s="334">
        <v>4</v>
      </c>
      <c r="D51" s="334">
        <v>151213.60127486099</v>
      </c>
      <c r="E51" s="334">
        <v>40</v>
      </c>
      <c r="F51" s="334">
        <v>300304.69643531501</v>
      </c>
    </row>
    <row r="52" spans="1:6">
      <c r="A52" s="348" t="s">
        <v>42</v>
      </c>
      <c r="B52" s="348" t="s">
        <v>29</v>
      </c>
      <c r="C52" s="334">
        <v>3</v>
      </c>
      <c r="D52" s="334">
        <v>68371.322668776003</v>
      </c>
      <c r="E52" s="334">
        <v>17</v>
      </c>
      <c r="F52" s="334">
        <v>300093.80450935202</v>
      </c>
    </row>
    <row r="53" spans="1:6">
      <c r="A53" s="348" t="s">
        <v>44</v>
      </c>
      <c r="B53" s="348" t="s">
        <v>45</v>
      </c>
      <c r="C53" s="334">
        <v>98</v>
      </c>
      <c r="D53" s="334">
        <v>1859240.0453486999</v>
      </c>
      <c r="E53" s="334">
        <v>264</v>
      </c>
      <c r="F53" s="334">
        <v>932260.01431668398</v>
      </c>
    </row>
    <row r="54" spans="1:6">
      <c r="A54" s="348" t="s">
        <v>46</v>
      </c>
      <c r="B54" s="348" t="s">
        <v>47</v>
      </c>
      <c r="C54" s="334">
        <v>0</v>
      </c>
      <c r="D54" s="334">
        <v>0</v>
      </c>
      <c r="E54" s="334">
        <v>1</v>
      </c>
      <c r="F54" s="334">
        <v>1119474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43</v>
      </c>
      <c r="D57" s="334">
        <v>2068956.1168086999</v>
      </c>
      <c r="E57" s="334">
        <v>117</v>
      </c>
      <c r="F57" s="334">
        <v>1244162.9520056499</v>
      </c>
    </row>
    <row r="58" spans="1:6">
      <c r="A58" s="348" t="s">
        <v>49</v>
      </c>
      <c r="B58" s="348" t="s">
        <v>51</v>
      </c>
      <c r="C58" s="334">
        <v>16</v>
      </c>
      <c r="D58" s="334">
        <v>2838107.7272792701</v>
      </c>
      <c r="E58" s="334">
        <v>32</v>
      </c>
      <c r="F58" s="334">
        <v>1467609.3831480299</v>
      </c>
    </row>
    <row r="59" spans="1:6">
      <c r="A59" s="348" t="s">
        <v>49</v>
      </c>
      <c r="B59" s="348" t="s">
        <v>52</v>
      </c>
      <c r="C59" s="334">
        <v>37</v>
      </c>
      <c r="D59" s="334">
        <v>1675029.52096404</v>
      </c>
      <c r="E59" s="334">
        <v>122</v>
      </c>
      <c r="F59" s="334">
        <v>3092154.36511605</v>
      </c>
    </row>
    <row r="60" spans="1:6">
      <c r="A60" s="348" t="s">
        <v>49</v>
      </c>
      <c r="B60" s="348" t="s">
        <v>53</v>
      </c>
      <c r="C60" s="334">
        <v>45</v>
      </c>
      <c r="D60" s="334">
        <v>1934522.3788854899</v>
      </c>
      <c r="E60" s="334">
        <v>67</v>
      </c>
      <c r="F60" s="334">
        <v>1012185.4808716699</v>
      </c>
    </row>
    <row r="61" spans="1:6">
      <c r="A61" s="348" t="s">
        <v>49</v>
      </c>
      <c r="B61" s="348" t="s">
        <v>54</v>
      </c>
      <c r="C61" s="334">
        <v>65</v>
      </c>
      <c r="D61" s="334">
        <v>1655992.20151672</v>
      </c>
      <c r="E61" s="334">
        <v>184</v>
      </c>
      <c r="F61" s="334">
        <v>2023310.5844985801</v>
      </c>
    </row>
    <row r="62" spans="1:6">
      <c r="A62" s="348" t="s">
        <v>49</v>
      </c>
      <c r="B62" s="348" t="s">
        <v>55</v>
      </c>
      <c r="C62" s="334">
        <v>0</v>
      </c>
      <c r="D62" s="334">
        <v>0</v>
      </c>
      <c r="E62" s="334">
        <v>6</v>
      </c>
      <c r="F62" s="334">
        <v>129621.797738847</v>
      </c>
    </row>
    <row r="63" spans="1:6">
      <c r="A63" s="348" t="s">
        <v>49</v>
      </c>
      <c r="B63" s="348" t="s">
        <v>29</v>
      </c>
      <c r="C63" s="334">
        <v>128</v>
      </c>
      <c r="D63" s="334">
        <v>3924276.0413720598</v>
      </c>
      <c r="E63" s="334">
        <v>144</v>
      </c>
      <c r="F63" s="334">
        <v>1499839.5519016299</v>
      </c>
    </row>
    <row r="64" spans="1:6">
      <c r="A64" s="348" t="s">
        <v>56</v>
      </c>
      <c r="B64" s="348" t="s">
        <v>57</v>
      </c>
      <c r="C64" s="334">
        <v>0</v>
      </c>
      <c r="D64" s="334">
        <v>0</v>
      </c>
      <c r="E64" s="334">
        <v>0</v>
      </c>
      <c r="F64" s="334">
        <v>0</v>
      </c>
    </row>
    <row r="65" spans="1:6">
      <c r="A65" s="348" t="s">
        <v>56</v>
      </c>
      <c r="B65" s="348" t="s">
        <v>29</v>
      </c>
      <c r="C65" s="334">
        <v>3</v>
      </c>
      <c r="D65" s="334">
        <v>47959.021579747401</v>
      </c>
      <c r="E65" s="334">
        <v>3</v>
      </c>
      <c r="F65" s="334">
        <v>12397.6745684616</v>
      </c>
    </row>
    <row r="66" spans="1:6">
      <c r="A66" s="348" t="s">
        <v>56</v>
      </c>
      <c r="B66" s="348" t="s">
        <v>58</v>
      </c>
      <c r="C66" s="334">
        <v>0</v>
      </c>
      <c r="D66" s="334">
        <v>0</v>
      </c>
      <c r="E66" s="334">
        <v>3</v>
      </c>
      <c r="F66" s="334">
        <v>134618.02799865001</v>
      </c>
    </row>
    <row r="67" spans="1:6">
      <c r="A67" s="355" t="s">
        <v>56</v>
      </c>
      <c r="B67" s="355" t="s">
        <v>59</v>
      </c>
      <c r="C67" s="334">
        <v>0</v>
      </c>
      <c r="D67" s="334">
        <v>0</v>
      </c>
      <c r="E67" s="334">
        <v>0</v>
      </c>
      <c r="F67" s="334">
        <v>0</v>
      </c>
    </row>
    <row r="68" spans="1:6">
      <c r="A68" s="341" t="s">
        <v>56</v>
      </c>
      <c r="B68" s="341" t="s">
        <v>60</v>
      </c>
      <c r="C68" s="334">
        <v>0</v>
      </c>
      <c r="D68" s="334">
        <v>0</v>
      </c>
      <c r="E68" s="334">
        <v>9</v>
      </c>
      <c r="F68" s="334">
        <v>93147.723381820397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59859580</v>
      </c>
      <c r="E73" s="476">
        <v>56386417.107089095</v>
      </c>
    </row>
    <row r="74" spans="1:6">
      <c r="A74" s="348" t="s">
        <v>64</v>
      </c>
      <c r="B74" s="348" t="s">
        <v>657</v>
      </c>
      <c r="C74" s="1272" t="s">
        <v>659</v>
      </c>
      <c r="D74" s="476">
        <v>9302125.7450649124</v>
      </c>
      <c r="E74" s="476">
        <v>9161568.5605269913</v>
      </c>
    </row>
    <row r="75" spans="1:6">
      <c r="A75" s="348" t="s">
        <v>65</v>
      </c>
      <c r="B75" s="348" t="s">
        <v>656</v>
      </c>
      <c r="C75" s="1272" t="s">
        <v>660</v>
      </c>
      <c r="D75" s="476">
        <v>32371537</v>
      </c>
      <c r="E75" s="476">
        <v>31115359.995950345</v>
      </c>
    </row>
    <row r="76" spans="1:6">
      <c r="A76" s="348" t="s">
        <v>65</v>
      </c>
      <c r="B76" s="348" t="s">
        <v>657</v>
      </c>
      <c r="C76" s="1272" t="s">
        <v>661</v>
      </c>
      <c r="D76" s="476">
        <v>1728697.7450649128</v>
      </c>
      <c r="E76" s="476">
        <v>1769124.1484858971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212456.50987017431</v>
      </c>
      <c r="C83" s="476">
        <v>211640.72697400939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11884.239471319184</v>
      </c>
    </row>
    <row r="91" spans="1:6">
      <c r="A91" s="348" t="s">
        <v>68</v>
      </c>
      <c r="B91" s="334">
        <v>4154.8748218115607</v>
      </c>
    </row>
    <row r="92" spans="1:6">
      <c r="A92" s="341" t="s">
        <v>69</v>
      </c>
      <c r="B92" s="342">
        <v>295.30605525406685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1522</v>
      </c>
    </row>
    <row r="98" spans="1:6">
      <c r="A98" s="348" t="s">
        <v>72</v>
      </c>
      <c r="B98" s="334">
        <v>0</v>
      </c>
    </row>
    <row r="99" spans="1:6">
      <c r="A99" s="348" t="s">
        <v>73</v>
      </c>
      <c r="B99" s="334">
        <v>224</v>
      </c>
    </row>
    <row r="100" spans="1:6">
      <c r="A100" s="348" t="s">
        <v>74</v>
      </c>
      <c r="B100" s="334">
        <v>676</v>
      </c>
    </row>
    <row r="101" spans="1:6">
      <c r="A101" s="348" t="s">
        <v>75</v>
      </c>
      <c r="B101" s="334">
        <v>93</v>
      </c>
    </row>
    <row r="102" spans="1:6">
      <c r="A102" s="348" t="s">
        <v>76</v>
      </c>
      <c r="B102" s="334">
        <v>115</v>
      </c>
    </row>
    <row r="103" spans="1:6">
      <c r="A103" s="348" t="s">
        <v>77</v>
      </c>
      <c r="B103" s="334">
        <v>389</v>
      </c>
    </row>
    <row r="104" spans="1:6">
      <c r="A104" s="348" t="s">
        <v>78</v>
      </c>
      <c r="B104" s="334">
        <v>3739</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40</v>
      </c>
      <c r="C123" s="334">
        <v>31</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156</v>
      </c>
    </row>
    <row r="130" spans="1:6">
      <c r="A130" s="348" t="s">
        <v>295</v>
      </c>
      <c r="B130" s="334">
        <v>2</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54957.856258635111</v>
      </c>
      <c r="C3" s="43" t="s">
        <v>170</v>
      </c>
      <c r="D3" s="43"/>
      <c r="E3" s="154"/>
      <c r="F3" s="43"/>
      <c r="G3" s="43"/>
      <c r="H3" s="43"/>
      <c r="I3" s="43"/>
      <c r="J3" s="43"/>
      <c r="K3" s="96"/>
    </row>
    <row r="4" spans="1:11">
      <c r="A4" s="383" t="s">
        <v>171</v>
      </c>
      <c r="B4" s="49">
        <f>IF(ISERROR('SEAP template'!B69),0,'SEAP template'!B69)</f>
        <v>16334.42034838481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0.15531499802312895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1119.4739999999999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1119.4739999999999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0.15531499802312895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173.87110209694424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30273.514872824602</v>
      </c>
      <c r="C5" s="17">
        <f>IF(ISERROR('Eigen informatie GS &amp; warmtenet'!B57),0,'Eigen informatie GS &amp; warmtenet'!B57)</f>
        <v>0</v>
      </c>
      <c r="D5" s="30">
        <f>(SUM(HH_hh_gas_kWh,HH_rest_gas_kWh)/1000)*0.902</f>
        <v>58420.860603226472</v>
      </c>
      <c r="E5" s="17">
        <f>B46*B57</f>
        <v>9734.065337782702</v>
      </c>
      <c r="F5" s="17">
        <f>B51*B62</f>
        <v>41646.486720170979</v>
      </c>
      <c r="G5" s="18"/>
      <c r="H5" s="17"/>
      <c r="I5" s="17"/>
      <c r="J5" s="17">
        <f>B50*B61+C50*C61</f>
        <v>5370.1477971566983</v>
      </c>
      <c r="K5" s="17"/>
      <c r="L5" s="17"/>
      <c r="M5" s="17"/>
      <c r="N5" s="17">
        <f>B48*B59+C48*C59</f>
        <v>13772.787769982193</v>
      </c>
      <c r="O5" s="17">
        <f>B69*B70*B71</f>
        <v>293.90666666666669</v>
      </c>
      <c r="P5" s="17">
        <f>B77*B78*B79/1000-B77*B78*B79/1000/B80</f>
        <v>1353.7333333333333</v>
      </c>
    </row>
    <row r="6" spans="1:16">
      <c r="A6" s="16" t="s">
        <v>621</v>
      </c>
      <c r="B6" s="843">
        <f>kWh_PV_kleiner_dan_10kW</f>
        <v>4154.8748218115607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34428.389694636164</v>
      </c>
      <c r="C8" s="21">
        <f>C5</f>
        <v>0</v>
      </c>
      <c r="D8" s="21">
        <f>D5</f>
        <v>58420.860603226472</v>
      </c>
      <c r="E8" s="21">
        <f>E5</f>
        <v>9734.065337782702</v>
      </c>
      <c r="F8" s="21">
        <f>F5</f>
        <v>41646.486720170979</v>
      </c>
      <c r="G8" s="21"/>
      <c r="H8" s="21"/>
      <c r="I8" s="21"/>
      <c r="J8" s="21">
        <f>J5</f>
        <v>5370.1477971566983</v>
      </c>
      <c r="K8" s="21"/>
      <c r="L8" s="21">
        <f>L5</f>
        <v>0</v>
      </c>
      <c r="M8" s="21">
        <f>M5</f>
        <v>0</v>
      </c>
      <c r="N8" s="21">
        <f>N5</f>
        <v>13772.787769982193</v>
      </c>
      <c r="O8" s="21">
        <f>O5</f>
        <v>293.90666666666669</v>
      </c>
      <c r="P8" s="21">
        <f>P5</f>
        <v>1353.7333333333333</v>
      </c>
    </row>
    <row r="9" spans="1:16">
      <c r="B9" s="19"/>
      <c r="C9" s="19"/>
      <c r="D9" s="258"/>
      <c r="E9" s="19"/>
      <c r="F9" s="19"/>
      <c r="G9" s="19"/>
      <c r="H9" s="19"/>
      <c r="I9" s="19"/>
      <c r="J9" s="19"/>
      <c r="K9" s="19"/>
      <c r="L9" s="19"/>
      <c r="M9" s="19"/>
      <c r="N9" s="19"/>
      <c r="O9" s="19"/>
      <c r="P9" s="19"/>
    </row>
    <row r="10" spans="1:16">
      <c r="A10" s="24" t="s">
        <v>214</v>
      </c>
      <c r="B10" s="25">
        <f ca="1">'EF ele_warmte'!B12</f>
        <v>0.15531499802312895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5347.2452773619289</v>
      </c>
      <c r="C12" s="23">
        <f ca="1">C10*C8</f>
        <v>0</v>
      </c>
      <c r="D12" s="23">
        <f>D8*D10</f>
        <v>11801.013841851749</v>
      </c>
      <c r="E12" s="23">
        <f>E10*E8</f>
        <v>2209.6328316766735</v>
      </c>
      <c r="F12" s="23">
        <f>F10*F8</f>
        <v>11119.611954285652</v>
      </c>
      <c r="G12" s="23"/>
      <c r="H12" s="23"/>
      <c r="I12" s="23"/>
      <c r="J12" s="23">
        <f>J10*J8</f>
        <v>1901.0323201934712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1522</v>
      </c>
      <c r="C18" s="166" t="s">
        <v>111</v>
      </c>
      <c r="D18" s="228"/>
      <c r="E18" s="15"/>
    </row>
    <row r="19" spans="1:7">
      <c r="A19" s="171" t="s">
        <v>72</v>
      </c>
      <c r="B19" s="37">
        <f>aantalw2001_ander</f>
        <v>0</v>
      </c>
      <c r="C19" s="166" t="s">
        <v>111</v>
      </c>
      <c r="D19" s="229"/>
      <c r="E19" s="15"/>
    </row>
    <row r="20" spans="1:7">
      <c r="A20" s="171" t="s">
        <v>73</v>
      </c>
      <c r="B20" s="37">
        <f>aantalw2001_propaan</f>
        <v>224</v>
      </c>
      <c r="C20" s="167">
        <f>IF(ISERROR(B20/SUM($B$20,$B$21,$B$22)*100),0,B20/SUM($B$20,$B$21,$B$22)*100)</f>
        <v>22.557905337361532</v>
      </c>
      <c r="D20" s="229"/>
      <c r="E20" s="15"/>
    </row>
    <row r="21" spans="1:7">
      <c r="A21" s="171" t="s">
        <v>74</v>
      </c>
      <c r="B21" s="37">
        <f>aantalw2001_elektriciteit</f>
        <v>676</v>
      </c>
      <c r="C21" s="167">
        <f>IF(ISERROR(B21/SUM($B$20,$B$21,$B$22)*100),0,B21/SUM($B$20,$B$21,$B$22)*100)</f>
        <v>68.076535750251765</v>
      </c>
      <c r="D21" s="229"/>
      <c r="E21" s="15"/>
    </row>
    <row r="22" spans="1:7">
      <c r="A22" s="171" t="s">
        <v>75</v>
      </c>
      <c r="B22" s="37">
        <f>aantalw2001_hout</f>
        <v>93</v>
      </c>
      <c r="C22" s="167">
        <f>IF(ISERROR(B22/SUM($B$20,$B$21,$B$22)*100),0,B22/SUM($B$20,$B$21,$B$22)*100)</f>
        <v>9.3655589123867067</v>
      </c>
      <c r="D22" s="229"/>
      <c r="E22" s="15"/>
    </row>
    <row r="23" spans="1:7">
      <c r="A23" s="171" t="s">
        <v>76</v>
      </c>
      <c r="B23" s="37">
        <f>aantalw2001_niet_gespec</f>
        <v>115</v>
      </c>
      <c r="C23" s="166" t="s">
        <v>111</v>
      </c>
      <c r="D23" s="228"/>
      <c r="E23" s="15"/>
    </row>
    <row r="24" spans="1:7">
      <c r="A24" s="171" t="s">
        <v>77</v>
      </c>
      <c r="B24" s="37">
        <f>aantalw2001_steenkool</f>
        <v>389</v>
      </c>
      <c r="C24" s="166" t="s">
        <v>111</v>
      </c>
      <c r="D24" s="229"/>
      <c r="E24" s="15"/>
    </row>
    <row r="25" spans="1:7">
      <c r="A25" s="171" t="s">
        <v>78</v>
      </c>
      <c r="B25" s="37">
        <f>aantalw2001_stookolie</f>
        <v>3739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7759</v>
      </c>
      <c r="C28" s="36"/>
      <c r="D28" s="228"/>
    </row>
    <row r="29" spans="1:7" s="15" customFormat="1">
      <c r="A29" s="230" t="s">
        <v>795</v>
      </c>
      <c r="B29" s="37">
        <f>SUM(HH_hh_gas_aantal,HH_rest_gas_aantal)</f>
        <v>3889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3889</v>
      </c>
      <c r="C32" s="167">
        <f>IF(ISERROR(B32/SUM($B$32,$B$34,$B$35,$B$36,$B$38,$B$39)*100),0,B32/SUM($B$32,$B$34,$B$35,$B$36,$B$38,$B$39)*100)</f>
        <v>50.585327783558789</v>
      </c>
      <c r="D32" s="233"/>
      <c r="G32" s="15"/>
    </row>
    <row r="33" spans="1:7">
      <c r="A33" s="171" t="s">
        <v>72</v>
      </c>
      <c r="B33" s="34" t="s">
        <v>111</v>
      </c>
      <c r="C33" s="167"/>
      <c r="D33" s="233"/>
      <c r="G33" s="15"/>
    </row>
    <row r="34" spans="1:7">
      <c r="A34" s="171" t="s">
        <v>73</v>
      </c>
      <c r="B34" s="33">
        <f>IF((($B$28-$B$32-$B$39-$B$77-$B$38)*C20/100)&lt;0,0,($B$28-$B$32-$B$39-$B$77-$B$38)*C20/100)</f>
        <v>459.7301107754281</v>
      </c>
      <c r="C34" s="167">
        <f>IF(ISERROR(B34/SUM($B$32,$B$34,$B$35,$B$36,$B$38,$B$39)*100),0,B34/SUM($B$32,$B$34,$B$35,$B$36,$B$38,$B$39)*100)</f>
        <v>5.9798401505648808</v>
      </c>
      <c r="D34" s="233"/>
      <c r="G34" s="15"/>
    </row>
    <row r="35" spans="1:7">
      <c r="A35" s="171" t="s">
        <v>74</v>
      </c>
      <c r="B35" s="33">
        <f>IF((($B$28-$B$32-$B$39-$B$77-$B$38)*C21/100)&lt;0,0,($B$28-$B$32-$B$39-$B$77-$B$38)*C21/100)</f>
        <v>1387.399798590131</v>
      </c>
      <c r="C35" s="167">
        <f>IF(ISERROR(B35/SUM($B$32,$B$34,$B$35,$B$36,$B$38,$B$39)*100),0,B35/SUM($B$32,$B$34,$B$35,$B$36,$B$38,$B$39)*100)</f>
        <v>18.046303311526156</v>
      </c>
      <c r="D35" s="233"/>
      <c r="G35" s="15"/>
    </row>
    <row r="36" spans="1:7">
      <c r="A36" s="171" t="s">
        <v>75</v>
      </c>
      <c r="B36" s="33">
        <f>IF((($B$28-$B$32-$B$39-$B$77-$B$38)*C22/100)&lt;0,0,($B$28-$B$32-$B$39-$B$77-$B$38)*C22/100)</f>
        <v>190.87009063444111</v>
      </c>
      <c r="C36" s="167">
        <f>IF(ISERROR(B36/SUM($B$32,$B$34,$B$35,$B$36,$B$38,$B$39)*100),0,B36/SUM($B$32,$B$34,$B$35,$B$36,$B$38,$B$39)*100)</f>
        <v>2.4827014910827403</v>
      </c>
      <c r="D36" s="233"/>
      <c r="G36" s="15"/>
    </row>
    <row r="37" spans="1:7">
      <c r="A37" s="171" t="s">
        <v>76</v>
      </c>
      <c r="B37" s="34" t="s">
        <v>111</v>
      </c>
      <c r="C37" s="167"/>
      <c r="D37" s="173"/>
      <c r="G37" s="15"/>
    </row>
    <row r="38" spans="1:7">
      <c r="A38" s="171" t="s">
        <v>77</v>
      </c>
      <c r="B38" s="33">
        <f>IF((B24-(B29-B18)*0.1)&lt;0,0,B24-(B29-B18)*0.1)</f>
        <v>152.29999999999998</v>
      </c>
      <c r="C38" s="167">
        <f>IF(ISERROR(B38/SUM($B$32,$B$34,$B$35,$B$36,$B$38,$B$39)*100),0,B38/SUM($B$32,$B$34,$B$35,$B$36,$B$38,$B$39)*100)</f>
        <v>1.9810093652445366</v>
      </c>
      <c r="D38" s="234"/>
      <c r="G38" s="15"/>
    </row>
    <row r="39" spans="1:7">
      <c r="A39" s="171" t="s">
        <v>78</v>
      </c>
      <c r="B39" s="33">
        <f>IF((B25-(B29-B18))&lt;0,0,B25-(B29-B18)*0.9)</f>
        <v>1608.6999999999998</v>
      </c>
      <c r="C39" s="167">
        <f>IF(ISERROR(B39/SUM($B$32,$B$34,$B$35,$B$36,$B$38,$B$39)*100),0,B39/SUM($B$32,$B$34,$B$35,$B$36,$B$38,$B$39)*100)</f>
        <v>20.924817898022887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3889</v>
      </c>
      <c r="C44" s="34" t="s">
        <v>111</v>
      </c>
      <c r="D44" s="174"/>
    </row>
    <row r="45" spans="1:7">
      <c r="A45" s="171" t="s">
        <v>72</v>
      </c>
      <c r="B45" s="33" t="str">
        <f t="shared" si="0"/>
        <v>-</v>
      </c>
      <c r="C45" s="34" t="s">
        <v>111</v>
      </c>
      <c r="D45" s="174"/>
    </row>
    <row r="46" spans="1:7">
      <c r="A46" s="171" t="s">
        <v>73</v>
      </c>
      <c r="B46" s="33">
        <f t="shared" si="0"/>
        <v>459.7301107754281</v>
      </c>
      <c r="C46" s="34" t="s">
        <v>111</v>
      </c>
      <c r="D46" s="174"/>
    </row>
    <row r="47" spans="1:7">
      <c r="A47" s="171" t="s">
        <v>74</v>
      </c>
      <c r="B47" s="33">
        <f t="shared" si="0"/>
        <v>1387.399798590131</v>
      </c>
      <c r="C47" s="34" t="s">
        <v>111</v>
      </c>
      <c r="D47" s="174"/>
    </row>
    <row r="48" spans="1:7">
      <c r="A48" s="171" t="s">
        <v>75</v>
      </c>
      <c r="B48" s="33">
        <f t="shared" si="0"/>
        <v>190.87009063444111</v>
      </c>
      <c r="C48" s="33">
        <f>B48*10</f>
        <v>1908.7009063444111</v>
      </c>
      <c r="D48" s="234"/>
    </row>
    <row r="49" spans="1:6">
      <c r="A49" s="171" t="s">
        <v>76</v>
      </c>
      <c r="B49" s="33" t="str">
        <f t="shared" si="0"/>
        <v>-</v>
      </c>
      <c r="C49" s="34" t="s">
        <v>111</v>
      </c>
      <c r="D49" s="234"/>
    </row>
    <row r="50" spans="1:6">
      <c r="A50" s="171" t="s">
        <v>77</v>
      </c>
      <c r="B50" s="33">
        <f t="shared" si="0"/>
        <v>152.29999999999998</v>
      </c>
      <c r="C50" s="33">
        <f>B50*2</f>
        <v>304.59999999999997</v>
      </c>
      <c r="D50" s="234"/>
    </row>
    <row r="51" spans="1:6">
      <c r="A51" s="171" t="s">
        <v>78</v>
      </c>
      <c r="B51" s="33">
        <f t="shared" si="0"/>
        <v>1608.6999999999998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10468.884115280458</v>
      </c>
      <c r="C5" s="17">
        <f>IF(ISERROR('Eigen informatie GS &amp; warmtenet'!B58),0,'Eigen informatie GS &amp; warmtenet'!B58)</f>
        <v>0</v>
      </c>
      <c r="D5" s="30">
        <f>SUM(D6:D12)</f>
        <v>12715.389356117304</v>
      </c>
      <c r="E5" s="17">
        <f>SUM(E6:E12)</f>
        <v>148.81471631393993</v>
      </c>
      <c r="F5" s="17">
        <f>SUM(F6:F12)</f>
        <v>1853.4206418875872</v>
      </c>
      <c r="G5" s="18"/>
      <c r="H5" s="17"/>
      <c r="I5" s="17"/>
      <c r="J5" s="17">
        <f>SUM(J6:J12)</f>
        <v>3.0637800029591728E-2</v>
      </c>
      <c r="K5" s="17"/>
      <c r="L5" s="17"/>
      <c r="M5" s="17"/>
      <c r="N5" s="17">
        <f>SUM(N6:N12)</f>
        <v>1231.3183922199926</v>
      </c>
      <c r="O5" s="17">
        <f>B38*B39*B40</f>
        <v>3.1266666666666669</v>
      </c>
      <c r="P5" s="17">
        <f>B46*B47*B48/1000-B46*B47*B48/1000/B49</f>
        <v>19.066666666666666</v>
      </c>
      <c r="R5" s="32"/>
    </row>
    <row r="6" spans="1:18">
      <c r="A6" s="32" t="s">
        <v>54</v>
      </c>
      <c r="B6" s="37">
        <f>B26</f>
        <v>2023.3105844985801</v>
      </c>
      <c r="C6" s="33"/>
      <c r="D6" s="37">
        <f>IF(ISERROR(TER_kantoor_gas_kWh/1000),0,TER_kantoor_gas_kWh/1000)*0.902</f>
        <v>1493.7049657680814</v>
      </c>
      <c r="E6" s="33">
        <f>$C$26*'E Balans VL '!I12/100/3.6*1000000</f>
        <v>1.268143780107929E-2</v>
      </c>
      <c r="F6" s="33">
        <f>$C$26*('E Balans VL '!L12+'E Balans VL '!N12)/100/3.6*1000000</f>
        <v>304.04704416028881</v>
      </c>
      <c r="G6" s="34"/>
      <c r="H6" s="33"/>
      <c r="I6" s="33"/>
      <c r="J6" s="33">
        <f>$C$26*('E Balans VL '!D12+'E Balans VL '!E12)/100/3.6*1000000</f>
        <v>0</v>
      </c>
      <c r="K6" s="33"/>
      <c r="L6" s="33"/>
      <c r="M6" s="33"/>
      <c r="N6" s="33">
        <f>$C$26*'E Balans VL '!Y12/100/3.6*1000000</f>
        <v>1.9349965853567281</v>
      </c>
      <c r="O6" s="33"/>
      <c r="P6" s="33"/>
      <c r="R6" s="32"/>
    </row>
    <row r="7" spans="1:18">
      <c r="A7" s="32" t="s">
        <v>53</v>
      </c>
      <c r="B7" s="37">
        <f t="shared" ref="B7:B12" si="0">B27</f>
        <v>1012.1854808716699</v>
      </c>
      <c r="C7" s="33"/>
      <c r="D7" s="37">
        <f>IF(ISERROR(TER_horeca_gas_kWh/1000),0,TER_horeca_gas_kWh/1000)*0.902</f>
        <v>1744.9391857547118</v>
      </c>
      <c r="E7" s="33">
        <f>$C$27*'E Balans VL '!I9/100/3.6*1000000</f>
        <v>14.494327488166222</v>
      </c>
      <c r="F7" s="33">
        <f>$C$27*('E Balans VL '!L9+'E Balans VL '!N9)/100/3.6*1000000</f>
        <v>128.17606504162779</v>
      </c>
      <c r="G7" s="34"/>
      <c r="H7" s="33"/>
      <c r="I7" s="33"/>
      <c r="J7" s="33">
        <f>$C$27*('E Balans VL '!D9+'E Balans VL '!E9)/100/3.6*1000000</f>
        <v>0</v>
      </c>
      <c r="K7" s="33"/>
      <c r="L7" s="33"/>
      <c r="M7" s="33"/>
      <c r="N7" s="33">
        <f>$C$27*'E Balans VL '!Y9/100/3.6*1000000</f>
        <v>0.29098100897641638</v>
      </c>
      <c r="O7" s="33"/>
      <c r="P7" s="33"/>
      <c r="R7" s="32"/>
    </row>
    <row r="8" spans="1:18">
      <c r="A8" s="6" t="s">
        <v>52</v>
      </c>
      <c r="B8" s="37">
        <f t="shared" si="0"/>
        <v>3092.15436511605</v>
      </c>
      <c r="C8" s="33"/>
      <c r="D8" s="37">
        <f>IF(ISERROR(TER_handel_gas_kWh/1000),0,TER_handel_gas_kWh/1000)*0.902</f>
        <v>1510.8766279095639</v>
      </c>
      <c r="E8" s="33">
        <f>$C$28*'E Balans VL '!I13/100/3.6*1000000</f>
        <v>112.15205751536598</v>
      </c>
      <c r="F8" s="33">
        <f>$C$28*('E Balans VL '!L13+'E Balans VL '!N13)/100/3.6*1000000</f>
        <v>595.58024077492905</v>
      </c>
      <c r="G8" s="34"/>
      <c r="H8" s="33"/>
      <c r="I8" s="33"/>
      <c r="J8" s="33">
        <f>$C$28*('E Balans VL '!D13+'E Balans VL '!E13)/100/3.6*1000000</f>
        <v>0</v>
      </c>
      <c r="K8" s="33"/>
      <c r="L8" s="33"/>
      <c r="M8" s="33"/>
      <c r="N8" s="33">
        <f>$C$28*'E Balans VL '!Y13/100/3.6*1000000</f>
        <v>4.283345268674398</v>
      </c>
      <c r="O8" s="33"/>
      <c r="P8" s="33"/>
      <c r="R8" s="32"/>
    </row>
    <row r="9" spans="1:18">
      <c r="A9" s="32" t="s">
        <v>51</v>
      </c>
      <c r="B9" s="37">
        <f t="shared" si="0"/>
        <v>1467.60938314803</v>
      </c>
      <c r="C9" s="33"/>
      <c r="D9" s="37">
        <f>IF(ISERROR(TER_gezond_gas_kWh/1000),0,TER_gezond_gas_kWh/1000)*0.902</f>
        <v>2559.9731700059015</v>
      </c>
      <c r="E9" s="33">
        <f>$C$29*'E Balans VL '!I10/100/3.6*1000000</f>
        <v>9.1886837409950892E-2</v>
      </c>
      <c r="F9" s="33">
        <f>$C$29*('E Balans VL '!L10+'E Balans VL '!N10)/100/3.6*1000000</f>
        <v>218.01784231165931</v>
      </c>
      <c r="G9" s="34"/>
      <c r="H9" s="33"/>
      <c r="I9" s="33"/>
      <c r="J9" s="33">
        <f>$C$29*('E Balans VL '!D10+'E Balans VL '!E10)/100/3.6*1000000</f>
        <v>0</v>
      </c>
      <c r="K9" s="33"/>
      <c r="L9" s="33"/>
      <c r="M9" s="33"/>
      <c r="N9" s="33">
        <f>$C$29*'E Balans VL '!Y10/100/3.6*1000000</f>
        <v>22.70112355073417</v>
      </c>
      <c r="O9" s="33"/>
      <c r="P9" s="33"/>
      <c r="R9" s="32"/>
    </row>
    <row r="10" spans="1:18">
      <c r="A10" s="32" t="s">
        <v>50</v>
      </c>
      <c r="B10" s="37">
        <f t="shared" si="0"/>
        <v>1244.1629520056499</v>
      </c>
      <c r="C10" s="33"/>
      <c r="D10" s="37">
        <f>IF(ISERROR(TER_ander_gas_kWh/1000),0,TER_ander_gas_kWh/1000)*0.902</f>
        <v>1866.1984173614474</v>
      </c>
      <c r="E10" s="33">
        <f>$C$30*'E Balans VL '!I14/100/3.6*1000000</f>
        <v>1.4829977799190592</v>
      </c>
      <c r="F10" s="33">
        <f>$C$30*('E Balans VL '!L14+'E Balans VL '!N14)/100/3.6*1000000</f>
        <v>325.52833938521343</v>
      </c>
      <c r="G10" s="34"/>
      <c r="H10" s="33"/>
      <c r="I10" s="33"/>
      <c r="J10" s="33">
        <f>$C$30*('E Balans VL '!D14+'E Balans VL '!E14)/100/3.6*1000000</f>
        <v>2.7005900703933883E-2</v>
      </c>
      <c r="K10" s="33"/>
      <c r="L10" s="33"/>
      <c r="M10" s="33"/>
      <c r="N10" s="33">
        <f>$C$30*'E Balans VL '!Y14/100/3.6*1000000</f>
        <v>1056.5127346042952</v>
      </c>
      <c r="O10" s="33"/>
      <c r="P10" s="33"/>
      <c r="R10" s="32"/>
    </row>
    <row r="11" spans="1:18">
      <c r="A11" s="32" t="s">
        <v>55</v>
      </c>
      <c r="B11" s="37">
        <f t="shared" si="0"/>
        <v>129.62179773884699</v>
      </c>
      <c r="C11" s="33"/>
      <c r="D11" s="37">
        <f>IF(ISERROR(TER_onderwijs_gas_kWh/1000),0,TER_onderwijs_gas_kWh/1000)*0.902</f>
        <v>0</v>
      </c>
      <c r="E11" s="33">
        <f>$C$31*'E Balans VL '!I11/100/3.6*1000000</f>
        <v>1.9557841521215196</v>
      </c>
      <c r="F11" s="33">
        <f>$C$31*('E Balans VL '!L11+'E Balans VL '!N11)/100/3.6*1000000</f>
        <v>22.711809733669583</v>
      </c>
      <c r="G11" s="34"/>
      <c r="H11" s="33"/>
      <c r="I11" s="33"/>
      <c r="J11" s="33">
        <f>$C$31*('E Balans VL '!D11+'E Balans VL '!E11)/100/3.6*1000000</f>
        <v>0</v>
      </c>
      <c r="K11" s="33"/>
      <c r="L11" s="33"/>
      <c r="M11" s="33"/>
      <c r="N11" s="33">
        <f>$C$31*'E Balans VL '!Y11/100/3.6*1000000</f>
        <v>0.36476559306144685</v>
      </c>
      <c r="O11" s="33"/>
      <c r="P11" s="33"/>
      <c r="R11" s="32"/>
    </row>
    <row r="12" spans="1:18">
      <c r="A12" s="32" t="s">
        <v>260</v>
      </c>
      <c r="B12" s="37">
        <f t="shared" si="0"/>
        <v>1499.8395519016299</v>
      </c>
      <c r="C12" s="33"/>
      <c r="D12" s="37">
        <f>IF(ISERROR(TER_rest_gas_kWh/1000),0,TER_rest_gas_kWh/1000)*0.902</f>
        <v>3539.6969893175979</v>
      </c>
      <c r="E12" s="33">
        <f>$C$32*'E Balans VL '!I8/100/3.6*1000000</f>
        <v>18.624981103156145</v>
      </c>
      <c r="F12" s="33">
        <f>$C$32*('E Balans VL '!L8+'E Balans VL '!N8)/100/3.6*1000000</f>
        <v>259.35930048019912</v>
      </c>
      <c r="G12" s="34"/>
      <c r="H12" s="33"/>
      <c r="I12" s="33"/>
      <c r="J12" s="33">
        <f>$C$32*('E Balans VL '!D8+'E Balans VL '!E8)/100/3.6*1000000</f>
        <v>3.6318993256578454E-3</v>
      </c>
      <c r="K12" s="33"/>
      <c r="L12" s="33"/>
      <c r="M12" s="33"/>
      <c r="N12" s="33">
        <f>$C$32*'E Balans VL '!Y8/100/3.6*1000000</f>
        <v>145.23044560889414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10468.884115280458</v>
      </c>
      <c r="C16" s="21">
        <f t="shared" ca="1" si="1"/>
        <v>0</v>
      </c>
      <c r="D16" s="21">
        <f t="shared" ca="1" si="1"/>
        <v>12715.389356117304</v>
      </c>
      <c r="E16" s="21">
        <f t="shared" si="1"/>
        <v>148.81471631393993</v>
      </c>
      <c r="F16" s="21">
        <f t="shared" ca="1" si="1"/>
        <v>1853.4206418875872</v>
      </c>
      <c r="G16" s="21">
        <f t="shared" si="1"/>
        <v>0</v>
      </c>
      <c r="H16" s="21">
        <f t="shared" si="1"/>
        <v>0</v>
      </c>
      <c r="I16" s="21">
        <f t="shared" si="1"/>
        <v>0</v>
      </c>
      <c r="J16" s="21">
        <f t="shared" si="1"/>
        <v>3.0637800029591728E-2</v>
      </c>
      <c r="K16" s="21">
        <f t="shared" si="1"/>
        <v>0</v>
      </c>
      <c r="L16" s="21">
        <f t="shared" ca="1" si="1"/>
        <v>0</v>
      </c>
      <c r="M16" s="21">
        <f t="shared" si="1"/>
        <v>0</v>
      </c>
      <c r="N16" s="21">
        <f t="shared" ca="1" si="1"/>
        <v>1231.3183922199926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0.15531499802312895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1625.9747156691503</v>
      </c>
      <c r="C20" s="23">
        <f t="shared" ref="C20:P20" ca="1" si="2">C16*C18</f>
        <v>0</v>
      </c>
      <c r="D20" s="23">
        <f t="shared" ca="1" si="2"/>
        <v>2568.5086499356958</v>
      </c>
      <c r="E20" s="23">
        <f t="shared" si="2"/>
        <v>33.780940603264362</v>
      </c>
      <c r="F20" s="23">
        <f t="shared" ca="1" si="2"/>
        <v>494.86331138398583</v>
      </c>
      <c r="G20" s="23">
        <f t="shared" si="2"/>
        <v>0</v>
      </c>
      <c r="H20" s="23">
        <f t="shared" si="2"/>
        <v>0</v>
      </c>
      <c r="I20" s="23">
        <f t="shared" si="2"/>
        <v>0</v>
      </c>
      <c r="J20" s="23">
        <f t="shared" si="2"/>
        <v>1.0845781210475471E-2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2023.3105844985801</v>
      </c>
      <c r="C26" s="39">
        <f>IF(ISERROR(B26*3.6/1000000/'E Balans VL '!Z12*100),0,B26*3.6/1000000/'E Balans VL '!Z12*100)</f>
        <v>4.2769580573435266E-2</v>
      </c>
      <c r="D26" s="237" t="s">
        <v>754</v>
      </c>
      <c r="F26" s="6"/>
    </row>
    <row r="27" spans="1:18">
      <c r="A27" s="231" t="s">
        <v>53</v>
      </c>
      <c r="B27" s="33">
        <f>IF(ISERROR(TER_horeca_ele_kWh/1000),0,TER_horeca_ele_kWh/1000)</f>
        <v>1012.1854808716699</v>
      </c>
      <c r="C27" s="39">
        <f>IF(ISERROR(B27*3.6/1000000/'E Balans VL '!Z9*100),0,B27*3.6/1000000/'E Balans VL '!Z9*100)</f>
        <v>7.9790204196325168E-2</v>
      </c>
      <c r="D27" s="237" t="s">
        <v>754</v>
      </c>
      <c r="F27" s="6"/>
    </row>
    <row r="28" spans="1:18">
      <c r="A28" s="171" t="s">
        <v>52</v>
      </c>
      <c r="B28" s="33">
        <f>IF(ISERROR(TER_handel_ele_kWh/1000),0,TER_handel_ele_kWh/1000)</f>
        <v>3092.15436511605</v>
      </c>
      <c r="C28" s="39">
        <f>IF(ISERROR(B28*3.6/1000000/'E Balans VL '!Z13*100),0,B28*3.6/1000000/'E Balans VL '!Z13*100)</f>
        <v>8.9746813379298601E-2</v>
      </c>
      <c r="D28" s="237" t="s">
        <v>754</v>
      </c>
      <c r="F28" s="6"/>
    </row>
    <row r="29" spans="1:18">
      <c r="A29" s="231" t="s">
        <v>51</v>
      </c>
      <c r="B29" s="33">
        <f>IF(ISERROR(TER_gezond_ele_kWh/1000),0,TER_gezond_ele_kWh/1000)</f>
        <v>1467.60938314803</v>
      </c>
      <c r="C29" s="39">
        <f>IF(ISERROR(B29*3.6/1000000/'E Balans VL '!Z10*100),0,B29*3.6/1000000/'E Balans VL '!Z10*100)</f>
        <v>0.15456336682767355</v>
      </c>
      <c r="D29" s="237" t="s">
        <v>754</v>
      </c>
      <c r="F29" s="6"/>
    </row>
    <row r="30" spans="1:18">
      <c r="A30" s="231" t="s">
        <v>50</v>
      </c>
      <c r="B30" s="33">
        <f>IF(ISERROR(TER_ander_ele_kWh/1000),0,TER_ander_ele_kWh/1000)</f>
        <v>1244.1629520056499</v>
      </c>
      <c r="C30" s="39">
        <f>IF(ISERROR(B30*3.6/1000000/'E Balans VL '!Z14*100),0,B30*3.6/1000000/'E Balans VL '!Z14*100)</f>
        <v>9.1769729570785677E-2</v>
      </c>
      <c r="D30" s="237" t="s">
        <v>754</v>
      </c>
      <c r="F30" s="6"/>
    </row>
    <row r="31" spans="1:18">
      <c r="A31" s="231" t="s">
        <v>55</v>
      </c>
      <c r="B31" s="33">
        <f>IF(ISERROR(TER_onderwijs_ele_kWh/1000),0,TER_onderwijs_ele_kWh/1000)</f>
        <v>129.62179773884699</v>
      </c>
      <c r="C31" s="39">
        <f>IF(ISERROR(B31*3.6/1000000/'E Balans VL '!Z11*100),0,B31*3.6/1000000/'E Balans VL '!Z11*100)</f>
        <v>3.219116422114511E-2</v>
      </c>
      <c r="D31" s="237" t="s">
        <v>754</v>
      </c>
    </row>
    <row r="32" spans="1:18">
      <c r="A32" s="231" t="s">
        <v>260</v>
      </c>
      <c r="B32" s="33">
        <f>IF(ISERROR(TER_rest_ele_kWh/1000),0,TER_rest_ele_kWh/1000)</f>
        <v>1499.8395519016299</v>
      </c>
      <c r="C32" s="39">
        <f>IF(ISERROR(B32*3.6/1000000/'E Balans VL '!Z8*100),0,B32*3.6/1000000/'E Balans VL '!Z8*100)</f>
        <v>1.2341688677518857E-2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8304.4259207409195</v>
      </c>
      <c r="C5" s="17">
        <f>IF(ISERROR('Eigen informatie GS &amp; warmtenet'!B59),0,'Eigen informatie GS &amp; warmtenet'!B59)</f>
        <v>0</v>
      </c>
      <c r="D5" s="30">
        <f>SUM(D6:D15)</f>
        <v>2982.6813356869338</v>
      </c>
      <c r="E5" s="17">
        <f>SUM(E6:E15)</f>
        <v>652.99583746056226</v>
      </c>
      <c r="F5" s="17">
        <f>SUM(F6:F15)</f>
        <v>2152.6983447664493</v>
      </c>
      <c r="G5" s="18"/>
      <c r="H5" s="17"/>
      <c r="I5" s="17"/>
      <c r="J5" s="17">
        <f>SUM(J6:J15)</f>
        <v>24.778330717978609</v>
      </c>
      <c r="K5" s="17"/>
      <c r="L5" s="17"/>
      <c r="M5" s="17"/>
      <c r="N5" s="17">
        <f>SUM(N6:N15)</f>
        <v>1956.7702777190188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41.413432449078599</v>
      </c>
      <c r="C8" s="33"/>
      <c r="D8" s="37">
        <f>IF( ISERROR(IND_metaal_Gas_kWH/1000),0,IND_metaal_Gas_kWH/1000)*0.902</f>
        <v>0</v>
      </c>
      <c r="E8" s="33">
        <f>C30*'E Balans VL '!I18/100/3.6*1000000</f>
        <v>0.38075651389584131</v>
      </c>
      <c r="F8" s="33">
        <f>C30*'E Balans VL '!L18/100/3.6*1000000+C30*'E Balans VL '!N18/100/3.6*1000000</f>
        <v>3.8832011709896217</v>
      </c>
      <c r="G8" s="34"/>
      <c r="H8" s="33"/>
      <c r="I8" s="33"/>
      <c r="J8" s="40">
        <f>C30*'E Balans VL '!D18/100/3.6*1000000+C30*'E Balans VL '!E18/100/3.6*1000000</f>
        <v>0</v>
      </c>
      <c r="K8" s="33"/>
      <c r="L8" s="33"/>
      <c r="M8" s="33"/>
      <c r="N8" s="33">
        <f>C30*'E Balans VL '!Y18/100/3.6*1000000</f>
        <v>0.59083105246524859</v>
      </c>
      <c r="O8" s="33"/>
      <c r="P8" s="33"/>
      <c r="R8" s="32"/>
    </row>
    <row r="9" spans="1:18">
      <c r="A9" s="6" t="s">
        <v>33</v>
      </c>
      <c r="B9" s="37">
        <f t="shared" si="0"/>
        <v>921.47185434492894</v>
      </c>
      <c r="C9" s="33"/>
      <c r="D9" s="37">
        <f>IF( ISERROR(IND_andere_gas_kWh/1000),0,IND_andere_gas_kWh/1000)*0.902</f>
        <v>982.23027368957128</v>
      </c>
      <c r="E9" s="33">
        <f>C31*'E Balans VL '!I19/100/3.6*1000000</f>
        <v>269.36416196614101</v>
      </c>
      <c r="F9" s="33">
        <f>C31*'E Balans VL '!L19/100/3.6*1000000+C31*'E Balans VL '!N19/100/3.6*1000000</f>
        <v>740.47238397657236</v>
      </c>
      <c r="G9" s="34"/>
      <c r="H9" s="33"/>
      <c r="I9" s="33"/>
      <c r="J9" s="40">
        <f>C31*'E Balans VL '!D19/100/3.6*1000000+C31*'E Balans VL '!E19/100/3.6*1000000</f>
        <v>0</v>
      </c>
      <c r="K9" s="33"/>
      <c r="L9" s="33"/>
      <c r="M9" s="33"/>
      <c r="N9" s="33">
        <f>C31*'E Balans VL '!Y19/100/3.6*1000000</f>
        <v>304.46859169079158</v>
      </c>
      <c r="O9" s="33"/>
      <c r="P9" s="33"/>
      <c r="R9" s="32"/>
    </row>
    <row r="10" spans="1:18">
      <c r="A10" s="6" t="s">
        <v>41</v>
      </c>
      <c r="B10" s="37">
        <f t="shared" si="0"/>
        <v>77.265186933562902</v>
      </c>
      <c r="C10" s="33"/>
      <c r="D10" s="37">
        <f>IF( ISERROR(IND_voed_gas_kWh/1000),0,IND_voed_gas_kWh/1000)*0.902</f>
        <v>0</v>
      </c>
      <c r="E10" s="33">
        <f>C32*'E Balans VL '!I20/100/3.6*1000000</f>
        <v>0.16345570096886483</v>
      </c>
      <c r="F10" s="33">
        <f>C32*'E Balans VL '!L20/100/3.6*1000000+C32*'E Balans VL '!N20/100/3.6*1000000</f>
        <v>4.9125995093099695</v>
      </c>
      <c r="G10" s="34"/>
      <c r="H10" s="33"/>
      <c r="I10" s="33"/>
      <c r="J10" s="40">
        <f>C32*'E Balans VL '!D20/100/3.6*1000000+C32*'E Balans VL '!E20/100/3.6*1000000</f>
        <v>0</v>
      </c>
      <c r="K10" s="33"/>
      <c r="L10" s="33"/>
      <c r="M10" s="33"/>
      <c r="N10" s="33">
        <f>C32*'E Balans VL '!Y20/100/3.6*1000000</f>
        <v>5.3320603699111739</v>
      </c>
      <c r="O10" s="33"/>
      <c r="P10" s="33"/>
      <c r="R10" s="32"/>
    </row>
    <row r="11" spans="1:18">
      <c r="A11" s="6" t="s">
        <v>40</v>
      </c>
      <c r="B11" s="37">
        <f t="shared" si="0"/>
        <v>317.72270364016799</v>
      </c>
      <c r="C11" s="33"/>
      <c r="D11" s="37">
        <f>IF( ISERROR(IND_textiel_gas_kWh/1000),0,IND_textiel_gas_kWh/1000)*0.902</f>
        <v>524.27993058876359</v>
      </c>
      <c r="E11" s="33">
        <f>C33*'E Balans VL '!I21/100/3.6*1000000</f>
        <v>0.94360903684815156</v>
      </c>
      <c r="F11" s="33">
        <f>C33*'E Balans VL '!L21/100/3.6*1000000+C33*'E Balans VL '!N21/100/3.6*1000000</f>
        <v>32.098715863813275</v>
      </c>
      <c r="G11" s="34"/>
      <c r="H11" s="33"/>
      <c r="I11" s="33"/>
      <c r="J11" s="40">
        <f>C33*'E Balans VL '!D21/100/3.6*1000000+C33*'E Balans VL '!E21/100/3.6*1000000</f>
        <v>0</v>
      </c>
      <c r="K11" s="33"/>
      <c r="L11" s="33"/>
      <c r="M11" s="33"/>
      <c r="N11" s="33">
        <f>C33*'E Balans VL '!Y21/100/3.6*1000000</f>
        <v>17.523421071456255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26.332129031841401</v>
      </c>
      <c r="C13" s="33"/>
      <c r="D13" s="37">
        <f>IF( ISERROR(IND_papier_gas_kWh/1000),0,IND_papier_gas_kWh/1000)*0.902</f>
        <v>46.551340652082402</v>
      </c>
      <c r="E13" s="33">
        <f>C35*'E Balans VL '!I23/100/3.6*1000000</f>
        <v>3.7359268985022891E-2</v>
      </c>
      <c r="F13" s="33">
        <f>C35*'E Balans VL '!L23/100/3.6*1000000+C35*'E Balans VL '!N23/100/3.6*1000000</f>
        <v>0.64286628485635411</v>
      </c>
      <c r="G13" s="34"/>
      <c r="H13" s="33"/>
      <c r="I13" s="33"/>
      <c r="J13" s="40">
        <f>C35*'E Balans VL '!D23/100/3.6*1000000+C35*'E Balans VL '!E23/100/3.6*1000000</f>
        <v>4.0725109758666476E-3</v>
      </c>
      <c r="K13" s="33"/>
      <c r="L13" s="33"/>
      <c r="M13" s="33"/>
      <c r="N13" s="33">
        <f>C35*'E Balans VL '!Y23/100/3.6*1000000</f>
        <v>76.541265852481089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6920.2206143413405</v>
      </c>
      <c r="C15" s="33"/>
      <c r="D15" s="37">
        <f>IF( ISERROR(IND_rest_gas_kWh/1000),0,IND_rest_gas_kWh/1000)*0.902</f>
        <v>1429.6197907565165</v>
      </c>
      <c r="E15" s="33">
        <f>C37*'E Balans VL '!I15/100/3.6*1000000</f>
        <v>382.10649497372333</v>
      </c>
      <c r="F15" s="33">
        <f>C37*'E Balans VL '!L15/100/3.6*1000000+C37*'E Balans VL '!N15/100/3.6*1000000</f>
        <v>1370.6885779609077</v>
      </c>
      <c r="G15" s="34"/>
      <c r="H15" s="33"/>
      <c r="I15" s="33"/>
      <c r="J15" s="40">
        <f>C37*'E Balans VL '!D15/100/3.6*1000000+C37*'E Balans VL '!E15/100/3.6*1000000</f>
        <v>24.774258207002742</v>
      </c>
      <c r="K15" s="33"/>
      <c r="L15" s="33"/>
      <c r="M15" s="33"/>
      <c r="N15" s="33">
        <f>C37*'E Balans VL '!Y15/100/3.6*1000000</f>
        <v>1552.3141076819134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8304.4259207409195</v>
      </c>
      <c r="C18" s="21">
        <f>C5+C16</f>
        <v>0</v>
      </c>
      <c r="D18" s="21">
        <f>MAX((D5+D16),0)</f>
        <v>2982.6813356869338</v>
      </c>
      <c r="E18" s="21">
        <f>MAX((E5+E16),0)</f>
        <v>652.99583746056226</v>
      </c>
      <c r="F18" s="21">
        <f>MAX((F5+F16),0)</f>
        <v>2152.6983447664493</v>
      </c>
      <c r="G18" s="21"/>
      <c r="H18" s="21"/>
      <c r="I18" s="21"/>
      <c r="J18" s="21">
        <f>MAX((J5+J16),0)</f>
        <v>24.778330717978609</v>
      </c>
      <c r="K18" s="21"/>
      <c r="L18" s="21">
        <f>MAX((L5+L16),0)</f>
        <v>0</v>
      </c>
      <c r="M18" s="21"/>
      <c r="N18" s="21">
        <f>MAX((N5+N16),0)</f>
        <v>1956.7702777190188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0.15531499802312895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1289.8018954630968</v>
      </c>
      <c r="C22" s="23">
        <f ca="1">C18*C20</f>
        <v>0</v>
      </c>
      <c r="D22" s="23">
        <f>D18*D20</f>
        <v>602.50162980876064</v>
      </c>
      <c r="E22" s="23">
        <f>E18*E20</f>
        <v>148.23005510354764</v>
      </c>
      <c r="F22" s="23">
        <f>F18*F20</f>
        <v>574.77045805264197</v>
      </c>
      <c r="G22" s="23"/>
      <c r="H22" s="23"/>
      <c r="I22" s="23"/>
      <c r="J22" s="23">
        <f>J18*J20</f>
        <v>8.7715290741644267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41.413432449078599</v>
      </c>
      <c r="C30" s="39">
        <f>IF(ISERROR(B30*3.6/1000000/'E Balans VL '!Z18*100),0,B30*3.6/1000000/'E Balans VL '!Z18*100)</f>
        <v>2.3470054078754883E-3</v>
      </c>
      <c r="D30" s="237" t="s">
        <v>754</v>
      </c>
    </row>
    <row r="31" spans="1:18">
      <c r="A31" s="6" t="s">
        <v>33</v>
      </c>
      <c r="B31" s="37">
        <f>IF( ISERROR(IND_ander_ele_kWh/1000),0,IND_ander_ele_kWh/1000)</f>
        <v>921.47185434492894</v>
      </c>
      <c r="C31" s="39">
        <f>IF(ISERROR(B31*3.6/1000000/'E Balans VL '!Z19*100),0,B31*3.6/1000000/'E Balans VL '!Z19*100)</f>
        <v>4.179412637106529E-2</v>
      </c>
      <c r="D31" s="237" t="s">
        <v>754</v>
      </c>
    </row>
    <row r="32" spans="1:18">
      <c r="A32" s="171" t="s">
        <v>41</v>
      </c>
      <c r="B32" s="37">
        <f>IF( ISERROR(IND_voed_ele_kWh/1000),0,IND_voed_ele_kWh/1000)</f>
        <v>77.265186933562902</v>
      </c>
      <c r="C32" s="39">
        <f>IF(ISERROR(B32*3.6/1000000/'E Balans VL '!Z20*100),0,B32*3.6/1000000/'E Balans VL '!Z20*100)</f>
        <v>2.390162986187664E-3</v>
      </c>
      <c r="D32" s="237" t="s">
        <v>754</v>
      </c>
    </row>
    <row r="33" spans="1:5">
      <c r="A33" s="171" t="s">
        <v>40</v>
      </c>
      <c r="B33" s="37">
        <f>IF( ISERROR(IND_textiel_ele_kWh/1000),0,IND_textiel_ele_kWh/1000)</f>
        <v>317.72270364016799</v>
      </c>
      <c r="C33" s="39">
        <f>IF(ISERROR(B33*3.6/1000000/'E Balans VL '!Z21*100),0,B33*3.6/1000000/'E Balans VL '!Z21*100)</f>
        <v>4.1427508886993945E-2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26.332129031841401</v>
      </c>
      <c r="C35" s="39">
        <f>IF(ISERROR(B35*3.6/1000000/'E Balans VL '!Z22*100),0,B35*3.6/1000000/'E Balans VL '!Z22*100)</f>
        <v>4.7363284598642306E-3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6920.2206143413405</v>
      </c>
      <c r="C37" s="39">
        <f>IF(ISERROR(B37*3.6/1000000/'E Balans VL '!Z15*100),0,B37*3.6/1000000/'E Balans VL '!Z15*100)</f>
        <v>5.4851247207850042E-2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600.39850094466703</v>
      </c>
      <c r="C5" s="17">
        <f>'Eigen informatie GS &amp; warmtenet'!B60</f>
        <v>0</v>
      </c>
      <c r="D5" s="30">
        <f>IF(ISERROR(SUM(LB_lb_gas_kWh,LB_rest_gas_kWh,onbekend_gas_kWh)/1000),0,SUM(LB_lb_gas_kWh,LB_rest_gas_kWh,onbekend_gas_kWh)/1000)*0.902</f>
        <v>1875.1001223016879</v>
      </c>
      <c r="E5" s="17">
        <f>B17*'E Balans VL '!I25/3.6*1000000/100</f>
        <v>17.647545771448907</v>
      </c>
      <c r="F5" s="17">
        <f>B17*('E Balans VL '!L25/3.6*1000000+'E Balans VL '!N25/3.6*1000000)/100</f>
        <v>2501.2277111033927</v>
      </c>
      <c r="G5" s="18"/>
      <c r="H5" s="17"/>
      <c r="I5" s="17"/>
      <c r="J5" s="17">
        <f>('E Balans VL '!D25+'E Balans VL '!E25)/3.6*1000000*landbouw!B17/100</f>
        <v>86.984849081481684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600.39850094466703</v>
      </c>
      <c r="C8" s="21">
        <f>C5+C6</f>
        <v>0</v>
      </c>
      <c r="D8" s="21">
        <f>MAX((D5+D6),0)</f>
        <v>1875.1001223016879</v>
      </c>
      <c r="E8" s="21">
        <f>MAX((E5+E6),0)</f>
        <v>17.647545771448907</v>
      </c>
      <c r="F8" s="21">
        <f>MAX((F5+F6),0)</f>
        <v>2501.2277111033927</v>
      </c>
      <c r="G8" s="21"/>
      <c r="H8" s="21"/>
      <c r="I8" s="21"/>
      <c r="J8" s="21">
        <f>MAX((J5+J6),0)</f>
        <v>86.984849081481684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0.15531499802312895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93.250891987310553</v>
      </c>
      <c r="C12" s="23">
        <f ca="1">C8*C10</f>
        <v>0</v>
      </c>
      <c r="D12" s="23">
        <f>D8*D10</f>
        <v>378.77022470494097</v>
      </c>
      <c r="E12" s="23">
        <f>E8*E10</f>
        <v>4.0059928901189021</v>
      </c>
      <c r="F12" s="23">
        <f>F8*F10</f>
        <v>667.82779886460594</v>
      </c>
      <c r="G12" s="23"/>
      <c r="H12" s="23"/>
      <c r="I12" s="23"/>
      <c r="J12" s="23">
        <f>J8*J10</f>
        <v>30.792636574844515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8.5198430976898193E-2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130.86536464543303</v>
      </c>
      <c r="C26" s="247">
        <f>B26*'GWP N2O_CH4'!B5</f>
        <v>2748.1726575540938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13.690785886363393</v>
      </c>
      <c r="C27" s="247">
        <f>B27*'GWP N2O_CH4'!B5</f>
        <v>287.50650361363125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1.7116815085071782</v>
      </c>
      <c r="C28" s="247">
        <f>B28*'GWP N2O_CH4'!B4</f>
        <v>530.62126763722517</v>
      </c>
      <c r="D28" s="50"/>
    </row>
    <row r="29" spans="1:4">
      <c r="A29" s="41" t="s">
        <v>277</v>
      </c>
      <c r="B29" s="247">
        <f>B34*'ha_N2O bodem landbouw'!B4</f>
        <v>9.1297516954705635</v>
      </c>
      <c r="C29" s="247">
        <f>B29*'GWP N2O_CH4'!B4</f>
        <v>2830.2230255958748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2.0833778743823642E-3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1.3062249731846234E-4</v>
      </c>
      <c r="C5" s="463" t="s">
        <v>211</v>
      </c>
      <c r="D5" s="448">
        <f>SUM(D6:D11)</f>
        <v>4.987787416134375E-4</v>
      </c>
      <c r="E5" s="448">
        <f>SUM(E6:E11)</f>
        <v>6.5672380798306425E-4</v>
      </c>
      <c r="F5" s="461" t="s">
        <v>211</v>
      </c>
      <c r="G5" s="448">
        <f>SUM(G6:G11)</f>
        <v>0.27244387784481416</v>
      </c>
      <c r="H5" s="448">
        <f>SUM(H6:H11)</f>
        <v>5.5968384248162598E-2</v>
      </c>
      <c r="I5" s="463" t="s">
        <v>211</v>
      </c>
      <c r="J5" s="463" t="s">
        <v>211</v>
      </c>
      <c r="K5" s="463" t="s">
        <v>211</v>
      </c>
      <c r="L5" s="463" t="s">
        <v>211</v>
      </c>
      <c r="M5" s="448">
        <f>SUM(M6:M11)</f>
        <v>1.7578845189480309E-2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8.4776245613877601E-5</v>
      </c>
      <c r="C6" s="449"/>
      <c r="D6" s="962">
        <f>vkm_2011_GW_PW*SUMIFS(TableVerdeelsleutelVkm[CNG],TableVerdeelsleutelVkm[Voertuigtype],"Lichte voertuigen")*SUMIFS(TableECFTransport[EnergieConsumptieFactor (PJ per km)],TableECFTransport[Index],CONCATENATE($A6,"_CNG_CNG"))</f>
        <v>2.5428007970255186E-4</v>
      </c>
      <c r="E6" s="962">
        <f>vkm_2011_GW_PW*SUMIFS(TableVerdeelsleutelVkm[LPG],TableVerdeelsleutelVkm[Voertuigtype],"Lichte voertuigen")*SUMIFS(TableECFTransport[EnergieConsumptieFactor (PJ per km)],TableECFTransport[Index],CONCATENATE($A6,"_LPG_LPG"))</f>
        <v>3.4738311440707441E-4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8.9817349096198804E-2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2.8916374642188884E-2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6.105770046047421E-3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8.7291604610573295E-2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2.6600053979721425E-5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5.1010315216156732E-3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4.5846251704584734E-5</v>
      </c>
      <c r="C8" s="449"/>
      <c r="D8" s="451">
        <f>vkm_2011_NGW_PW*SUMIFS(TableVerdeelsleutelVkm[CNG],TableVerdeelsleutelVkm[Voertuigtype],"Lichte voertuigen")*SUMIFS(TableECFTransport[EnergieConsumptieFactor (PJ per km)],TableECFTransport[Index],CONCATENATE($A8,"_CNG_CNG"))</f>
        <v>2.4449866191088564E-4</v>
      </c>
      <c r="E8" s="451">
        <f>vkm_2011_NGW_PW*SUMIFS(TableVerdeelsleutelVkm[LPG],TableVerdeelsleutelVkm[Voertuigtype],"Lichte voertuigen")*SUMIFS(TableECFTransport[EnergieConsumptieFactor (PJ per km)],TableECFTransport[Index],CONCATENATE($A8,"_LPG_LPG"))</f>
        <v>3.0934069357598979E-4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7.4534130287328068E-2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2.7019442354623075E-2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5.1565253163481694E-3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2.0800793850714008E-2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5.9671973709222467E-6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1.215518305469044E-3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36.284027032906202</v>
      </c>
      <c r="C14" s="21"/>
      <c r="D14" s="21">
        <f t="shared" ref="D14:M14" si="0">((D5)*10^9/3600)+D12</f>
        <v>138.54965044817709</v>
      </c>
      <c r="E14" s="21">
        <f t="shared" si="0"/>
        <v>182.42327999529562</v>
      </c>
      <c r="F14" s="21"/>
      <c r="G14" s="21">
        <f t="shared" si="0"/>
        <v>75678.854956892828</v>
      </c>
      <c r="H14" s="21">
        <f t="shared" si="0"/>
        <v>15546.773402267389</v>
      </c>
      <c r="I14" s="21"/>
      <c r="J14" s="21"/>
      <c r="K14" s="21"/>
      <c r="L14" s="21"/>
      <c r="M14" s="21">
        <f t="shared" si="0"/>
        <v>4883.0125526334186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0.15531499802312895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5.6354535868869844</v>
      </c>
      <c r="C18" s="23"/>
      <c r="D18" s="23">
        <f t="shared" ref="D18:M18" si="1">D14*D16</f>
        <v>27.987029390531774</v>
      </c>
      <c r="E18" s="23">
        <f t="shared" si="1"/>
        <v>41.410084558932105</v>
      </c>
      <c r="F18" s="23"/>
      <c r="G18" s="23">
        <f t="shared" si="1"/>
        <v>20206.254273490387</v>
      </c>
      <c r="H18" s="23">
        <f t="shared" si="1"/>
        <v>3871.1465771645799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2.6684870854788022E-3</v>
      </c>
      <c r="H50" s="321">
        <f t="shared" si="2"/>
        <v>0</v>
      </c>
      <c r="I50" s="321">
        <f t="shared" si="2"/>
        <v>0</v>
      </c>
      <c r="J50" s="321">
        <f t="shared" si="2"/>
        <v>0</v>
      </c>
      <c r="K50" s="321">
        <f t="shared" si="2"/>
        <v>0</v>
      </c>
      <c r="L50" s="321">
        <f t="shared" si="2"/>
        <v>0</v>
      </c>
      <c r="M50" s="321">
        <f t="shared" si="2"/>
        <v>1.5155828621512589E-4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2.6684870854788022E-3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1.5155828621512589E-4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741.24641263300066</v>
      </c>
      <c r="H54" s="21">
        <f t="shared" si="3"/>
        <v>0</v>
      </c>
      <c r="I54" s="21">
        <f t="shared" si="3"/>
        <v>0</v>
      </c>
      <c r="J54" s="21">
        <f t="shared" si="3"/>
        <v>0</v>
      </c>
      <c r="K54" s="21">
        <f t="shared" si="3"/>
        <v>0</v>
      </c>
      <c r="L54" s="21">
        <f t="shared" si="3"/>
        <v>0</v>
      </c>
      <c r="M54" s="21">
        <f t="shared" si="3"/>
        <v>42.099523948646073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0.15531499802312895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197.91279217301118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11884.239471319184</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4450.1808770656271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16334.42034838481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11588.358115280458</v>
      </c>
      <c r="D10" s="718">
        <f ca="1">tertiair!C16</f>
        <v>0</v>
      </c>
      <c r="E10" s="718">
        <f ca="1">tertiair!D16</f>
        <v>12715.389356117304</v>
      </c>
      <c r="F10" s="718">
        <f>tertiair!E16</f>
        <v>148.81471631393993</v>
      </c>
      <c r="G10" s="718">
        <f ca="1">tertiair!F16</f>
        <v>1853.4206418875872</v>
      </c>
      <c r="H10" s="718">
        <f>tertiair!G16</f>
        <v>0</v>
      </c>
      <c r="I10" s="718">
        <f>tertiair!H16</f>
        <v>0</v>
      </c>
      <c r="J10" s="718">
        <f>tertiair!I16</f>
        <v>0</v>
      </c>
      <c r="K10" s="718">
        <f>tertiair!J16</f>
        <v>3.0637800029591728E-2</v>
      </c>
      <c r="L10" s="718">
        <f>tertiair!K16</f>
        <v>0</v>
      </c>
      <c r="M10" s="718">
        <f ca="1">tertiair!L16</f>
        <v>0</v>
      </c>
      <c r="N10" s="718">
        <f>tertiair!M16</f>
        <v>0</v>
      </c>
      <c r="O10" s="718">
        <f ca="1">tertiair!N16</f>
        <v>1231.3183922199926</v>
      </c>
      <c r="P10" s="718">
        <f>tertiair!O16</f>
        <v>3.1266666666666669</v>
      </c>
      <c r="Q10" s="719">
        <f>tertiair!P16</f>
        <v>19.066666666666666</v>
      </c>
      <c r="R10" s="721">
        <f ca="1">SUM(C10:Q10)</f>
        <v>27559.525192952649</v>
      </c>
      <c r="S10" s="67"/>
    </row>
    <row r="11" spans="1:19" s="474" customFormat="1">
      <c r="A11" s="870" t="s">
        <v>225</v>
      </c>
      <c r="B11" s="875"/>
      <c r="C11" s="718">
        <f>huishoudens!B8</f>
        <v>34428.389694636164</v>
      </c>
      <c r="D11" s="718">
        <f>huishoudens!C8</f>
        <v>0</v>
      </c>
      <c r="E11" s="718">
        <f>huishoudens!D8</f>
        <v>58420.860603226472</v>
      </c>
      <c r="F11" s="718">
        <f>huishoudens!E8</f>
        <v>9734.065337782702</v>
      </c>
      <c r="G11" s="718">
        <f>huishoudens!F8</f>
        <v>41646.486720170979</v>
      </c>
      <c r="H11" s="718">
        <f>huishoudens!G8</f>
        <v>0</v>
      </c>
      <c r="I11" s="718">
        <f>huishoudens!H8</f>
        <v>0</v>
      </c>
      <c r="J11" s="718">
        <f>huishoudens!I8</f>
        <v>0</v>
      </c>
      <c r="K11" s="718">
        <f>huishoudens!J8</f>
        <v>5370.1477971566983</v>
      </c>
      <c r="L11" s="718">
        <f>huishoudens!K8</f>
        <v>0</v>
      </c>
      <c r="M11" s="718">
        <f>huishoudens!L8</f>
        <v>0</v>
      </c>
      <c r="N11" s="718">
        <f>huishoudens!M8</f>
        <v>0</v>
      </c>
      <c r="O11" s="718">
        <f>huishoudens!N8</f>
        <v>13772.787769982193</v>
      </c>
      <c r="P11" s="718">
        <f>huishoudens!O8</f>
        <v>293.90666666666669</v>
      </c>
      <c r="Q11" s="719">
        <f>huishoudens!P8</f>
        <v>1353.7333333333333</v>
      </c>
      <c r="R11" s="721">
        <f>SUM(C11:Q11)</f>
        <v>165020.3779229552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8304.4259207409195</v>
      </c>
      <c r="D13" s="718">
        <f>industrie!C18</f>
        <v>0</v>
      </c>
      <c r="E13" s="718">
        <f>industrie!D18</f>
        <v>2982.6813356869338</v>
      </c>
      <c r="F13" s="718">
        <f>industrie!E18</f>
        <v>652.99583746056226</v>
      </c>
      <c r="G13" s="718">
        <f>industrie!F18</f>
        <v>2152.6983447664493</v>
      </c>
      <c r="H13" s="718">
        <f>industrie!G18</f>
        <v>0</v>
      </c>
      <c r="I13" s="718">
        <f>industrie!H18</f>
        <v>0</v>
      </c>
      <c r="J13" s="718">
        <f>industrie!I18</f>
        <v>0</v>
      </c>
      <c r="K13" s="718">
        <f>industrie!J18</f>
        <v>24.778330717978609</v>
      </c>
      <c r="L13" s="718">
        <f>industrie!K18</f>
        <v>0</v>
      </c>
      <c r="M13" s="718">
        <f>industrie!L18</f>
        <v>0</v>
      </c>
      <c r="N13" s="718">
        <f>industrie!M18</f>
        <v>0</v>
      </c>
      <c r="O13" s="718">
        <f>industrie!N18</f>
        <v>1956.7702777190188</v>
      </c>
      <c r="P13" s="718">
        <f>industrie!O18</f>
        <v>0</v>
      </c>
      <c r="Q13" s="719">
        <f>industrie!P18</f>
        <v>0</v>
      </c>
      <c r="R13" s="721">
        <f>SUM(C13:Q13)</f>
        <v>16074.350047091863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54321.173730657538</v>
      </c>
      <c r="D15" s="723">
        <f t="shared" ref="D15:Q15" ca="1" si="0">SUM(D9:D14)</f>
        <v>0</v>
      </c>
      <c r="E15" s="723">
        <f t="shared" ca="1" si="0"/>
        <v>74118.931295030721</v>
      </c>
      <c r="F15" s="723">
        <f t="shared" si="0"/>
        <v>10535.875891557205</v>
      </c>
      <c r="G15" s="723">
        <f t="shared" ca="1" si="0"/>
        <v>45652.605706825008</v>
      </c>
      <c r="H15" s="723">
        <f t="shared" si="0"/>
        <v>0</v>
      </c>
      <c r="I15" s="723">
        <f t="shared" si="0"/>
        <v>0</v>
      </c>
      <c r="J15" s="723">
        <f t="shared" si="0"/>
        <v>0</v>
      </c>
      <c r="K15" s="723">
        <f t="shared" si="0"/>
        <v>5394.9567656747067</v>
      </c>
      <c r="L15" s="723">
        <f t="shared" si="0"/>
        <v>0</v>
      </c>
      <c r="M15" s="723">
        <f t="shared" ca="1" si="0"/>
        <v>0</v>
      </c>
      <c r="N15" s="723">
        <f t="shared" si="0"/>
        <v>0</v>
      </c>
      <c r="O15" s="723">
        <f t="shared" ca="1" si="0"/>
        <v>16960.876439921205</v>
      </c>
      <c r="P15" s="723">
        <f t="shared" si="0"/>
        <v>297.03333333333336</v>
      </c>
      <c r="Q15" s="724">
        <f t="shared" si="0"/>
        <v>1372.8</v>
      </c>
      <c r="R15" s="725">
        <f ca="1">SUM(R9:R14)</f>
        <v>208654.25316299972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741.24641263300066</v>
      </c>
      <c r="I18" s="718">
        <f>transport!H54</f>
        <v>0</v>
      </c>
      <c r="J18" s="718">
        <f>transport!I54</f>
        <v>0</v>
      </c>
      <c r="K18" s="718">
        <f>transport!J54</f>
        <v>0</v>
      </c>
      <c r="L18" s="718">
        <f>transport!K54</f>
        <v>0</v>
      </c>
      <c r="M18" s="718">
        <f>transport!L54</f>
        <v>0</v>
      </c>
      <c r="N18" s="718">
        <f>transport!M54</f>
        <v>42.099523948646073</v>
      </c>
      <c r="O18" s="718">
        <f>transport!N54</f>
        <v>0</v>
      </c>
      <c r="P18" s="718">
        <f>transport!O54</f>
        <v>0</v>
      </c>
      <c r="Q18" s="719">
        <f>transport!P54</f>
        <v>0</v>
      </c>
      <c r="R18" s="721">
        <f>SUM(C18:Q18)</f>
        <v>783.3459365816467</v>
      </c>
      <c r="S18" s="67"/>
    </row>
    <row r="19" spans="1:19" s="474" customFormat="1" ht="15" thickBot="1">
      <c r="A19" s="870" t="s">
        <v>307</v>
      </c>
      <c r="B19" s="875"/>
      <c r="C19" s="727">
        <f>transport!B14</f>
        <v>36.284027032906202</v>
      </c>
      <c r="D19" s="727">
        <f>transport!C14</f>
        <v>0</v>
      </c>
      <c r="E19" s="727">
        <f>transport!D14</f>
        <v>138.54965044817709</v>
      </c>
      <c r="F19" s="727">
        <f>transport!E14</f>
        <v>182.42327999529562</v>
      </c>
      <c r="G19" s="727">
        <f>transport!F14</f>
        <v>0</v>
      </c>
      <c r="H19" s="727">
        <f>transport!G14</f>
        <v>75678.854956892828</v>
      </c>
      <c r="I19" s="727">
        <f>transport!H14</f>
        <v>15546.773402267389</v>
      </c>
      <c r="J19" s="727">
        <f>transport!I14</f>
        <v>0</v>
      </c>
      <c r="K19" s="727">
        <f>transport!J14</f>
        <v>0</v>
      </c>
      <c r="L19" s="727">
        <f>transport!K14</f>
        <v>0</v>
      </c>
      <c r="M19" s="727">
        <f>transport!L14</f>
        <v>0</v>
      </c>
      <c r="N19" s="727">
        <f>transport!M14</f>
        <v>4883.0125526334186</v>
      </c>
      <c r="O19" s="727">
        <f>transport!N14</f>
        <v>0</v>
      </c>
      <c r="P19" s="727">
        <f>transport!O14</f>
        <v>0</v>
      </c>
      <c r="Q19" s="728">
        <f>transport!P14</f>
        <v>0</v>
      </c>
      <c r="R19" s="729">
        <f>SUM(C19:Q19)</f>
        <v>96465.897869270004</v>
      </c>
      <c r="S19" s="67"/>
    </row>
    <row r="20" spans="1:19" s="474" customFormat="1" ht="15.75" thickBot="1">
      <c r="A20" s="730" t="s">
        <v>230</v>
      </c>
      <c r="B20" s="878"/>
      <c r="C20" s="873">
        <f>SUM(C17:C19)</f>
        <v>36.284027032906202</v>
      </c>
      <c r="D20" s="731">
        <f t="shared" ref="D20:R20" si="1">SUM(D17:D19)</f>
        <v>0</v>
      </c>
      <c r="E20" s="731">
        <f t="shared" si="1"/>
        <v>138.54965044817709</v>
      </c>
      <c r="F20" s="731">
        <f t="shared" si="1"/>
        <v>182.42327999529562</v>
      </c>
      <c r="G20" s="731">
        <f t="shared" si="1"/>
        <v>0</v>
      </c>
      <c r="H20" s="731">
        <f t="shared" si="1"/>
        <v>76420.10136952583</v>
      </c>
      <c r="I20" s="731">
        <f t="shared" si="1"/>
        <v>15546.773402267389</v>
      </c>
      <c r="J20" s="731">
        <f t="shared" si="1"/>
        <v>0</v>
      </c>
      <c r="K20" s="731">
        <f t="shared" si="1"/>
        <v>0</v>
      </c>
      <c r="L20" s="731">
        <f t="shared" si="1"/>
        <v>0</v>
      </c>
      <c r="M20" s="731">
        <f t="shared" si="1"/>
        <v>0</v>
      </c>
      <c r="N20" s="731">
        <f t="shared" si="1"/>
        <v>4925.1120765820651</v>
      </c>
      <c r="O20" s="731">
        <f t="shared" si="1"/>
        <v>0</v>
      </c>
      <c r="P20" s="731">
        <f t="shared" si="1"/>
        <v>0</v>
      </c>
      <c r="Q20" s="732">
        <f t="shared" si="1"/>
        <v>0</v>
      </c>
      <c r="R20" s="733">
        <f t="shared" si="1"/>
        <v>97249.243805851656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600.39850094466703</v>
      </c>
      <c r="D22" s="727">
        <f>+landbouw!C8</f>
        <v>0</v>
      </c>
      <c r="E22" s="727">
        <f>+landbouw!D8</f>
        <v>1875.1001223016879</v>
      </c>
      <c r="F22" s="727">
        <f>+landbouw!E8</f>
        <v>17.647545771448907</v>
      </c>
      <c r="G22" s="727">
        <f>+landbouw!F8</f>
        <v>2501.2277111033927</v>
      </c>
      <c r="H22" s="727">
        <f>+landbouw!G8</f>
        <v>0</v>
      </c>
      <c r="I22" s="727">
        <f>+landbouw!H8</f>
        <v>0</v>
      </c>
      <c r="J22" s="727">
        <f>+landbouw!I8</f>
        <v>0</v>
      </c>
      <c r="K22" s="727">
        <f>+landbouw!J8</f>
        <v>86.984849081481684</v>
      </c>
      <c r="L22" s="727">
        <f>+landbouw!K8</f>
        <v>0</v>
      </c>
      <c r="M22" s="727">
        <f>+landbouw!L8</f>
        <v>0</v>
      </c>
      <c r="N22" s="727">
        <f>+landbouw!M8</f>
        <v>0</v>
      </c>
      <c r="O22" s="727">
        <f>+landbouw!N8</f>
        <v>0</v>
      </c>
      <c r="P22" s="727">
        <f>+landbouw!O8</f>
        <v>0</v>
      </c>
      <c r="Q22" s="728">
        <f>+landbouw!P8</f>
        <v>0</v>
      </c>
      <c r="R22" s="729">
        <f>SUM(C22:Q22)</f>
        <v>5081.3587292026787</v>
      </c>
      <c r="S22" s="67"/>
    </row>
    <row r="23" spans="1:19" s="474" customFormat="1" ht="17.25" thickTop="1" thickBot="1">
      <c r="A23" s="734" t="s">
        <v>116</v>
      </c>
      <c r="B23" s="864"/>
      <c r="C23" s="735">
        <f ca="1">C20+C15+C22</f>
        <v>54957.856258635111</v>
      </c>
      <c r="D23" s="735">
        <f t="shared" ref="D23:Q23" ca="1" si="2">D20+D15+D22</f>
        <v>0</v>
      </c>
      <c r="E23" s="735">
        <f t="shared" ca="1" si="2"/>
        <v>76132.581067780586</v>
      </c>
      <c r="F23" s="735">
        <f t="shared" si="2"/>
        <v>10735.94671732395</v>
      </c>
      <c r="G23" s="735">
        <f t="shared" ca="1" si="2"/>
        <v>48153.833417928399</v>
      </c>
      <c r="H23" s="735">
        <f t="shared" si="2"/>
        <v>76420.10136952583</v>
      </c>
      <c r="I23" s="735">
        <f t="shared" si="2"/>
        <v>15546.773402267389</v>
      </c>
      <c r="J23" s="735">
        <f t="shared" si="2"/>
        <v>0</v>
      </c>
      <c r="K23" s="735">
        <f t="shared" si="2"/>
        <v>5481.9416147561888</v>
      </c>
      <c r="L23" s="735">
        <f t="shared" si="2"/>
        <v>0</v>
      </c>
      <c r="M23" s="735">
        <f t="shared" ca="1" si="2"/>
        <v>0</v>
      </c>
      <c r="N23" s="735">
        <f t="shared" si="2"/>
        <v>4925.1120765820651</v>
      </c>
      <c r="O23" s="735">
        <f t="shared" ca="1" si="2"/>
        <v>16960.876439921205</v>
      </c>
      <c r="P23" s="735">
        <f t="shared" si="2"/>
        <v>297.03333333333336</v>
      </c>
      <c r="Q23" s="736">
        <f t="shared" si="2"/>
        <v>1372.8</v>
      </c>
      <c r="R23" s="737">
        <f ca="1">R20+R15+R22</f>
        <v>310984.85569805407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1799.8458177660946</v>
      </c>
      <c r="D36" s="718">
        <f ca="1">tertiair!C20</f>
        <v>0</v>
      </c>
      <c r="E36" s="718">
        <f ca="1">tertiair!D20</f>
        <v>2568.5086499356958</v>
      </c>
      <c r="F36" s="718">
        <f>tertiair!E20</f>
        <v>33.780940603264362</v>
      </c>
      <c r="G36" s="718">
        <f ca="1">tertiair!F20</f>
        <v>494.86331138398583</v>
      </c>
      <c r="H36" s="718">
        <f>tertiair!G20</f>
        <v>0</v>
      </c>
      <c r="I36" s="718">
        <f>tertiair!H20</f>
        <v>0</v>
      </c>
      <c r="J36" s="718">
        <f>tertiair!I20</f>
        <v>0</v>
      </c>
      <c r="K36" s="718">
        <f>tertiair!J20</f>
        <v>1.0845781210475471E-2</v>
      </c>
      <c r="L36" s="718">
        <f>tertiair!K20</f>
        <v>0</v>
      </c>
      <c r="M36" s="718">
        <f ca="1">tertiair!L20</f>
        <v>0</v>
      </c>
      <c r="N36" s="718">
        <f>tertiair!M20</f>
        <v>0</v>
      </c>
      <c r="O36" s="718">
        <f ca="1">tertiair!N20</f>
        <v>0</v>
      </c>
      <c r="P36" s="718">
        <f>tertiair!O20</f>
        <v>0</v>
      </c>
      <c r="Q36" s="828">
        <f>tertiair!P20</f>
        <v>0</v>
      </c>
      <c r="R36" s="917">
        <f ca="1">SUM(C36:Q36)</f>
        <v>4897.0095654702518</v>
      </c>
    </row>
    <row r="37" spans="1:18">
      <c r="A37" s="885" t="s">
        <v>225</v>
      </c>
      <c r="B37" s="892"/>
      <c r="C37" s="718">
        <f ca="1">huishoudens!B12</f>
        <v>5347.2452773619289</v>
      </c>
      <c r="D37" s="718">
        <f ca="1">huishoudens!C12</f>
        <v>0</v>
      </c>
      <c r="E37" s="718">
        <f>huishoudens!D12</f>
        <v>11801.013841851749</v>
      </c>
      <c r="F37" s="718">
        <f>huishoudens!E12</f>
        <v>2209.6328316766735</v>
      </c>
      <c r="G37" s="718">
        <f>huishoudens!F12</f>
        <v>11119.611954285652</v>
      </c>
      <c r="H37" s="718">
        <f>huishoudens!G12</f>
        <v>0</v>
      </c>
      <c r="I37" s="718">
        <f>huishoudens!H12</f>
        <v>0</v>
      </c>
      <c r="J37" s="718">
        <f>huishoudens!I12</f>
        <v>0</v>
      </c>
      <c r="K37" s="718">
        <f>huishoudens!J12</f>
        <v>1901.0323201934712</v>
      </c>
      <c r="L37" s="718">
        <f>huishoudens!K12</f>
        <v>0</v>
      </c>
      <c r="M37" s="718">
        <f>huishoudens!L12</f>
        <v>0</v>
      </c>
      <c r="N37" s="718">
        <f>huishoudens!M12</f>
        <v>0</v>
      </c>
      <c r="O37" s="718">
        <f>huishoudens!N12</f>
        <v>0</v>
      </c>
      <c r="P37" s="718">
        <f>huishoudens!O12</f>
        <v>0</v>
      </c>
      <c r="Q37" s="828">
        <f>huishoudens!P12</f>
        <v>0</v>
      </c>
      <c r="R37" s="917">
        <f ca="1">SUM(C37:Q37)</f>
        <v>32378.536225369473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1289.8018954630968</v>
      </c>
      <c r="D39" s="718">
        <f ca="1">industrie!C22</f>
        <v>0</v>
      </c>
      <c r="E39" s="718">
        <f>industrie!D22</f>
        <v>602.50162980876064</v>
      </c>
      <c r="F39" s="718">
        <f>industrie!E22</f>
        <v>148.23005510354764</v>
      </c>
      <c r="G39" s="718">
        <f>industrie!F22</f>
        <v>574.77045805264197</v>
      </c>
      <c r="H39" s="718">
        <f>industrie!G22</f>
        <v>0</v>
      </c>
      <c r="I39" s="718">
        <f>industrie!H22</f>
        <v>0</v>
      </c>
      <c r="J39" s="718">
        <f>industrie!I22</f>
        <v>0</v>
      </c>
      <c r="K39" s="718">
        <f>industrie!J22</f>
        <v>8.7715290741644267</v>
      </c>
      <c r="L39" s="718">
        <f>industrie!K22</f>
        <v>0</v>
      </c>
      <c r="M39" s="718">
        <f>industrie!L22</f>
        <v>0</v>
      </c>
      <c r="N39" s="718">
        <f>industrie!M22</f>
        <v>0</v>
      </c>
      <c r="O39" s="718">
        <f>industrie!N22</f>
        <v>0</v>
      </c>
      <c r="P39" s="718">
        <f>industrie!O22</f>
        <v>0</v>
      </c>
      <c r="Q39" s="828">
        <f>industrie!P22</f>
        <v>0</v>
      </c>
      <c r="R39" s="918">
        <f ca="1">SUM(C39:Q39)</f>
        <v>2624.075567502211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8436.8929905911209</v>
      </c>
      <c r="D41" s="763">
        <f t="shared" ref="D41:R41" ca="1" si="4">SUM(D35:D40)</f>
        <v>0</v>
      </c>
      <c r="E41" s="763">
        <f t="shared" ca="1" si="4"/>
        <v>14972.024121596205</v>
      </c>
      <c r="F41" s="763">
        <f t="shared" si="4"/>
        <v>2391.6438273834856</v>
      </c>
      <c r="G41" s="763">
        <f t="shared" ca="1" si="4"/>
        <v>12189.245723722281</v>
      </c>
      <c r="H41" s="763">
        <f t="shared" si="4"/>
        <v>0</v>
      </c>
      <c r="I41" s="763">
        <f t="shared" si="4"/>
        <v>0</v>
      </c>
      <c r="J41" s="763">
        <f t="shared" si="4"/>
        <v>0</v>
      </c>
      <c r="K41" s="763">
        <f t="shared" si="4"/>
        <v>1909.814695048846</v>
      </c>
      <c r="L41" s="763">
        <f t="shared" si="4"/>
        <v>0</v>
      </c>
      <c r="M41" s="763">
        <f t="shared" ca="1" si="4"/>
        <v>0</v>
      </c>
      <c r="N41" s="763">
        <f t="shared" si="4"/>
        <v>0</v>
      </c>
      <c r="O41" s="763">
        <f t="shared" ca="1" si="4"/>
        <v>0</v>
      </c>
      <c r="P41" s="763">
        <f t="shared" si="4"/>
        <v>0</v>
      </c>
      <c r="Q41" s="764">
        <f t="shared" si="4"/>
        <v>0</v>
      </c>
      <c r="R41" s="765">
        <f t="shared" ca="1" si="4"/>
        <v>39899.62135834193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197.91279217301118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197.91279217301118</v>
      </c>
    </row>
    <row r="45" spans="1:18" ht="15" thickBot="1">
      <c r="A45" s="888" t="s">
        <v>307</v>
      </c>
      <c r="B45" s="898"/>
      <c r="C45" s="727">
        <f ca="1">transport!B18</f>
        <v>5.6354535868869844</v>
      </c>
      <c r="D45" s="727">
        <f>transport!C18</f>
        <v>0</v>
      </c>
      <c r="E45" s="727">
        <f>transport!D18</f>
        <v>27.987029390531774</v>
      </c>
      <c r="F45" s="727">
        <f>transport!E18</f>
        <v>41.410084558932105</v>
      </c>
      <c r="G45" s="727">
        <f>transport!F18</f>
        <v>0</v>
      </c>
      <c r="H45" s="727">
        <f>transport!G18</f>
        <v>20206.254273490387</v>
      </c>
      <c r="I45" s="727">
        <f>transport!H18</f>
        <v>3871.1465771645799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24152.433418191315</v>
      </c>
    </row>
    <row r="46" spans="1:18" ht="15.75" thickBot="1">
      <c r="A46" s="886" t="s">
        <v>230</v>
      </c>
      <c r="B46" s="899"/>
      <c r="C46" s="763">
        <f t="shared" ref="C46:R46" ca="1" si="5">SUM(C43:C45)</f>
        <v>5.6354535868869844</v>
      </c>
      <c r="D46" s="763">
        <f t="shared" ca="1" si="5"/>
        <v>0</v>
      </c>
      <c r="E46" s="763">
        <f t="shared" si="5"/>
        <v>27.987029390531774</v>
      </c>
      <c r="F46" s="763">
        <f t="shared" si="5"/>
        <v>41.410084558932105</v>
      </c>
      <c r="G46" s="763">
        <f t="shared" si="5"/>
        <v>0</v>
      </c>
      <c r="H46" s="763">
        <f t="shared" si="5"/>
        <v>20404.167065663398</v>
      </c>
      <c r="I46" s="763">
        <f t="shared" si="5"/>
        <v>3871.1465771645799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24350.346210364325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93.250891987310553</v>
      </c>
      <c r="D48" s="718">
        <f ca="1">+landbouw!C12</f>
        <v>0</v>
      </c>
      <c r="E48" s="718">
        <f>+landbouw!D12</f>
        <v>378.77022470494097</v>
      </c>
      <c r="F48" s="718">
        <f>+landbouw!E12</f>
        <v>4.0059928901189021</v>
      </c>
      <c r="G48" s="718">
        <f>+landbouw!F12</f>
        <v>667.82779886460594</v>
      </c>
      <c r="H48" s="718">
        <f>+landbouw!G12</f>
        <v>0</v>
      </c>
      <c r="I48" s="718">
        <f>+landbouw!H12</f>
        <v>0</v>
      </c>
      <c r="J48" s="718">
        <f>+landbouw!I12</f>
        <v>0</v>
      </c>
      <c r="K48" s="718">
        <f>+landbouw!J12</f>
        <v>30.792636574844515</v>
      </c>
      <c r="L48" s="718">
        <f>+landbouw!K12</f>
        <v>0</v>
      </c>
      <c r="M48" s="718">
        <f>+landbouw!L12</f>
        <v>0</v>
      </c>
      <c r="N48" s="718">
        <f>+landbouw!M12</f>
        <v>0</v>
      </c>
      <c r="O48" s="718">
        <f>+landbouw!N12</f>
        <v>0</v>
      </c>
      <c r="P48" s="718">
        <f>+landbouw!O12</f>
        <v>0</v>
      </c>
      <c r="Q48" s="719">
        <f>+landbouw!P12</f>
        <v>0</v>
      </c>
      <c r="R48" s="761">
        <f ca="1">SUM(C48:Q48)</f>
        <v>1174.6475450218209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8535.7793361653185</v>
      </c>
      <c r="D53" s="773">
        <f t="shared" ref="D53:Q53" ca="1" si="6">D41+D46+D48</f>
        <v>0</v>
      </c>
      <c r="E53" s="773">
        <f t="shared" ca="1" si="6"/>
        <v>15378.781375691677</v>
      </c>
      <c r="F53" s="773">
        <f t="shared" si="6"/>
        <v>2437.0599048325362</v>
      </c>
      <c r="G53" s="773">
        <f t="shared" ca="1" si="6"/>
        <v>12857.073522586887</v>
      </c>
      <c r="H53" s="773">
        <f t="shared" si="6"/>
        <v>20404.167065663398</v>
      </c>
      <c r="I53" s="773">
        <f t="shared" si="6"/>
        <v>3871.1465771645799</v>
      </c>
      <c r="J53" s="773">
        <f t="shared" si="6"/>
        <v>0</v>
      </c>
      <c r="K53" s="773">
        <f t="shared" si="6"/>
        <v>1940.6073316236905</v>
      </c>
      <c r="L53" s="773">
        <f t="shared" si="6"/>
        <v>0</v>
      </c>
      <c r="M53" s="773">
        <f t="shared" ca="1" si="6"/>
        <v>0</v>
      </c>
      <c r="N53" s="773">
        <f t="shared" si="6"/>
        <v>0</v>
      </c>
      <c r="O53" s="773">
        <f t="shared" ca="1" si="6"/>
        <v>0</v>
      </c>
      <c r="P53" s="773">
        <f>P41+P46+P48</f>
        <v>0</v>
      </c>
      <c r="Q53" s="774">
        <f t="shared" si="6"/>
        <v>0</v>
      </c>
      <c r="R53" s="775">
        <f ca="1">R41+R46+R48</f>
        <v>65424.615113728076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0.15531499802312898</v>
      </c>
      <c r="D55" s="836">
        <f t="shared" ca="1" si="7"/>
        <v>0</v>
      </c>
      <c r="E55" s="836">
        <f t="shared" ca="1" si="7"/>
        <v>0.20199999999999999</v>
      </c>
      <c r="F55" s="836">
        <f t="shared" si="7"/>
        <v>0.22699999999999995</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11884.239471319184</v>
      </c>
      <c r="C64" s="795">
        <f>'lokale energieproductie'!B4</f>
        <v>11884.239471319184</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4450.1808770656271</v>
      </c>
      <c r="C66" s="795">
        <f>'lokale energieproductie'!B6</f>
        <v>4450.1808770656271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16334.42034838481</v>
      </c>
      <c r="C69" s="803">
        <f>SUM(C64:C68)</f>
        <v>16334.42034838481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34428.389694636164</v>
      </c>
      <c r="C4" s="478">
        <f>huishoudens!C8</f>
        <v>0</v>
      </c>
      <c r="D4" s="478">
        <f>huishoudens!D8</f>
        <v>58420.860603226472</v>
      </c>
      <c r="E4" s="478">
        <f>huishoudens!E8</f>
        <v>9734.065337782702</v>
      </c>
      <c r="F4" s="478">
        <f>huishoudens!F8</f>
        <v>41646.486720170979</v>
      </c>
      <c r="G4" s="478">
        <f>huishoudens!G8</f>
        <v>0</v>
      </c>
      <c r="H4" s="478">
        <f>huishoudens!H8</f>
        <v>0</v>
      </c>
      <c r="I4" s="478">
        <f>huishoudens!I8</f>
        <v>0</v>
      </c>
      <c r="J4" s="478">
        <f>huishoudens!J8</f>
        <v>5370.1477971566983</v>
      </c>
      <c r="K4" s="478">
        <f>huishoudens!K8</f>
        <v>0</v>
      </c>
      <c r="L4" s="478">
        <f>huishoudens!L8</f>
        <v>0</v>
      </c>
      <c r="M4" s="478">
        <f>huishoudens!M8</f>
        <v>0</v>
      </c>
      <c r="N4" s="478">
        <f>huishoudens!N8</f>
        <v>13772.787769982193</v>
      </c>
      <c r="O4" s="478">
        <f>huishoudens!O8</f>
        <v>293.90666666666669</v>
      </c>
      <c r="P4" s="479">
        <f>huishoudens!P8</f>
        <v>1353.7333333333333</v>
      </c>
      <c r="Q4" s="480">
        <f>SUM(B4:P4)</f>
        <v>165020.3779229552</v>
      </c>
    </row>
    <row r="5" spans="1:17">
      <c r="A5" s="477" t="s">
        <v>156</v>
      </c>
      <c r="B5" s="478">
        <f ca="1">tertiair!B16</f>
        <v>10468.884115280458</v>
      </c>
      <c r="C5" s="478">
        <f ca="1">tertiair!C16</f>
        <v>0</v>
      </c>
      <c r="D5" s="478">
        <f ca="1">tertiair!D16</f>
        <v>12715.389356117304</v>
      </c>
      <c r="E5" s="478">
        <f>tertiair!E16</f>
        <v>148.81471631393993</v>
      </c>
      <c r="F5" s="478">
        <f ca="1">tertiair!F16</f>
        <v>1853.4206418875872</v>
      </c>
      <c r="G5" s="478">
        <f>tertiair!G16</f>
        <v>0</v>
      </c>
      <c r="H5" s="478">
        <f>tertiair!H16</f>
        <v>0</v>
      </c>
      <c r="I5" s="478">
        <f>tertiair!I16</f>
        <v>0</v>
      </c>
      <c r="J5" s="478">
        <f>tertiair!J16</f>
        <v>3.0637800029591728E-2</v>
      </c>
      <c r="K5" s="478">
        <f>tertiair!K16</f>
        <v>0</v>
      </c>
      <c r="L5" s="478">
        <f ca="1">tertiair!L16</f>
        <v>0</v>
      </c>
      <c r="M5" s="478">
        <f>tertiair!M16</f>
        <v>0</v>
      </c>
      <c r="N5" s="478">
        <f ca="1">tertiair!N16</f>
        <v>1231.3183922199926</v>
      </c>
      <c r="O5" s="478">
        <f>tertiair!O16</f>
        <v>3.1266666666666669</v>
      </c>
      <c r="P5" s="479">
        <f>tertiair!P16</f>
        <v>19.066666666666666</v>
      </c>
      <c r="Q5" s="477">
        <f t="shared" ref="Q5:Q13" ca="1" si="0">SUM(B5:P5)</f>
        <v>26440.051192952647</v>
      </c>
    </row>
    <row r="6" spans="1:17">
      <c r="A6" s="477" t="s">
        <v>194</v>
      </c>
      <c r="B6" s="478">
        <f>'openbare verlichting'!B8</f>
        <v>1119.4739999999999</v>
      </c>
      <c r="C6" s="478"/>
      <c r="D6" s="478"/>
      <c r="E6" s="478"/>
      <c r="F6" s="478"/>
      <c r="G6" s="478"/>
      <c r="H6" s="478"/>
      <c r="I6" s="478"/>
      <c r="J6" s="478"/>
      <c r="K6" s="478"/>
      <c r="L6" s="478"/>
      <c r="M6" s="478"/>
      <c r="N6" s="478"/>
      <c r="O6" s="478"/>
      <c r="P6" s="479"/>
      <c r="Q6" s="477">
        <f t="shared" si="0"/>
        <v>1119.4739999999999</v>
      </c>
    </row>
    <row r="7" spans="1:17">
      <c r="A7" s="477" t="s">
        <v>112</v>
      </c>
      <c r="B7" s="478">
        <f>landbouw!B8</f>
        <v>600.39850094466703</v>
      </c>
      <c r="C7" s="478">
        <f>landbouw!C8</f>
        <v>0</v>
      </c>
      <c r="D7" s="478">
        <f>landbouw!D8</f>
        <v>1875.1001223016879</v>
      </c>
      <c r="E7" s="478">
        <f>landbouw!E8</f>
        <v>17.647545771448907</v>
      </c>
      <c r="F7" s="478">
        <f>landbouw!F8</f>
        <v>2501.2277111033927</v>
      </c>
      <c r="G7" s="478">
        <f>landbouw!G8</f>
        <v>0</v>
      </c>
      <c r="H7" s="478">
        <f>landbouw!H8</f>
        <v>0</v>
      </c>
      <c r="I7" s="478">
        <f>landbouw!I8</f>
        <v>0</v>
      </c>
      <c r="J7" s="478">
        <f>landbouw!J8</f>
        <v>86.984849081481684</v>
      </c>
      <c r="K7" s="478">
        <f>landbouw!K8</f>
        <v>0</v>
      </c>
      <c r="L7" s="478">
        <f>landbouw!L8</f>
        <v>0</v>
      </c>
      <c r="M7" s="478">
        <f>landbouw!M8</f>
        <v>0</v>
      </c>
      <c r="N7" s="478">
        <f>landbouw!N8</f>
        <v>0</v>
      </c>
      <c r="O7" s="478">
        <f>landbouw!O8</f>
        <v>0</v>
      </c>
      <c r="P7" s="479">
        <f>landbouw!P8</f>
        <v>0</v>
      </c>
      <c r="Q7" s="477">
        <f t="shared" si="0"/>
        <v>5081.3587292026787</v>
      </c>
    </row>
    <row r="8" spans="1:17">
      <c r="A8" s="477" t="s">
        <v>635</v>
      </c>
      <c r="B8" s="478">
        <f>industrie!B18</f>
        <v>8304.4259207409195</v>
      </c>
      <c r="C8" s="478">
        <f>industrie!C18</f>
        <v>0</v>
      </c>
      <c r="D8" s="478">
        <f>industrie!D18</f>
        <v>2982.6813356869338</v>
      </c>
      <c r="E8" s="478">
        <f>industrie!E18</f>
        <v>652.99583746056226</v>
      </c>
      <c r="F8" s="478">
        <f>industrie!F18</f>
        <v>2152.6983447664493</v>
      </c>
      <c r="G8" s="478">
        <f>industrie!G18</f>
        <v>0</v>
      </c>
      <c r="H8" s="478">
        <f>industrie!H18</f>
        <v>0</v>
      </c>
      <c r="I8" s="478">
        <f>industrie!I18</f>
        <v>0</v>
      </c>
      <c r="J8" s="478">
        <f>industrie!J18</f>
        <v>24.778330717978609</v>
      </c>
      <c r="K8" s="478">
        <f>industrie!K18</f>
        <v>0</v>
      </c>
      <c r="L8" s="478">
        <f>industrie!L18</f>
        <v>0</v>
      </c>
      <c r="M8" s="478">
        <f>industrie!M18</f>
        <v>0</v>
      </c>
      <c r="N8" s="478">
        <f>industrie!N18</f>
        <v>1956.7702777190188</v>
      </c>
      <c r="O8" s="478">
        <f>industrie!O18</f>
        <v>0</v>
      </c>
      <c r="P8" s="479">
        <f>industrie!P18</f>
        <v>0</v>
      </c>
      <c r="Q8" s="477">
        <f t="shared" si="0"/>
        <v>16074.350047091863</v>
      </c>
    </row>
    <row r="9" spans="1:17" s="483" customFormat="1">
      <c r="A9" s="481" t="s">
        <v>561</v>
      </c>
      <c r="B9" s="482">
        <f>transport!B14</f>
        <v>36.284027032906202</v>
      </c>
      <c r="C9" s="482"/>
      <c r="D9" s="482">
        <f>transport!D14</f>
        <v>138.54965044817709</v>
      </c>
      <c r="E9" s="482">
        <f>transport!E14</f>
        <v>182.42327999529562</v>
      </c>
      <c r="F9" s="482"/>
      <c r="G9" s="482">
        <f>transport!G14</f>
        <v>75678.854956892828</v>
      </c>
      <c r="H9" s="482">
        <f>transport!H14</f>
        <v>15546.773402267389</v>
      </c>
      <c r="I9" s="482"/>
      <c r="J9" s="482"/>
      <c r="K9" s="482"/>
      <c r="L9" s="482"/>
      <c r="M9" s="482">
        <f>transport!M14</f>
        <v>4883.0125526334186</v>
      </c>
      <c r="N9" s="482"/>
      <c r="O9" s="482"/>
      <c r="P9" s="482"/>
      <c r="Q9" s="481">
        <f>SUM(B9:P9)</f>
        <v>96465.897869270004</v>
      </c>
    </row>
    <row r="10" spans="1:17">
      <c r="A10" s="477" t="s">
        <v>551</v>
      </c>
      <c r="B10" s="478">
        <f>transport!B54</f>
        <v>0</v>
      </c>
      <c r="C10" s="478"/>
      <c r="D10" s="478">
        <f>transport!D54</f>
        <v>0</v>
      </c>
      <c r="E10" s="478"/>
      <c r="F10" s="478"/>
      <c r="G10" s="478">
        <f>transport!G54</f>
        <v>741.24641263300066</v>
      </c>
      <c r="H10" s="478"/>
      <c r="I10" s="478"/>
      <c r="J10" s="478"/>
      <c r="K10" s="478"/>
      <c r="L10" s="478"/>
      <c r="M10" s="478">
        <f>transport!M54</f>
        <v>42.099523948646073</v>
      </c>
      <c r="N10" s="478"/>
      <c r="O10" s="478"/>
      <c r="P10" s="479"/>
      <c r="Q10" s="477">
        <f t="shared" si="0"/>
        <v>783.3459365816467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54957.856258635118</v>
      </c>
      <c r="C14" s="488">
        <f t="shared" ref="C14:Q14" ca="1" si="1">SUM(C4:C13)</f>
        <v>0</v>
      </c>
      <c r="D14" s="488">
        <f t="shared" ca="1" si="1"/>
        <v>76132.581067780586</v>
      </c>
      <c r="E14" s="488">
        <f t="shared" si="1"/>
        <v>10735.94671732395</v>
      </c>
      <c r="F14" s="488">
        <f t="shared" ca="1" si="1"/>
        <v>48153.833417928399</v>
      </c>
      <c r="G14" s="488">
        <f t="shared" si="1"/>
        <v>76420.10136952583</v>
      </c>
      <c r="H14" s="488">
        <f t="shared" si="1"/>
        <v>15546.773402267389</v>
      </c>
      <c r="I14" s="488">
        <f t="shared" si="1"/>
        <v>0</v>
      </c>
      <c r="J14" s="488">
        <f t="shared" si="1"/>
        <v>5481.9416147561888</v>
      </c>
      <c r="K14" s="488">
        <f t="shared" si="1"/>
        <v>0</v>
      </c>
      <c r="L14" s="488">
        <f t="shared" ca="1" si="1"/>
        <v>0</v>
      </c>
      <c r="M14" s="488">
        <f t="shared" si="1"/>
        <v>4925.1120765820651</v>
      </c>
      <c r="N14" s="488">
        <f t="shared" ca="1" si="1"/>
        <v>16960.876439921205</v>
      </c>
      <c r="O14" s="488">
        <f t="shared" si="1"/>
        <v>297.03333333333336</v>
      </c>
      <c r="P14" s="489">
        <f t="shared" si="1"/>
        <v>1372.8</v>
      </c>
      <c r="Q14" s="489">
        <f t="shared" ca="1" si="1"/>
        <v>310984.85569805402</v>
      </c>
    </row>
    <row r="16" spans="1:17">
      <c r="A16" s="491" t="s">
        <v>556</v>
      </c>
      <c r="B16" s="841">
        <f ca="1">huishoudens!B10</f>
        <v>0.15531499802312895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5347.2452773619289</v>
      </c>
      <c r="C21" s="478">
        <f t="shared" ref="C21:C28" ca="1" si="3">C4*$C$16</f>
        <v>0</v>
      </c>
      <c r="D21" s="478">
        <f t="shared" ref="D21:D30" si="4">D4*$D$16</f>
        <v>11801.013841851749</v>
      </c>
      <c r="E21" s="478">
        <f t="shared" ref="E21:E30" si="5">E4*$E$16</f>
        <v>2209.6328316766735</v>
      </c>
      <c r="F21" s="478">
        <f t="shared" ref="F21:F28" si="6">F4*$F$16</f>
        <v>11119.611954285652</v>
      </c>
      <c r="G21" s="478">
        <f t="shared" ref="G21:G30" si="7">G4*$G$16</f>
        <v>0</v>
      </c>
      <c r="H21" s="478">
        <f t="shared" ref="H21:H30" si="8">H4*$H$16</f>
        <v>0</v>
      </c>
      <c r="I21" s="478">
        <f t="shared" ref="I21:I28" si="9">I4*$I$16</f>
        <v>0</v>
      </c>
      <c r="J21" s="478">
        <f t="shared" ref="J21:J28" si="10">J4*$J$16</f>
        <v>1901.0323201934712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32378.536225369473</v>
      </c>
    </row>
    <row r="22" spans="1:17">
      <c r="A22" s="477" t="s">
        <v>156</v>
      </c>
      <c r="B22" s="478">
        <f t="shared" ca="1" si="2"/>
        <v>1625.9747156691503</v>
      </c>
      <c r="C22" s="478">
        <f t="shared" ca="1" si="3"/>
        <v>0</v>
      </c>
      <c r="D22" s="478">
        <f t="shared" ca="1" si="4"/>
        <v>2568.5086499356958</v>
      </c>
      <c r="E22" s="478">
        <f t="shared" si="5"/>
        <v>33.780940603264362</v>
      </c>
      <c r="F22" s="478">
        <f t="shared" ca="1" si="6"/>
        <v>494.86331138398583</v>
      </c>
      <c r="G22" s="478">
        <f t="shared" si="7"/>
        <v>0</v>
      </c>
      <c r="H22" s="478">
        <f t="shared" si="8"/>
        <v>0</v>
      </c>
      <c r="I22" s="478">
        <f t="shared" si="9"/>
        <v>0</v>
      </c>
      <c r="J22" s="478">
        <f t="shared" si="10"/>
        <v>1.0845781210475471E-2</v>
      </c>
      <c r="K22" s="478">
        <f t="shared" si="11"/>
        <v>0</v>
      </c>
      <c r="L22" s="478">
        <f t="shared" ca="1" si="12"/>
        <v>0</v>
      </c>
      <c r="M22" s="478">
        <f t="shared" si="13"/>
        <v>0</v>
      </c>
      <c r="N22" s="478">
        <f t="shared" ca="1" si="14"/>
        <v>0</v>
      </c>
      <c r="O22" s="478">
        <f t="shared" si="15"/>
        <v>0</v>
      </c>
      <c r="P22" s="479">
        <f t="shared" si="16"/>
        <v>0</v>
      </c>
      <c r="Q22" s="477">
        <f t="shared" ref="Q22:Q30" ca="1" si="17">SUM(B22:P22)</f>
        <v>4723.1384633733069</v>
      </c>
    </row>
    <row r="23" spans="1:17">
      <c r="A23" s="477" t="s">
        <v>194</v>
      </c>
      <c r="B23" s="478">
        <f t="shared" ca="1" si="2"/>
        <v>173.87110209694424</v>
      </c>
      <c r="C23" s="478"/>
      <c r="D23" s="478"/>
      <c r="E23" s="478"/>
      <c r="F23" s="478"/>
      <c r="G23" s="478"/>
      <c r="H23" s="478"/>
      <c r="I23" s="478"/>
      <c r="J23" s="478"/>
      <c r="K23" s="478"/>
      <c r="L23" s="478"/>
      <c r="M23" s="478"/>
      <c r="N23" s="478"/>
      <c r="O23" s="478"/>
      <c r="P23" s="479"/>
      <c r="Q23" s="477">
        <f t="shared" ca="1" si="17"/>
        <v>173.87110209694424</v>
      </c>
    </row>
    <row r="24" spans="1:17">
      <c r="A24" s="477" t="s">
        <v>112</v>
      </c>
      <c r="B24" s="478">
        <f t="shared" ca="1" si="2"/>
        <v>93.250891987310553</v>
      </c>
      <c r="C24" s="478">
        <f t="shared" ca="1" si="3"/>
        <v>0</v>
      </c>
      <c r="D24" s="478">
        <f t="shared" si="4"/>
        <v>378.77022470494097</v>
      </c>
      <c r="E24" s="478">
        <f t="shared" si="5"/>
        <v>4.0059928901189021</v>
      </c>
      <c r="F24" s="478">
        <f t="shared" si="6"/>
        <v>667.82779886460594</v>
      </c>
      <c r="G24" s="478">
        <f t="shared" si="7"/>
        <v>0</v>
      </c>
      <c r="H24" s="478">
        <f t="shared" si="8"/>
        <v>0</v>
      </c>
      <c r="I24" s="478">
        <f t="shared" si="9"/>
        <v>0</v>
      </c>
      <c r="J24" s="478">
        <f t="shared" si="10"/>
        <v>30.792636574844515</v>
      </c>
      <c r="K24" s="478">
        <f t="shared" si="11"/>
        <v>0</v>
      </c>
      <c r="L24" s="478">
        <f t="shared" si="12"/>
        <v>0</v>
      </c>
      <c r="M24" s="478">
        <f t="shared" si="13"/>
        <v>0</v>
      </c>
      <c r="N24" s="478">
        <f t="shared" si="14"/>
        <v>0</v>
      </c>
      <c r="O24" s="478">
        <f t="shared" si="15"/>
        <v>0</v>
      </c>
      <c r="P24" s="479">
        <f t="shared" si="16"/>
        <v>0</v>
      </c>
      <c r="Q24" s="477">
        <f t="shared" ca="1" si="17"/>
        <v>1174.6475450218209</v>
      </c>
    </row>
    <row r="25" spans="1:17">
      <c r="A25" s="477" t="s">
        <v>635</v>
      </c>
      <c r="B25" s="478">
        <f t="shared" ca="1" si="2"/>
        <v>1289.8018954630968</v>
      </c>
      <c r="C25" s="478">
        <f t="shared" ca="1" si="3"/>
        <v>0</v>
      </c>
      <c r="D25" s="478">
        <f t="shared" si="4"/>
        <v>602.50162980876064</v>
      </c>
      <c r="E25" s="478">
        <f t="shared" si="5"/>
        <v>148.23005510354764</v>
      </c>
      <c r="F25" s="478">
        <f t="shared" si="6"/>
        <v>574.77045805264197</v>
      </c>
      <c r="G25" s="478">
        <f t="shared" si="7"/>
        <v>0</v>
      </c>
      <c r="H25" s="478">
        <f t="shared" si="8"/>
        <v>0</v>
      </c>
      <c r="I25" s="478">
        <f t="shared" si="9"/>
        <v>0</v>
      </c>
      <c r="J25" s="478">
        <f t="shared" si="10"/>
        <v>8.7715290741644267</v>
      </c>
      <c r="K25" s="478">
        <f t="shared" si="11"/>
        <v>0</v>
      </c>
      <c r="L25" s="478">
        <f t="shared" si="12"/>
        <v>0</v>
      </c>
      <c r="M25" s="478">
        <f t="shared" si="13"/>
        <v>0</v>
      </c>
      <c r="N25" s="478">
        <f t="shared" si="14"/>
        <v>0</v>
      </c>
      <c r="O25" s="478">
        <f t="shared" si="15"/>
        <v>0</v>
      </c>
      <c r="P25" s="479">
        <f t="shared" si="16"/>
        <v>0</v>
      </c>
      <c r="Q25" s="477">
        <f t="shared" ca="1" si="17"/>
        <v>2624.075567502211</v>
      </c>
    </row>
    <row r="26" spans="1:17" s="483" customFormat="1">
      <c r="A26" s="481" t="s">
        <v>561</v>
      </c>
      <c r="B26" s="835">
        <f t="shared" ca="1" si="2"/>
        <v>5.6354535868869844</v>
      </c>
      <c r="C26" s="482"/>
      <c r="D26" s="482">
        <f t="shared" si="4"/>
        <v>27.987029390531774</v>
      </c>
      <c r="E26" s="482">
        <f t="shared" si="5"/>
        <v>41.410084558932105</v>
      </c>
      <c r="F26" s="482"/>
      <c r="G26" s="482">
        <f t="shared" si="7"/>
        <v>20206.254273490387</v>
      </c>
      <c r="H26" s="482">
        <f t="shared" si="8"/>
        <v>3871.1465771645799</v>
      </c>
      <c r="I26" s="482"/>
      <c r="J26" s="482"/>
      <c r="K26" s="482"/>
      <c r="L26" s="482"/>
      <c r="M26" s="482">
        <f t="shared" si="13"/>
        <v>0</v>
      </c>
      <c r="N26" s="482"/>
      <c r="O26" s="482"/>
      <c r="P26" s="493"/>
      <c r="Q26" s="481">
        <f t="shared" ca="1" si="17"/>
        <v>24152.433418191315</v>
      </c>
    </row>
    <row r="27" spans="1:17">
      <c r="A27" s="477" t="s">
        <v>551</v>
      </c>
      <c r="B27" s="478">
        <f t="shared" ca="1" si="2"/>
        <v>0</v>
      </c>
      <c r="C27" s="478"/>
      <c r="D27" s="482">
        <f t="shared" si="4"/>
        <v>0</v>
      </c>
      <c r="E27" s="478"/>
      <c r="F27" s="478"/>
      <c r="G27" s="478">
        <f t="shared" si="7"/>
        <v>197.91279217301118</v>
      </c>
      <c r="H27" s="478"/>
      <c r="I27" s="478"/>
      <c r="J27" s="478"/>
      <c r="K27" s="478"/>
      <c r="L27" s="478"/>
      <c r="M27" s="478">
        <f t="shared" si="13"/>
        <v>0</v>
      </c>
      <c r="N27" s="478"/>
      <c r="O27" s="478"/>
      <c r="P27" s="479"/>
      <c r="Q27" s="477">
        <f t="shared" ca="1" si="17"/>
        <v>197.91279217301118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8535.7793361653166</v>
      </c>
      <c r="C31" s="488">
        <f t="shared" ca="1" si="18"/>
        <v>0</v>
      </c>
      <c r="D31" s="488">
        <f t="shared" ca="1" si="18"/>
        <v>15378.781375691677</v>
      </c>
      <c r="E31" s="488">
        <f t="shared" si="18"/>
        <v>2437.0599048325362</v>
      </c>
      <c r="F31" s="488">
        <f t="shared" ca="1" si="18"/>
        <v>12857.073522586887</v>
      </c>
      <c r="G31" s="488">
        <f t="shared" si="18"/>
        <v>20404.167065663398</v>
      </c>
      <c r="H31" s="488">
        <f t="shared" si="18"/>
        <v>3871.1465771645799</v>
      </c>
      <c r="I31" s="488">
        <f t="shared" si="18"/>
        <v>0</v>
      </c>
      <c r="J31" s="488">
        <f t="shared" si="18"/>
        <v>1940.6073316236905</v>
      </c>
      <c r="K31" s="488">
        <f t="shared" si="18"/>
        <v>0</v>
      </c>
      <c r="L31" s="488">
        <f t="shared" ca="1" si="18"/>
        <v>0</v>
      </c>
      <c r="M31" s="488">
        <f t="shared" si="18"/>
        <v>0</v>
      </c>
      <c r="N31" s="488">
        <f t="shared" ca="1" si="18"/>
        <v>0</v>
      </c>
      <c r="O31" s="488">
        <f t="shared" si="18"/>
        <v>0</v>
      </c>
      <c r="P31" s="489">
        <f t="shared" si="18"/>
        <v>0</v>
      </c>
      <c r="Q31" s="489">
        <f t="shared" ca="1" si="18"/>
        <v>65424.615113728076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0.15531499802312895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0.15531499802312895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0.15531499802312895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2019-01-01T21:20:17Z</dcterms:modified>
</cp:coreProperties>
</file>