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J15"/>
  <c r="C13" i="15"/>
  <c r="C16" s="1"/>
  <c r="L6" i="17"/>
  <c r="L5" s="1"/>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I20" i="15" l="1"/>
  <c r="J36" i="14" s="1"/>
  <c r="J41" s="1"/>
  <c r="J53" s="1"/>
  <c r="K28" i="48"/>
  <c r="E28"/>
  <c r="H25"/>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17" i="49" l="1"/>
  <c r="C29" i="20"/>
  <c r="C17" i="19"/>
  <c r="C19" s="1"/>
  <c r="D35" i="14" s="1"/>
  <c r="C20" i="16"/>
  <c r="C22" s="1"/>
  <c r="D39" i="14" s="1"/>
  <c r="C18" i="15"/>
  <c r="C20" s="1"/>
  <c r="D36" i="14" s="1"/>
  <c r="C16" i="22"/>
  <c r="C10" i="17"/>
  <c r="C12" s="1"/>
  <c r="D48" i="14" s="1"/>
  <c r="C56" i="22"/>
  <c r="C58" s="1"/>
  <c r="D44" i="14" s="1"/>
  <c r="D46" s="1"/>
  <c r="C10" i="13"/>
  <c r="C16" i="48" s="1"/>
  <c r="Q5"/>
  <c r="E22" i="16"/>
  <c r="F39" i="14" s="1"/>
  <c r="F41" s="1"/>
  <c r="F53" s="1"/>
  <c r="K13"/>
  <c r="K15" s="1"/>
  <c r="K23" s="1"/>
  <c r="G13"/>
  <c r="G15" s="1"/>
  <c r="G23" s="1"/>
  <c r="N8" i="48"/>
  <c r="N25" s="1"/>
  <c r="N31"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<sst xmlns="http://schemas.openxmlformats.org/spreadsheetml/2006/main" count="2106" uniqueCount="849">
  <si>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</si>
  <si>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</si>
  <si>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</si>
  <si>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</si>
  <si>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</si>
  <si>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</si>
  <si>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</si>
  <si>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</si>
  <si>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</si>
  <si>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</si>
  <si>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</si>
  <si>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</si>
  <si>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</si>
  <si>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</si>
  <si>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</si>
  <si>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</si>
  <si>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</si>
  <si>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</si>
  <si>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</si>
  <si>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</si>
  <si>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</si>
  <si>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</si>
  <si>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</si>
  <si>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</si>
  <si>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</si>
  <si>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</si>
  <si>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</si>
  <si>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</si>
  <si>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</si>
  <si>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</si>
  <si>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</si>
  <si>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</si>
  <si>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</si>
  <si>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</si>
  <si>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</si>
  <si>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</si>
  <si>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</si>
  <si>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</si>
  <si>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</si>
  <si>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</si>
  <si>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</si>
  <si>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</si>
  <si>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</si>
  <si>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</si>
  <si>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</si>
  <si>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</si>
  <si>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</si>
  <si>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</si>
  <si>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</si>
  <si>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</si>
  <si>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</si>
  <si>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</si>
  <si>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</si>
  <si>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</si>
  <si>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</si>
  <si>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</si>
  <si>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</si>
  <si>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</si>
  <si>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</si>
  <si>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</si>
  <si>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</si>
  <si>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</si>
  <si>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</si>
  <si>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</si>
  <si>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</si>
  <si>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</si>
  <si>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</si>
  <si>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</si>
  <si>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</si>
  <si>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</si>
  <si>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</si>
  <si>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</si>
  <si>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</si>
  <si>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</si>
  <si>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</si>
  <si>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</si>
  <si>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</si>
  <si>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</si>
  <si>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</si>
  <si>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</si>
  <si>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</si>
  <si>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</si>
  <si>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</si>
  <si>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</si>
  <si>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</si>
  <si>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</si>
  <si>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</si>
  <si>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</si>
  <si>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</si>
  <si>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</si>
  <si>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</si>
  <si>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</si>
  <si>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</si>
  <si>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</si>
  <si>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</si>
  <si>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</si>
  <si>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</si>
  <si>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</si>
  <si>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</si>
  <si>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</si>
  <si>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</si>
  <si>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</si>
  <si>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</si>
  <si>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</si>
  <si>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</si>
  <si>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</si>
  <si>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</si>
  <si>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</si>
  <si>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</si>
  <si>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</si>
  <si>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</si>
  <si>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</si>
  <si>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</si>
  <si>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</si>
  <si>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</si>
  <si>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</si>
  <si>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</si>
  <si>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</si>
  <si>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</si>
  <si>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</si>
  <si>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</si>
  <si>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</si>
  <si>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</si>
  <si>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</si>
  <si>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</si>
  <si>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</si>
  <si>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</si>
  <si>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</si>
  <si>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</si>
  <si>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</si>
  <si>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</si>
  <si>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</si>
  <si>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</si>
  <si>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</si>
  <si>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</si>
  <si>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</si>
  <si>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</si>
  <si>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</si>
  <si>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</si>
  <si>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</si>
  <si>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</si>
  <si>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</si>
  <si>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</si>
  <si>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</si>
  <si>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</si>
  <si>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</si>
  <si>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</si>
  <si>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</si>
  <si>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</si>
  <si>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</si>
  <si>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</si>
  <si>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</si>
  <si>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</si>
  <si>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</si>
  <si>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</si>
  <si>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</si>
  <si>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</si>
  <si>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</si>
  <si>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</si>
  <si>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</si>
  <si>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</si>
  <si>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</si>
  <si>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</si>
  <si>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</si>
  <si>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</si>
  <si>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</si>
  <si>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</si>
  <si>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</si>
  <si>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</si>
  <si>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</si>
  <si>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</si>
  <si>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</si>
  <si>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</si>
  <si>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</si>
  <si>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</si>
  <si>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</si>
  <si>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</si>
  <si>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</si>
  <si>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</si>
  <si>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</si>
  <si>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</si>
  <si>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</si>
  <si>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</si>
  <si>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</si>
  <si>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</si>
  <si>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</si>
  <si>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</si>
  <si>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</si>
  <si>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</si>
  <si>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</si>
  <si>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</si>
  <si>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</si>
  <si>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</si>
  <si>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</si>
  <si>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</si>
  <si>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</si>
  <si>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</si>
  <si>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</si>
  <si>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</si>
  <si>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</si>
  <si>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</si>
  <si>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</si>
  <si>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</si>
  <si>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</si>
  <si>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</si>
  <si>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</si>
  <si>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</si>
  <si>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</si>
  <si>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</si>
  <si>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</si>
  <si>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</si>
  <si>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</si>
  <si>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</si>
  <si>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</si>
  <si>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</si>
  <si>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</si>
  <si>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</si>
  <si>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</si>
  <si>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</si>
  <si>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</si>
  <si>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</si>
  <si>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</si>
  <si>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</si>
  <si>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</si>
  <si>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</si>
  <si>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</si>
  <si>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</si>
  <si>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</si>
  <si>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</si>
  <si>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</si>
  <si>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</si>
  <si>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</si>
  <si>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</si>
  <si>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</si>
  <si>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</si>
  <si>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</si>
  <si>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</si>
  <si>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</si>
  <si>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</si>
  <si>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</si>
  <si>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</si>
  <si>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</si>
  <si>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</si>
  <si>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</si>
  <si>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</si>
  <si>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</si>
  <si>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</si>
  <si>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</si>
  <si>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</si>
  <si>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</si>
  <si>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</si>
  <si>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</si>
  <si>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</si>
  <si>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</si>
  <si>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</si>
  <si>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</si>
  <si>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</si>
  <si>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</si>
  <si>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</si>
  <si>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</si>
  <si>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</si>
  <si>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</si>
  <si>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</si>
  <si>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</si>
  <si>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</si>
  <si>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</si>
  <si>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</si>
  <si>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</si>
  <si>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</si>
  <si>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</si>
  <si>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</si>
  <si>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</si>
  <si>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</si>
  <si>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</si>
  <si>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</si>
  <si>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</si>
  <si>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</si>
  <si>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</si>
  <si>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</si>
  <si>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</si>
  <si>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</si>
  <si>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</si>
  <si>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</si>
  <si>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</si>
  <si>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</si>
  <si>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</si>
  <si>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</si>
  <si>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</si>
  <si>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</si>
  <si>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</si>
  <si>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</si>
  <si>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</si>
  <si>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</si>
  <si>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</si>
  <si>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</si>
  <si>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</si>
  <si>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</si>
  <si>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</si>
  <si>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</si>
  <si>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</si>
  <si>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</si>
  <si>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</si>
  <si>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</si>
  <si>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</si>
  <si>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</si>
  <si>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</si>
  <si>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</si>
  <si>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</si>
  <si>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</si>
  <si>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</si>
  <si>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</si>
  <si>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</si>
  <si>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</si>
  <si>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</si>
  <si>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</si>
  <si>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</si>
  <si>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</si>
  <si>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</si>
  <si>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</si>
  <si>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</si>
  <si>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</si>
  <si>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</si>
  <si>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</si>
  <si>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</si>
  <si>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</si>
  <si>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</si>
  <si>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</si>
  <si>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</si>
  <si>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</si>
  <si>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</si>
  <si>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</si>
  <si>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</si>
  <si>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</si>
  <si>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</si>
  <si>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</si>
  <si>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</si>
  <si>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</si>
  <si>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</si>
  <si>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</si>
  <si>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</si>
  <si>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</si>
  <si>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</si>
  <si>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</si>
  <si>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</si>
  <si>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</si>
  <si>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</si>
  <si>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</si>
  <si>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</si>
  <si>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</si>
  <si>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</si>
  <si>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</si>
  <si>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</si>
  <si>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</si>
  <si>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</si>
  <si>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</si>
  <si>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</si>
  <si>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</si>
  <si>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</si>
  <si>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</si>
  <si>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</si>
  <si>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</si>
  <si>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</si>
  <si>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</si>
  <si>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</si>
  <si>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</si>
  <si>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</si>
  <si>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</si>
  <si>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</si>
  <si>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</si>
  <si>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</si>
  <si>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</si>
  <si>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</si>
  <si>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</si>
  <si>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</si>
  <si>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</si>
  <si>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</si>
  <si>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</si>
  <si>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</si>
  <si>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</si>
  <si>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</si>
  <si>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</si>
  <si>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</si>
  <si>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</si>
  <si>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</si>
  <si>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</si>
  <si>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</si>
  <si>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</si>
  <si>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</si>
  <si>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</si>
  <si>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</si>
  <si>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</si>
  <si>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</si>
  <si>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</si>
  <si>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</si>
  <si>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</si>
  <si>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</si>
  <si>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</si>
  <si>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</si>
  <si>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</si>
  <si>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</si>
  <si>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</si>
  <si>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</si>
  <si>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</si>
  <si>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</si>
  <si>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</si>
  <si>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</si>
  <si>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</si>
  <si>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</si>
  <si>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</si>
  <si>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</si>
  <si>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</si>
  <si>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</si>
  <si>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</si>
  <si>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</si>
  <si>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</si>
  <si>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</si>
  <si>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</si>
  <si>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</si>
  <si>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</si>
  <si>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</si>
  <si>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</si>
  <si>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</si>
  <si>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</si>
  <si>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</si>
  <si>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</si>
  <si>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</si>
  <si>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</si>
  <si>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</si>
  <si>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</si>
  <si>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</si>
  <si>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</si>
  <si>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</si>
  <si>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</si>
  <si>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</si>
  <si>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</si>
  <si>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</si>
  <si>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</si>
  <si>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</si>
  <si>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</si>
  <si>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</si>
  <si>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</si>
  <si>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</si>
  <si>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</si>
  <si>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</si>
  <si>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</si>
  <si>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</si>
  <si>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</si>
  <si>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</si>
  <si>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</si>
  <si>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</si>
  <si>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</si>
  <si>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</si>
  <si>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</si>
  <si>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</si>
  <si>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</si>
  <si>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</si>
  <si>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</si>
  <si>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</si>
  <si>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</si>
  <si>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</si>
  <si>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</si>
  <si>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</si>
  <si>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</si>
  <si>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</si>
  <si>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</si>
  <si>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</si>
  <si>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</si>
  <si>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</si>
  <si>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</si>
  <si>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</si>
  <si>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</si>
  <si>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</si>
  <si>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</si>
  <si>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</si>
  <si>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</si>
  <si>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</si>
  <si>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</si>
  <si>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</si>
  <si>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</si>
  <si>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</si>
  <si>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</si>
  <si>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</si>
  <si>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</si>
  <si>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</si>
  <si>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</si>
  <si>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</si>
  <si>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</si>
  <si>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</si>
  <si>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</si>
  <si>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</si>
  <si>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</si>
  <si>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</si>
  <si>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</si>
  <si>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</si>
  <si>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</si>
  <si>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</si>
  <si>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</si>
  <si>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</si>
  <si>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</si>
  <si>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</si>
  <si>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</si>
  <si>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</si>
  <si>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</si>
  <si>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</si>
  <si>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</si>
  <si>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</si>
  <si>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</si>
  <si>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</si>
  <si>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</si>
  <si>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</si>
  <si>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</si>
  <si>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</si>
  <si>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</si>
  <si>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</si>
  <si>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</si>
  <si>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</si>
  <si>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</si>
  <si>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</si>
  <si>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</si>
  <si>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</si>
  <si>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</si>
  <si>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</si>
  <si>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</si>
  <si>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</si>
  <si>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</si>
  <si>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</si>
  <si>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</si>
  <si>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</si>
  <si>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</si>
  <si>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</si>
  <si>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</si>
  <si>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</si>
  <si>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</si>
  <si>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</si>
  <si>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</si>
  <si>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</si>
  <si>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</si>
  <si>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</si>
  <si>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</si>
  <si>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</si>
  <si>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</si>
  <si>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</si>
  <si>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</si>
  <si>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</si>
  <si>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</si>
  <si>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</si>
  <si>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</si>
  <si>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</si>
  <si>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</si>
  <si>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</si>
  <si>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</si>
  <si>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</si>
  <si>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</si>
  <si>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</si>
  <si>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</si>
  <si>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</si>
  <si>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</si>
  <si>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</si>
  <si>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</si>
  <si>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</si>
  <si>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</si>
  <si>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</si>
  <si>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</si>
  <si>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</si>
  <si>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</si>
  <si>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</si>
  <si>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</si>
  <si>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</si>
  <si>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</si>
  <si>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</si>
  <si>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</si>
  <si>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</si>
  <si>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</si>
  <si>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</si>
  <si>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</si>
  <si>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</si>
  <si>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</si>
  <si>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</si>
  <si>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</si>
  <si>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</si>
  <si>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</si>
  <si>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</si>
  <si>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</si>
  <si>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</si>
  <si>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</si>
  <si>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</si>
  <si>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</si>
  <si>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</si>
  <si>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</si>
  <si>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</si>
  <si>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</si>
  <si>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</si>
  <si>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</si>
  <si>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</si>
  <si>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</si>
  <si>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</si>
  <si>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</si>
  <si>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</si>
  <si>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</si>
  <si>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</si>
  <si>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</si>
  <si>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</si>
  <si>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</si>
  <si>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</si>
  <si>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</si>
  <si>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</si>
  <si>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</si>
  <si>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</si>
  <si>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</si>
  <si>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</si>
  <si>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</si>
  <si>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</si>
  <si>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</si>
  <si>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</si>
  <si>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</si>
  <si>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</si>
  <si>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</si>
  <si>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</si>
  <si>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</si>
  <si>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</si>
  <si>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</si>
  <si>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</si>
  <si>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</si>
  <si>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</si>
  <si>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</si>
  <si>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</si>
  <si>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</si>
  <si>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</si>
  <si>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</si>
  <si>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</si>
  <si>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</si>
  <si>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</si>
  <si>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</si>
  <si>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</si>
  <si>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</si>
  <si>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</si>
  <si>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</si>
  <si>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</si>
  <si>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</si>
  <si>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</si>
  <si>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</si>
  <si>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</si>
  <si>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</si>
  <si>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</si>
  <si>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</si>
  <si>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</si>
  <si>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</si>
  <si>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</si>
  <si>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</si>
  <si>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</si>
  <si>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</si>
  <si>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</si>
  <si>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</si>
  <si>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</si>
  <si>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</si>
  <si>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</si>
  <si>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</si>
  <si>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</si>
  <si>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</si>
  <si>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</si>
  <si>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</si>
  <si>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</si>
  <si>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</si>
  <si>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</si>
  <si>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</si>
  <si>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</si>
  <si>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</si>
  <si>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</si>
  <si>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</si>
  <si>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</si>
  <si>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</si>
  <si>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</si>
  <si>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</si>
  <si>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</si>
  <si>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</si>
  <si>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</si>
  <si>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</si>
  <si>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</si>
  <si>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</si>
  <si>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</si>
  <si>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</si>
  <si>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</si>
  <si>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</si>
  <si>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</si>
  <si>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</si>
  <si>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</si>
  <si>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</si>
  <si>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</si>
  <si>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</si>
  <si>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</si>
  <si>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</si>
  <si>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</si>
  <si>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</si>
  <si>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</si>
  <si>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</si>
  <si>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</si>
  <si>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</si>
  <si>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</si>
  <si>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</si>
  <si>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</si>
  <si>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</si>
  <si>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</si>
  <si>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</si>
  <si>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</si>
  <si>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</si>
  <si>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</si>
  <si>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</si>
  <si>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</si>
  <si>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</si>
  <si>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</si>
  <si>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</si>
  <si>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</si>
  <si>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</si>
  <si>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</si>
  <si>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</si>
  <si>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</si>
  <si>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</si>
  <si>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</si>
  <si>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</si>
  <si>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</si>
  <si>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</si>
  <si>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</si>
  <si>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</si>
  <si>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</si>
  <si>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</si>
  <si>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</si>
  <si>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</si>
  <si>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</si>
  <si>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</si>
  <si>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</si>
  <si>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</si>
  <si>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</si>
  <si>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</si>
  <si>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</si>
  <si>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</si>
  <si>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</si>
  <si>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</si>
  <si>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</si>
  <si>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</si>
  <si>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</si>
  <si>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</si>
  <si>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</si>
  <si>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</si>
  <si>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</si>
  <si>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</si>
  <si>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</si>
  <si>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</si>
  <si>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</si>
  <si>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</si>
  <si>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</si>
  <si>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</si>
  <si>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</si>
  <si>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</si>
  <si>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</si>
  <si>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</si>
  <si>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</si>
  <si>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</si>
  <si>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</si>
  <si>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</si>
  <si>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</si>
  <si>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</si>
  <si>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</si>
  <si>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</si>
  <si>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</si>
  <si>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</si>
  <si>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</si>
  <si>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</si>
  <si>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</si>
  <si>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</si>
  <si>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</si>
  <si>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</si>
  <si>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</si>
  <si>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</si>
  <si>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</si>
  <si>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</si>
  <si>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</si>
  <si>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</si>
  <si>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</si>
  <si>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</si>
  <si>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</si>
  <si>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</si>
  <si>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</si>
  <si>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</si>
  <si>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</si>
  <si>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</si>
  <si>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</si>
  <si>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</si>
  <si>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</si>
  <si>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</si>
  <si>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</si>
  <si>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</si>
  <si>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</si>
  <si>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</si>
  <si>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</si>
  <si>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</si>
  <si>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</si>
  <si>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</si>
  <si>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</si>
  <si>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</si>
  <si>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</si>
  <si>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</si>
  <si>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</si>
  <si>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</si>
  <si>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</si>
  <si>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</si>
  <si>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</si>
  <si>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</si>
  <si>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</si>
  <si>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</si>
  <si>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</si>
  <si>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</si>
  <si>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</si>
  <si>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</si>
  <si>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</si>
  <si>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</si>
  <si>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</si>
  <si>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</si>
  <si>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</si>
  <si>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</si>
  <si>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</si>
  <si>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</si>
  <si>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</si>
  <si>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</si>
  <si>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</si>
  <si>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</si>
  <si>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</si>
  <si>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</si>
  <si>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</si>
  <si>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</si>
  <si>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</si>
  <si>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</si>
  <si>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</si>
  <si>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</si>
  <si>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</si>
  <si>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</si>
  <si>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</si>
  <si>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41002</t>
  </si>
  <si>
    <t>AALST</t>
  </si>
  <si>
    <t>Eandis (januari 2018); Infrax (juni 2018)</t>
  </si>
  <si>
    <t>MOW (september 2017)</t>
  </si>
  <si>
    <t>referentietaak LNE (2017); Jaarverslag De Lijn (2016)</t>
  </si>
  <si>
    <t>VEA (april 2018)</t>
  </si>
  <si>
    <t>VEA (januari 2017)</t>
  </si>
  <si>
    <t>VEA (juni 2018)</t>
  </si>
  <si>
    <t>WKK-0486 Onze Lieve Vrouwziekenhuis</t>
  </si>
  <si>
    <t>interne verbrandingsmotor</t>
  </si>
  <si>
    <t>WKK interne verbrandinsgmotor (gas)</t>
  </si>
  <si>
    <t>Moorselbaan 164 , 9300 Aalst</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</si>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</sst>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609821.2846877533</c:v>
                </c:pt>
                <c:pt idx="1">
                  <c:v>338548.17814410111</c:v>
                </c:pt>
                <c:pt idx="2">
                  <c:v>4158.8810000000003</c:v>
                </c:pt>
                <c:pt idx="3">
                  <c:v>29954.561607022417</c:v>
                </c:pt>
                <c:pt idx="4">
                  <c:v>286655.35335945309</c:v>
                </c:pt>
                <c:pt idx="5">
                  <c:v>619330.85295027227</c:v>
                </c:pt>
                <c:pt idx="6">
                  <c:v>11292.765275284473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609821.2846877533</c:v>
                </c:pt>
                <c:pt idx="1">
                  <c:v>338548.17814410111</c:v>
                </c:pt>
                <c:pt idx="2">
                  <c:v>4158.8810000000003</c:v>
                </c:pt>
                <c:pt idx="3">
                  <c:v>29954.561607022417</c:v>
                </c:pt>
                <c:pt idx="4">
                  <c:v>286655.35335945309</c:v>
                </c:pt>
                <c:pt idx="5">
                  <c:v>619330.85295027227</c:v>
                </c:pt>
                <c:pt idx="6">
                  <c:v>11292.765275284473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115719.95767722149</c:v>
                </c:pt>
                <c:pt idx="1">
                  <c:v>68436.252249877813</c:v>
                </c:pt>
                <c:pt idx="2">
                  <c:v>862.06603879768636</c:v>
                </c:pt>
                <c:pt idx="3">
                  <c:v>6579.1898637123977</c:v>
                </c:pt>
                <c:pt idx="4">
                  <c:v>56468.532483116316</c:v>
                </c:pt>
                <c:pt idx="5">
                  <c:v>155047.70698303331</c:v>
                </c:pt>
                <c:pt idx="6">
                  <c:v>2853.1235085471399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115719.95767722149</c:v>
                </c:pt>
                <c:pt idx="1">
                  <c:v>68436.252249877813</c:v>
                </c:pt>
                <c:pt idx="2">
                  <c:v>862.06603879768636</c:v>
                </c:pt>
                <c:pt idx="3">
                  <c:v>6579.1898637123977</c:v>
                </c:pt>
                <c:pt idx="4">
                  <c:v>56468.532483116316</c:v>
                </c:pt>
                <c:pt idx="5">
                  <c:v>155047.70698303331</c:v>
                </c:pt>
                <c:pt idx="6">
                  <c:v>2853.1235085471399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41002</v>
      </c>
      <c r="B6" s="415"/>
      <c r="C6" s="416"/>
    </row>
    <row r="7" spans="1:7" s="413" customFormat="1" ht="15.75" customHeight="1">
      <c r="A7" s="417" t="str">
        <f>txtMunicipality</f>
        <v>AALST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37327</v>
      </c>
      <c r="C9" s="342">
        <v>37766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2553.89</v>
      </c>
    </row>
    <row r="15" spans="1:6">
      <c r="A15" s="348" t="s">
        <v>184</v>
      </c>
      <c r="B15" s="334">
        <v>16</v>
      </c>
    </row>
    <row r="16" spans="1:6">
      <c r="A16" s="348" t="s">
        <v>6</v>
      </c>
      <c r="B16" s="334">
        <v>519</v>
      </c>
    </row>
    <row r="17" spans="1:6">
      <c r="A17" s="348" t="s">
        <v>7</v>
      </c>
      <c r="B17" s="334">
        <v>287</v>
      </c>
    </row>
    <row r="18" spans="1:6">
      <c r="A18" s="348" t="s">
        <v>8</v>
      </c>
      <c r="B18" s="334">
        <v>450</v>
      </c>
    </row>
    <row r="19" spans="1:6">
      <c r="A19" s="348" t="s">
        <v>9</v>
      </c>
      <c r="B19" s="334">
        <v>430</v>
      </c>
    </row>
    <row r="20" spans="1:6">
      <c r="A20" s="348" t="s">
        <v>10</v>
      </c>
      <c r="B20" s="334">
        <v>246</v>
      </c>
    </row>
    <row r="21" spans="1:6">
      <c r="A21" s="348" t="s">
        <v>11</v>
      </c>
      <c r="B21" s="334">
        <v>1131</v>
      </c>
    </row>
    <row r="22" spans="1:6">
      <c r="A22" s="348" t="s">
        <v>12</v>
      </c>
      <c r="B22" s="334">
        <v>2802</v>
      </c>
    </row>
    <row r="23" spans="1:6">
      <c r="A23" s="348" t="s">
        <v>13</v>
      </c>
      <c r="B23" s="334">
        <v>39</v>
      </c>
    </row>
    <row r="24" spans="1:6">
      <c r="A24" s="348" t="s">
        <v>14</v>
      </c>
      <c r="B24" s="334">
        <v>1</v>
      </c>
    </row>
    <row r="25" spans="1:6">
      <c r="A25" s="348" t="s">
        <v>15</v>
      </c>
      <c r="B25" s="334">
        <v>210</v>
      </c>
    </row>
    <row r="26" spans="1:6">
      <c r="A26" s="348" t="s">
        <v>16</v>
      </c>
      <c r="B26" s="334">
        <v>173</v>
      </c>
    </row>
    <row r="27" spans="1:6">
      <c r="A27" s="348" t="s">
        <v>17</v>
      </c>
      <c r="B27" s="334">
        <v>52</v>
      </c>
    </row>
    <row r="28" spans="1:6" s="356" customFormat="1">
      <c r="A28" s="355" t="s">
        <v>18</v>
      </c>
      <c r="B28" s="355">
        <v>92912</v>
      </c>
    </row>
    <row r="29" spans="1:6">
      <c r="A29" s="355" t="s">
        <v>744</v>
      </c>
      <c r="B29" s="355">
        <v>256</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13</v>
      </c>
      <c r="D36" s="334">
        <v>3168364.2779995799</v>
      </c>
      <c r="E36" s="334">
        <v>11</v>
      </c>
      <c r="F36" s="334">
        <v>493174.43466518598</v>
      </c>
    </row>
    <row r="37" spans="1:6">
      <c r="A37" s="348" t="s">
        <v>25</v>
      </c>
      <c r="B37" s="348" t="s">
        <v>28</v>
      </c>
      <c r="C37" s="334">
        <v>0</v>
      </c>
      <c r="D37" s="334">
        <v>0</v>
      </c>
      <c r="E37" s="334">
        <v>0</v>
      </c>
      <c r="F37" s="334">
        <v>0</v>
      </c>
    </row>
    <row r="38" spans="1:6">
      <c r="A38" s="348" t="s">
        <v>25</v>
      </c>
      <c r="B38" s="348" t="s">
        <v>29</v>
      </c>
      <c r="C38" s="334">
        <v>4</v>
      </c>
      <c r="D38" s="334">
        <v>438516.79259700101</v>
      </c>
      <c r="E38" s="334">
        <v>5</v>
      </c>
      <c r="F38" s="334">
        <v>62061.747266688501</v>
      </c>
    </row>
    <row r="39" spans="1:6">
      <c r="A39" s="348" t="s">
        <v>30</v>
      </c>
      <c r="B39" s="348" t="s">
        <v>31</v>
      </c>
      <c r="C39" s="334">
        <v>25738</v>
      </c>
      <c r="D39" s="334">
        <v>392880964.06353003</v>
      </c>
      <c r="E39" s="334">
        <v>37289</v>
      </c>
      <c r="F39" s="334">
        <v>128020569.384138</v>
      </c>
    </row>
    <row r="40" spans="1:6">
      <c r="A40" s="348" t="s">
        <v>30</v>
      </c>
      <c r="B40" s="348" t="s">
        <v>29</v>
      </c>
      <c r="C40" s="334">
        <v>1</v>
      </c>
      <c r="D40" s="334">
        <v>37109.036175277397</v>
      </c>
      <c r="E40" s="334">
        <v>1</v>
      </c>
      <c r="F40" s="334">
        <v>3669</v>
      </c>
    </row>
    <row r="41" spans="1:6">
      <c r="A41" s="348" t="s">
        <v>32</v>
      </c>
      <c r="B41" s="348" t="s">
        <v>33</v>
      </c>
      <c r="C41" s="334">
        <v>359</v>
      </c>
      <c r="D41" s="334">
        <v>13816477.854610199</v>
      </c>
      <c r="E41" s="334">
        <v>788</v>
      </c>
      <c r="F41" s="334">
        <v>23289708.4017496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18</v>
      </c>
      <c r="D44" s="334">
        <v>4570979.5166458096</v>
      </c>
      <c r="E44" s="334">
        <v>51</v>
      </c>
      <c r="F44" s="334">
        <v>9044495.2106856201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7</v>
      </c>
      <c r="D47" s="334">
        <v>107537.484505638</v>
      </c>
      <c r="E47" s="334">
        <v>16</v>
      </c>
      <c r="F47" s="334">
        <v>89556.393135402206</v>
      </c>
    </row>
    <row r="48" spans="1:6">
      <c r="A48" s="348" t="s">
        <v>32</v>
      </c>
      <c r="B48" s="348" t="s">
        <v>29</v>
      </c>
      <c r="C48" s="334">
        <v>111</v>
      </c>
      <c r="D48" s="334">
        <v>117677097.310965</v>
      </c>
      <c r="E48" s="334">
        <v>144</v>
      </c>
      <c r="F48" s="334">
        <v>54496312.269017197</v>
      </c>
    </row>
    <row r="49" spans="1:6">
      <c r="A49" s="348" t="s">
        <v>32</v>
      </c>
      <c r="B49" s="348" t="s">
        <v>40</v>
      </c>
      <c r="C49" s="334">
        <v>3</v>
      </c>
      <c r="D49" s="334">
        <v>54816.858648675101</v>
      </c>
      <c r="E49" s="334">
        <v>7</v>
      </c>
      <c r="F49" s="334">
        <v>58112.3545744898</v>
      </c>
    </row>
    <row r="50" spans="1:6">
      <c r="A50" s="348" t="s">
        <v>32</v>
      </c>
      <c r="B50" s="348" t="s">
        <v>41</v>
      </c>
      <c r="C50" s="334">
        <v>34</v>
      </c>
      <c r="D50" s="334">
        <v>5610180.4575209804</v>
      </c>
      <c r="E50" s="334">
        <v>64</v>
      </c>
      <c r="F50" s="334">
        <v>9665027.9475187194</v>
      </c>
    </row>
    <row r="51" spans="1:6">
      <c r="A51" s="348" t="s">
        <v>42</v>
      </c>
      <c r="B51" s="348" t="s">
        <v>43</v>
      </c>
      <c r="C51" s="334">
        <v>15</v>
      </c>
      <c r="D51" s="334">
        <v>556383.62174421898</v>
      </c>
      <c r="E51" s="334">
        <v>114</v>
      </c>
      <c r="F51" s="334">
        <v>1147486.0287881</v>
      </c>
    </row>
    <row r="52" spans="1:6">
      <c r="A52" s="348" t="s">
        <v>42</v>
      </c>
      <c r="B52" s="348" t="s">
        <v>29</v>
      </c>
      <c r="C52" s="334">
        <v>18</v>
      </c>
      <c r="D52" s="334">
        <v>494069.91618047102</v>
      </c>
      <c r="E52" s="334">
        <v>24</v>
      </c>
      <c r="F52" s="334">
        <v>620661.266387993</v>
      </c>
    </row>
    <row r="53" spans="1:6">
      <c r="A53" s="348" t="s">
        <v>44</v>
      </c>
      <c r="B53" s="348" t="s">
        <v>45</v>
      </c>
      <c r="C53" s="334">
        <v>790</v>
      </c>
      <c r="D53" s="334">
        <v>21690422.7421019</v>
      </c>
      <c r="E53" s="334">
        <v>1509</v>
      </c>
      <c r="F53" s="334">
        <v>5641361.1176317697</v>
      </c>
    </row>
    <row r="54" spans="1:6">
      <c r="A54" s="348" t="s">
        <v>46</v>
      </c>
      <c r="B54" s="348" t="s">
        <v>47</v>
      </c>
      <c r="C54" s="334">
        <v>0</v>
      </c>
      <c r="D54" s="334">
        <v>0</v>
      </c>
      <c r="E54" s="334">
        <v>1</v>
      </c>
      <c r="F54" s="334">
        <v>4158881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254</v>
      </c>
      <c r="D57" s="334">
        <v>14382686.167557901</v>
      </c>
      <c r="E57" s="334">
        <v>404</v>
      </c>
      <c r="F57" s="334">
        <v>10214523.7369367</v>
      </c>
    </row>
    <row r="58" spans="1:6">
      <c r="A58" s="348" t="s">
        <v>49</v>
      </c>
      <c r="B58" s="348" t="s">
        <v>51</v>
      </c>
      <c r="C58" s="334">
        <v>168</v>
      </c>
      <c r="D58" s="334">
        <v>39006390.838837303</v>
      </c>
      <c r="E58" s="334">
        <v>230</v>
      </c>
      <c r="F58" s="334">
        <v>20728289.2044806</v>
      </c>
    </row>
    <row r="59" spans="1:6">
      <c r="A59" s="348" t="s">
        <v>49</v>
      </c>
      <c r="B59" s="348" t="s">
        <v>52</v>
      </c>
      <c r="C59" s="334">
        <v>741</v>
      </c>
      <c r="D59" s="334">
        <v>46932052.015842602</v>
      </c>
      <c r="E59" s="334">
        <v>1539</v>
      </c>
      <c r="F59" s="334">
        <v>43059513.8079146</v>
      </c>
    </row>
    <row r="60" spans="1:6">
      <c r="A60" s="348" t="s">
        <v>49</v>
      </c>
      <c r="B60" s="348" t="s">
        <v>53</v>
      </c>
      <c r="C60" s="334">
        <v>360</v>
      </c>
      <c r="D60" s="334">
        <v>23111603.091483202</v>
      </c>
      <c r="E60" s="334">
        <v>448</v>
      </c>
      <c r="F60" s="334">
        <v>12391145.005860699</v>
      </c>
    </row>
    <row r="61" spans="1:6">
      <c r="A61" s="348" t="s">
        <v>49</v>
      </c>
      <c r="B61" s="348" t="s">
        <v>54</v>
      </c>
      <c r="C61" s="334">
        <v>818</v>
      </c>
      <c r="D61" s="334">
        <v>41051246.496461503</v>
      </c>
      <c r="E61" s="334">
        <v>1795</v>
      </c>
      <c r="F61" s="334">
        <v>21702084.249786198</v>
      </c>
    </row>
    <row r="62" spans="1:6">
      <c r="A62" s="348" t="s">
        <v>49</v>
      </c>
      <c r="B62" s="348" t="s">
        <v>55</v>
      </c>
      <c r="C62" s="334">
        <v>51</v>
      </c>
      <c r="D62" s="334">
        <v>9406802.4195425306</v>
      </c>
      <c r="E62" s="334">
        <v>69</v>
      </c>
      <c r="F62" s="334">
        <v>4085457.3512453199</v>
      </c>
    </row>
    <row r="63" spans="1:6">
      <c r="A63" s="348" t="s">
        <v>49</v>
      </c>
      <c r="B63" s="348" t="s">
        <v>29</v>
      </c>
      <c r="C63" s="334">
        <v>347</v>
      </c>
      <c r="D63" s="334">
        <v>26330442.985955801</v>
      </c>
      <c r="E63" s="334">
        <v>370</v>
      </c>
      <c r="F63" s="334">
        <v>12021217.2714964</v>
      </c>
    </row>
    <row r="64" spans="1:6">
      <c r="A64" s="348" t="s">
        <v>56</v>
      </c>
      <c r="B64" s="348" t="s">
        <v>57</v>
      </c>
      <c r="C64" s="334">
        <v>0</v>
      </c>
      <c r="D64" s="334">
        <v>0</v>
      </c>
      <c r="E64" s="334">
        <v>0</v>
      </c>
      <c r="F64" s="334">
        <v>0</v>
      </c>
    </row>
    <row r="65" spans="1:6">
      <c r="A65" s="348" t="s">
        <v>56</v>
      </c>
      <c r="B65" s="348" t="s">
        <v>29</v>
      </c>
      <c r="C65" s="334">
        <v>7</v>
      </c>
      <c r="D65" s="334">
        <v>214428.897562506</v>
      </c>
      <c r="E65" s="334">
        <v>7</v>
      </c>
      <c r="F65" s="334">
        <v>173348.05251092199</v>
      </c>
    </row>
    <row r="66" spans="1:6">
      <c r="A66" s="348" t="s">
        <v>56</v>
      </c>
      <c r="B66" s="348" t="s">
        <v>58</v>
      </c>
      <c r="C66" s="334">
        <v>0</v>
      </c>
      <c r="D66" s="334">
        <v>0</v>
      </c>
      <c r="E66" s="334">
        <v>32</v>
      </c>
      <c r="F66" s="334">
        <v>1151007.6825085401</v>
      </c>
    </row>
    <row r="67" spans="1:6">
      <c r="A67" s="355" t="s">
        <v>56</v>
      </c>
      <c r="B67" s="355" t="s">
        <v>59</v>
      </c>
      <c r="C67" s="334">
        <v>0</v>
      </c>
      <c r="D67" s="334">
        <v>0</v>
      </c>
      <c r="E67" s="334">
        <v>0</v>
      </c>
      <c r="F67" s="334">
        <v>0</v>
      </c>
    </row>
    <row r="68" spans="1:6">
      <c r="A68" s="341" t="s">
        <v>56</v>
      </c>
      <c r="B68" s="341" t="s">
        <v>60</v>
      </c>
      <c r="C68" s="334">
        <v>9</v>
      </c>
      <c r="D68" s="334">
        <v>421376.884274829</v>
      </c>
      <c r="E68" s="334">
        <v>30</v>
      </c>
      <c r="F68" s="334">
        <v>731930.47013851302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202663603</v>
      </c>
      <c r="E73" s="476">
        <v>224364598.86490798</v>
      </c>
    </row>
    <row r="74" spans="1:6">
      <c r="A74" s="348" t="s">
        <v>64</v>
      </c>
      <c r="B74" s="348" t="s">
        <v>657</v>
      </c>
      <c r="C74" s="1272" t="s">
        <v>659</v>
      </c>
      <c r="D74" s="476">
        <v>19564363.662058067</v>
      </c>
      <c r="E74" s="476">
        <v>22669885.240076855</v>
      </c>
    </row>
    <row r="75" spans="1:6">
      <c r="A75" s="348" t="s">
        <v>65</v>
      </c>
      <c r="B75" s="348" t="s">
        <v>656</v>
      </c>
      <c r="C75" s="1272" t="s">
        <v>660</v>
      </c>
      <c r="D75" s="476">
        <v>142802948</v>
      </c>
      <c r="E75" s="476">
        <v>189024403.40671808</v>
      </c>
    </row>
    <row r="76" spans="1:6">
      <c r="A76" s="348" t="s">
        <v>65</v>
      </c>
      <c r="B76" s="348" t="s">
        <v>657</v>
      </c>
      <c r="C76" s="1272" t="s">
        <v>661</v>
      </c>
      <c r="D76" s="476">
        <v>9621308.6620580666</v>
      </c>
      <c r="E76" s="476">
        <v>12860075.93940391</v>
      </c>
    </row>
    <row r="77" spans="1:6">
      <c r="A77" s="348" t="s">
        <v>66</v>
      </c>
      <c r="B77" s="348" t="s">
        <v>656</v>
      </c>
      <c r="C77" s="1272" t="s">
        <v>662</v>
      </c>
      <c r="D77" s="476">
        <v>285048092</v>
      </c>
      <c r="E77" s="476">
        <v>285001367.41602355</v>
      </c>
    </row>
    <row r="78" spans="1:6">
      <c r="A78" s="341" t="s">
        <v>66</v>
      </c>
      <c r="B78" s="341" t="s">
        <v>657</v>
      </c>
      <c r="C78" s="341" t="s">
        <v>663</v>
      </c>
      <c r="D78" s="1273">
        <v>34872176</v>
      </c>
      <c r="E78" s="1273">
        <v>35787147.581119791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3062786.6758838682</v>
      </c>
      <c r="C83" s="476">
        <v>3051026.2973183226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12937.530545294314</v>
      </c>
    </row>
    <row r="92" spans="1:6">
      <c r="A92" s="341" t="s">
        <v>69</v>
      </c>
      <c r="B92" s="342">
        <v>10000.523144557197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15443</v>
      </c>
    </row>
    <row r="98" spans="1:6">
      <c r="A98" s="348" t="s">
        <v>72</v>
      </c>
      <c r="B98" s="334">
        <v>386</v>
      </c>
    </row>
    <row r="99" spans="1:6">
      <c r="A99" s="348" t="s">
        <v>73</v>
      </c>
      <c r="B99" s="334">
        <v>323</v>
      </c>
    </row>
    <row r="100" spans="1:6">
      <c r="A100" s="348" t="s">
        <v>74</v>
      </c>
      <c r="B100" s="334">
        <v>2629</v>
      </c>
    </row>
    <row r="101" spans="1:6">
      <c r="A101" s="348" t="s">
        <v>75</v>
      </c>
      <c r="B101" s="334">
        <v>231</v>
      </c>
    </row>
    <row r="102" spans="1:6">
      <c r="A102" s="348" t="s">
        <v>76</v>
      </c>
      <c r="B102" s="334">
        <v>1339</v>
      </c>
    </row>
    <row r="103" spans="1:6">
      <c r="A103" s="348" t="s">
        <v>77</v>
      </c>
      <c r="B103" s="334">
        <v>1079</v>
      </c>
    </row>
    <row r="104" spans="1:6">
      <c r="A104" s="348" t="s">
        <v>78</v>
      </c>
      <c r="B104" s="334">
        <v>10625</v>
      </c>
    </row>
    <row r="105" spans="1:6">
      <c r="A105" s="341" t="s">
        <v>79</v>
      </c>
      <c r="B105" s="341">
        <v>174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57</v>
      </c>
      <c r="C123" s="334">
        <v>124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416</v>
      </c>
    </row>
    <row r="130" spans="1:6">
      <c r="A130" s="348" t="s">
        <v>295</v>
      </c>
      <c r="B130" s="334">
        <v>8</v>
      </c>
    </row>
    <row r="131" spans="1:6">
      <c r="A131" s="348" t="s">
        <v>296</v>
      </c>
      <c r="B131" s="334">
        <v>7</v>
      </c>
    </row>
    <row r="132" spans="1:6">
      <c r="A132" s="341" t="s">
        <v>297</v>
      </c>
      <c r="B132" s="342">
        <v>71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368698.91197875794</v>
      </c>
      <c r="C3" s="43" t="s">
        <v>170</v>
      </c>
      <c r="D3" s="43"/>
      <c r="E3" s="154"/>
      <c r="F3" s="43"/>
      <c r="G3" s="43"/>
      <c r="H3" s="43"/>
      <c r="I3" s="43"/>
      <c r="J3" s="43"/>
      <c r="K3" s="96"/>
    </row>
    <row r="4" spans="1:11">
      <c r="A4" s="383" t="s">
        <v>171</v>
      </c>
      <c r="B4" s="49">
        <f>IF(ISERROR('SEAP template'!B69),0,'SEAP template'!B69)</f>
        <v>23654.678689851513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170.30382352941177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0.20728317035223809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243.29117647058825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1023.75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4158.8810000000003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4158.8810000000003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0.20728317035223809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862.06603879768636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128024.23838413801</v>
      </c>
      <c r="C5" s="17">
        <f>IF(ISERROR('Eigen informatie GS &amp; warmtenet'!B57),0,'Eigen informatie GS &amp; warmtenet'!B57)</f>
        <v>0</v>
      </c>
      <c r="D5" s="30">
        <f>(SUM(HH_hh_gas_kWh,HH_rest_gas_kWh)/1000)*0.902</f>
        <v>354412.10193593416</v>
      </c>
      <c r="E5" s="17">
        <f>B46*B57</f>
        <v>21595.659147225659</v>
      </c>
      <c r="F5" s="17">
        <f>B51*B62</f>
        <v>35171.826231133411</v>
      </c>
      <c r="G5" s="18"/>
      <c r="H5" s="17"/>
      <c r="I5" s="17"/>
      <c r="J5" s="17">
        <f>B50*B61+C50*C61</f>
        <v>1741.860152196587</v>
      </c>
      <c r="K5" s="17"/>
      <c r="L5" s="17"/>
      <c r="M5" s="17"/>
      <c r="N5" s="17">
        <f>B48*B59+C48*C59</f>
        <v>52634.268291831198</v>
      </c>
      <c r="O5" s="17">
        <f>B69*B70*B71</f>
        <v>844.2</v>
      </c>
      <c r="P5" s="17">
        <f>B77*B78*B79/1000-B77*B78*B79/1000/B80</f>
        <v>2459.6</v>
      </c>
    </row>
    <row r="6" spans="1:16">
      <c r="A6" s="16" t="s">
        <v>621</v>
      </c>
      <c r="B6" s="843">
        <f>kWh_PV_kleiner_dan_10kW</f>
        <v>12937.530545294314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140961.76892943232</v>
      </c>
      <c r="C8" s="21">
        <f>C5</f>
        <v>0</v>
      </c>
      <c r="D8" s="21">
        <f>D5</f>
        <v>354412.10193593416</v>
      </c>
      <c r="E8" s="21">
        <f>E5</f>
        <v>21595.659147225659</v>
      </c>
      <c r="F8" s="21">
        <f>F5</f>
        <v>35171.826231133411</v>
      </c>
      <c r="G8" s="21"/>
      <c r="H8" s="21"/>
      <c r="I8" s="21"/>
      <c r="J8" s="21">
        <f>J5</f>
        <v>1741.860152196587</v>
      </c>
      <c r="K8" s="21"/>
      <c r="L8" s="21">
        <f>L5</f>
        <v>0</v>
      </c>
      <c r="M8" s="21">
        <f>M5</f>
        <v>0</v>
      </c>
      <c r="N8" s="21">
        <f>N5</f>
        <v>52634.268291831198</v>
      </c>
      <c r="O8" s="21">
        <f>O5</f>
        <v>844.2</v>
      </c>
      <c r="P8" s="21">
        <f>P5</f>
        <v>2459.6</v>
      </c>
    </row>
    <row r="9" spans="1:16">
      <c r="B9" s="19"/>
      <c r="C9" s="19"/>
      <c r="D9" s="258"/>
      <c r="E9" s="19"/>
      <c r="F9" s="19"/>
      <c r="G9" s="19"/>
      <c r="H9" s="19"/>
      <c r="I9" s="19"/>
      <c r="J9" s="19"/>
      <c r="K9" s="19"/>
      <c r="L9" s="19"/>
      <c r="M9" s="19"/>
      <c r="N9" s="19"/>
      <c r="O9" s="19"/>
      <c r="P9" s="19"/>
    </row>
    <row r="10" spans="1:16">
      <c r="A10" s="24" t="s">
        <v>214</v>
      </c>
      <c r="B10" s="25">
        <f ca="1">'EF ele_warmte'!B12</f>
        <v>0.20728317035223809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29219.002362152343</v>
      </c>
      <c r="C12" s="23">
        <f ca="1">C10*C8</f>
        <v>0</v>
      </c>
      <c r="D12" s="23">
        <f>D8*D10</f>
        <v>71591.244591058698</v>
      </c>
      <c r="E12" s="23">
        <f>E10*E8</f>
        <v>4902.2146264202247</v>
      </c>
      <c r="F12" s="23">
        <f>F10*F8</f>
        <v>9390.8776037126208</v>
      </c>
      <c r="G12" s="23"/>
      <c r="H12" s="23"/>
      <c r="I12" s="23"/>
      <c r="J12" s="23">
        <f>J10*J8</f>
        <v>616.61849387759173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15443</v>
      </c>
      <c r="C18" s="166" t="s">
        <v>111</v>
      </c>
      <c r="D18" s="228"/>
      <c r="E18" s="15"/>
    </row>
    <row r="19" spans="1:7">
      <c r="A19" s="171" t="s">
        <v>72</v>
      </c>
      <c r="B19" s="37">
        <f>aantalw2001_ander</f>
        <v>386</v>
      </c>
      <c r="C19" s="166" t="s">
        <v>111</v>
      </c>
      <c r="D19" s="229"/>
      <c r="E19" s="15"/>
    </row>
    <row r="20" spans="1:7">
      <c r="A20" s="171" t="s">
        <v>73</v>
      </c>
      <c r="B20" s="37">
        <f>aantalw2001_propaan</f>
        <v>323</v>
      </c>
      <c r="C20" s="167">
        <f>IF(ISERROR(B20/SUM($B$20,$B$21,$B$22)*100),0,B20/SUM($B$20,$B$21,$B$22)*100)</f>
        <v>10.147659440779139</v>
      </c>
      <c r="D20" s="229"/>
      <c r="E20" s="15"/>
    </row>
    <row r="21" spans="1:7">
      <c r="A21" s="171" t="s">
        <v>74</v>
      </c>
      <c r="B21" s="37">
        <f>aantalw2001_elektriciteit</f>
        <v>2629</v>
      </c>
      <c r="C21" s="167">
        <f>IF(ISERROR(B21/SUM($B$20,$B$21,$B$22)*100),0,B21/SUM($B$20,$B$21,$B$22)*100)</f>
        <v>82.595036129437631</v>
      </c>
      <c r="D21" s="229"/>
      <c r="E21" s="15"/>
    </row>
    <row r="22" spans="1:7">
      <c r="A22" s="171" t="s">
        <v>75</v>
      </c>
      <c r="B22" s="37">
        <f>aantalw2001_hout</f>
        <v>231</v>
      </c>
      <c r="C22" s="167">
        <f>IF(ISERROR(B22/SUM($B$20,$B$21,$B$22)*100),0,B22/SUM($B$20,$B$21,$B$22)*100)</f>
        <v>7.2573044297832237</v>
      </c>
      <c r="D22" s="229"/>
      <c r="E22" s="15"/>
    </row>
    <row r="23" spans="1:7">
      <c r="A23" s="171" t="s">
        <v>76</v>
      </c>
      <c r="B23" s="37">
        <f>aantalw2001_niet_gespec</f>
        <v>1339</v>
      </c>
      <c r="C23" s="166" t="s">
        <v>111</v>
      </c>
      <c r="D23" s="228"/>
      <c r="E23" s="15"/>
    </row>
    <row r="24" spans="1:7">
      <c r="A24" s="171" t="s">
        <v>77</v>
      </c>
      <c r="B24" s="37">
        <f>aantalw2001_steenkool</f>
        <v>1079</v>
      </c>
      <c r="C24" s="166" t="s">
        <v>111</v>
      </c>
      <c r="D24" s="229"/>
      <c r="E24" s="15"/>
    </row>
    <row r="25" spans="1:7">
      <c r="A25" s="171" t="s">
        <v>78</v>
      </c>
      <c r="B25" s="37">
        <f>aantalw2001_stookolie</f>
        <v>10625</v>
      </c>
      <c r="C25" s="166" t="s">
        <v>111</v>
      </c>
      <c r="D25" s="228"/>
      <c r="E25" s="52"/>
    </row>
    <row r="26" spans="1:7">
      <c r="A26" s="171" t="s">
        <v>79</v>
      </c>
      <c r="B26" s="37">
        <f>aantalw2001_WP</f>
        <v>174</v>
      </c>
      <c r="C26" s="166" t="s">
        <v>111</v>
      </c>
      <c r="D26" s="228"/>
      <c r="E26" s="15"/>
    </row>
    <row r="27" spans="1:7" s="15" customFormat="1">
      <c r="A27" s="171"/>
      <c r="B27" s="29"/>
      <c r="C27" s="36"/>
      <c r="D27" s="228"/>
    </row>
    <row r="28" spans="1:7" s="15" customFormat="1">
      <c r="A28" s="230" t="s">
        <v>794</v>
      </c>
      <c r="B28" s="37">
        <f>aantalHuishoudens2011</f>
        <v>37327</v>
      </c>
      <c r="C28" s="36"/>
      <c r="D28" s="228"/>
    </row>
    <row r="29" spans="1:7" s="15" customFormat="1">
      <c r="A29" s="230" t="s">
        <v>795</v>
      </c>
      <c r="B29" s="37">
        <f>SUM(HH_hh_gas_aantal,HH_rest_gas_aantal)</f>
        <v>25739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25739</v>
      </c>
      <c r="C32" s="167">
        <f>IF(ISERROR(B32/SUM($B$32,$B$34,$B$35,$B$36,$B$38,$B$39)*100),0,B32/SUM($B$32,$B$34,$B$35,$B$36,$B$38,$B$39)*100)</f>
        <v>69.19458035378247</v>
      </c>
      <c r="D32" s="233"/>
      <c r="G32" s="15"/>
    </row>
    <row r="33" spans="1:7">
      <c r="A33" s="171" t="s">
        <v>72</v>
      </c>
      <c r="B33" s="34" t="s">
        <v>111</v>
      </c>
      <c r="C33" s="167"/>
      <c r="D33" s="233"/>
      <c r="G33" s="15"/>
    </row>
    <row r="34" spans="1:7">
      <c r="A34" s="171" t="s">
        <v>73</v>
      </c>
      <c r="B34" s="33">
        <f>IF((($B$28-$B$32-$B$39-$B$77-$B$38)*C20/100)&lt;0,0,($B$28-$B$32-$B$39-$B$77-$B$38)*C20/100)</f>
        <v>1019.9412503927113</v>
      </c>
      <c r="C34" s="167">
        <f>IF(ISERROR(B34/SUM($B$32,$B$34,$B$35,$B$36,$B$38,$B$39)*100),0,B34/SUM($B$32,$B$34,$B$35,$B$36,$B$38,$B$39)*100)</f>
        <v>2.7419249701400918</v>
      </c>
      <c r="D34" s="233"/>
      <c r="G34" s="15"/>
    </row>
    <row r="35" spans="1:7">
      <c r="A35" s="171" t="s">
        <v>74</v>
      </c>
      <c r="B35" s="33">
        <f>IF((($B$28-$B$32-$B$39-$B$77-$B$38)*C21/100)&lt;0,0,($B$28-$B$32-$B$39-$B$77-$B$38)*C21/100)</f>
        <v>8301.6270813697756</v>
      </c>
      <c r="C35" s="167">
        <f>IF(ISERROR(B35/SUM($B$32,$B$34,$B$35,$B$36,$B$38,$B$39)*100),0,B35/SUM($B$32,$B$34,$B$35,$B$36,$B$38,$B$39)*100)</f>
        <v>22.3174016919452</v>
      </c>
      <c r="D35" s="233"/>
      <c r="G35" s="15"/>
    </row>
    <row r="36" spans="1:7">
      <c r="A36" s="171" t="s">
        <v>75</v>
      </c>
      <c r="B36" s="33">
        <f>IF((($B$28-$B$32-$B$39-$B$77-$B$38)*C22/100)&lt;0,0,($B$28-$B$32-$B$39-$B$77-$B$38)*C22/100)</f>
        <v>729.43166823751176</v>
      </c>
      <c r="C36" s="167">
        <f>IF(ISERROR(B36/SUM($B$32,$B$34,$B$35,$B$36,$B$38,$B$39)*100),0,B36/SUM($B$32,$B$34,$B$35,$B$36,$B$38,$B$39)*100)</f>
        <v>1.9609432448989508</v>
      </c>
      <c r="D36" s="233"/>
      <c r="G36" s="15"/>
    </row>
    <row r="37" spans="1:7">
      <c r="A37" s="171" t="s">
        <v>76</v>
      </c>
      <c r="B37" s="34" t="s">
        <v>111</v>
      </c>
      <c r="C37" s="167"/>
      <c r="D37" s="173"/>
      <c r="G37" s="15"/>
    </row>
    <row r="38" spans="1:7">
      <c r="A38" s="171" t="s">
        <v>77</v>
      </c>
      <c r="B38" s="33">
        <f>IF((B24-(B29-B18)*0.1)&lt;0,0,B24-(B29-B18)*0.1)</f>
        <v>49.399999999999864</v>
      </c>
      <c r="C38" s="167">
        <f>IF(ISERROR(B38/SUM($B$32,$B$34,$B$35,$B$36,$B$38,$B$39)*100),0,B38/SUM($B$32,$B$34,$B$35,$B$36,$B$38,$B$39)*100)</f>
        <v>0.13280283886230407</v>
      </c>
      <c r="D38" s="234"/>
      <c r="G38" s="15"/>
    </row>
    <row r="39" spans="1:7">
      <c r="A39" s="171" t="s">
        <v>78</v>
      </c>
      <c r="B39" s="33">
        <f>IF((B25-(B29-B18))&lt;0,0,B25-(B29-B18)*0.9)</f>
        <v>1358.6000000000004</v>
      </c>
      <c r="C39" s="167">
        <f>IF(ISERROR(B39/SUM($B$32,$B$34,$B$35,$B$36,$B$38,$B$39)*100),0,B39/SUM($B$32,$B$34,$B$35,$B$36,$B$38,$B$39)*100)</f>
        <v>3.652346900370989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25739</v>
      </c>
      <c r="C44" s="34" t="s">
        <v>111</v>
      </c>
      <c r="D44" s="174"/>
    </row>
    <row r="45" spans="1:7">
      <c r="A45" s="171" t="s">
        <v>72</v>
      </c>
      <c r="B45" s="33" t="str">
        <f t="shared" si="0"/>
        <v>-</v>
      </c>
      <c r="C45" s="34" t="s">
        <v>111</v>
      </c>
      <c r="D45" s="174"/>
    </row>
    <row r="46" spans="1:7">
      <c r="A46" s="171" t="s">
        <v>73</v>
      </c>
      <c r="B46" s="33">
        <f t="shared" si="0"/>
        <v>1019.9412503927113</v>
      </c>
      <c r="C46" s="34" t="s">
        <v>111</v>
      </c>
      <c r="D46" s="174"/>
    </row>
    <row r="47" spans="1:7">
      <c r="A47" s="171" t="s">
        <v>74</v>
      </c>
      <c r="B47" s="33">
        <f t="shared" si="0"/>
        <v>8301.6270813697756</v>
      </c>
      <c r="C47" s="34" t="s">
        <v>111</v>
      </c>
      <c r="D47" s="174"/>
    </row>
    <row r="48" spans="1:7">
      <c r="A48" s="171" t="s">
        <v>75</v>
      </c>
      <c r="B48" s="33">
        <f t="shared" si="0"/>
        <v>729.43166823751176</v>
      </c>
      <c r="C48" s="33">
        <f>B48*10</f>
        <v>7294.316682375118</v>
      </c>
      <c r="D48" s="234"/>
    </row>
    <row r="49" spans="1:6">
      <c r="A49" s="171" t="s">
        <v>76</v>
      </c>
      <c r="B49" s="33" t="str">
        <f t="shared" si="0"/>
        <v>-</v>
      </c>
      <c r="C49" s="34" t="s">
        <v>111</v>
      </c>
      <c r="D49" s="234"/>
    </row>
    <row r="50" spans="1:6">
      <c r="A50" s="171" t="s">
        <v>77</v>
      </c>
      <c r="B50" s="33">
        <f t="shared" si="0"/>
        <v>49.399999999999864</v>
      </c>
      <c r="C50" s="33">
        <f>B50*2</f>
        <v>98.799999999999727</v>
      </c>
      <c r="D50" s="234"/>
    </row>
    <row r="51" spans="1:6">
      <c r="A51" s="171" t="s">
        <v>78</v>
      </c>
      <c r="B51" s="33">
        <f t="shared" si="0"/>
        <v>1358.6000000000004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540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124202.23062772051</v>
      </c>
      <c r="C5" s="17">
        <f>IF(ISERROR('Eigen informatie GS &amp; warmtenet'!B58),0,'Eigen informatie GS &amp; warmtenet'!B58)</f>
        <v>0</v>
      </c>
      <c r="D5" s="30">
        <f>SUM(D6:D12)</f>
        <v>180599.54406214415</v>
      </c>
      <c r="E5" s="17">
        <f>SUM(E6:E12)</f>
        <v>1963.7337879963179</v>
      </c>
      <c r="F5" s="17">
        <f>SUM(F6:F12)</f>
        <v>21670.469584084916</v>
      </c>
      <c r="G5" s="18"/>
      <c r="H5" s="17"/>
      <c r="I5" s="17"/>
      <c r="J5" s="17">
        <f>SUM(J6:J12)</f>
        <v>0.25082695149802126</v>
      </c>
      <c r="K5" s="17"/>
      <c r="L5" s="17"/>
      <c r="M5" s="17"/>
      <c r="N5" s="17">
        <f>SUM(N6:N12)</f>
        <v>10254.034255203687</v>
      </c>
      <c r="O5" s="17">
        <f>B38*B39*B40</f>
        <v>12.506666666666668</v>
      </c>
      <c r="P5" s="17">
        <f>B46*B47*B48/1000-B46*B47*B48/1000/B49</f>
        <v>152.53333333333333</v>
      </c>
      <c r="R5" s="32"/>
    </row>
    <row r="6" spans="1:18">
      <c r="A6" s="32" t="s">
        <v>54</v>
      </c>
      <c r="B6" s="37">
        <f>B26</f>
        <v>21702.0842497862</v>
      </c>
      <c r="C6" s="33"/>
      <c r="D6" s="37">
        <f>IF(ISERROR(TER_kantoor_gas_kWh/1000),0,TER_kantoor_gas_kWh/1000)*0.902</f>
        <v>37028.224339808279</v>
      </c>
      <c r="E6" s="33">
        <f>$C$26*'E Balans VL '!I12/100/3.6*1000000</f>
        <v>0.13602144607751854</v>
      </c>
      <c r="F6" s="33">
        <f>$C$26*('E Balans VL '!L12+'E Balans VL '!N12)/100/3.6*1000000</f>
        <v>3261.2168486729352</v>
      </c>
      <c r="G6" s="34"/>
      <c r="H6" s="33"/>
      <c r="I6" s="33"/>
      <c r="J6" s="33">
        <f>$C$26*('E Balans VL '!D12+'E Balans VL '!E12)/100/3.6*1000000</f>
        <v>0</v>
      </c>
      <c r="K6" s="33"/>
      <c r="L6" s="33"/>
      <c r="M6" s="33"/>
      <c r="N6" s="33">
        <f>$C$26*'E Balans VL '!Y12/100/3.6*1000000</f>
        <v>20.754825897808079</v>
      </c>
      <c r="O6" s="33"/>
      <c r="P6" s="33"/>
      <c r="R6" s="32"/>
    </row>
    <row r="7" spans="1:18">
      <c r="A7" s="32" t="s">
        <v>53</v>
      </c>
      <c r="B7" s="37">
        <f t="shared" ref="B7:B12" si="0">B27</f>
        <v>12391.145005860699</v>
      </c>
      <c r="C7" s="33"/>
      <c r="D7" s="37">
        <f>IF(ISERROR(TER_horeca_gas_kWh/1000),0,TER_horeca_gas_kWh/1000)*0.902</f>
        <v>20846.665988517849</v>
      </c>
      <c r="E7" s="33">
        <f>$C$27*'E Balans VL '!I9/100/3.6*1000000</f>
        <v>177.43913251317534</v>
      </c>
      <c r="F7" s="33">
        <f>$C$27*('E Balans VL '!L9+'E Balans VL '!N9)/100/3.6*1000000</f>
        <v>1569.1276334488425</v>
      </c>
      <c r="G7" s="34"/>
      <c r="H7" s="33"/>
      <c r="I7" s="33"/>
      <c r="J7" s="33">
        <f>$C$27*('E Balans VL '!D9+'E Balans VL '!E9)/100/3.6*1000000</f>
        <v>0</v>
      </c>
      <c r="K7" s="33"/>
      <c r="L7" s="33"/>
      <c r="M7" s="33"/>
      <c r="N7" s="33">
        <f>$C$27*'E Balans VL '!Y9/100/3.6*1000000</f>
        <v>3.56218098788908</v>
      </c>
      <c r="O7" s="33"/>
      <c r="P7" s="33"/>
      <c r="R7" s="32"/>
    </row>
    <row r="8" spans="1:18">
      <c r="A8" s="6" t="s">
        <v>52</v>
      </c>
      <c r="B8" s="37">
        <f t="shared" si="0"/>
        <v>43059.513807914598</v>
      </c>
      <c r="C8" s="33"/>
      <c r="D8" s="37">
        <f>IF(ISERROR(TER_handel_gas_kWh/1000),0,TER_handel_gas_kWh/1000)*0.902</f>
        <v>42332.710918290024</v>
      </c>
      <c r="E8" s="33">
        <f>$C$28*'E Balans VL '!I13/100/3.6*1000000</f>
        <v>1561.7632559517099</v>
      </c>
      <c r="F8" s="33">
        <f>$C$28*('E Balans VL '!L13+'E Balans VL '!N13)/100/3.6*1000000</f>
        <v>8293.6983647020079</v>
      </c>
      <c r="G8" s="34"/>
      <c r="H8" s="33"/>
      <c r="I8" s="33"/>
      <c r="J8" s="33">
        <f>$C$28*('E Balans VL '!D13+'E Balans VL '!E13)/100/3.6*1000000</f>
        <v>0</v>
      </c>
      <c r="K8" s="33"/>
      <c r="L8" s="33"/>
      <c r="M8" s="33"/>
      <c r="N8" s="33">
        <f>$C$28*'E Balans VL '!Y13/100/3.6*1000000</f>
        <v>59.647334176225336</v>
      </c>
      <c r="O8" s="33"/>
      <c r="P8" s="33"/>
      <c r="R8" s="32"/>
    </row>
    <row r="9" spans="1:18">
      <c r="A9" s="32" t="s">
        <v>51</v>
      </c>
      <c r="B9" s="37">
        <f t="shared" si="0"/>
        <v>20728.289204480599</v>
      </c>
      <c r="C9" s="33"/>
      <c r="D9" s="37">
        <f>IF(ISERROR(TER_gezond_gas_kWh/1000),0,TER_gezond_gas_kWh/1000)*0.902</f>
        <v>35183.76453663125</v>
      </c>
      <c r="E9" s="33">
        <f>$C$29*'E Balans VL '!I10/100/3.6*1000000</f>
        <v>1.2977955590833374</v>
      </c>
      <c r="F9" s="33">
        <f>$C$29*('E Balans VL '!L10+'E Balans VL '!N10)/100/3.6*1000000</f>
        <v>3079.2504729557872</v>
      </c>
      <c r="G9" s="34"/>
      <c r="H9" s="33"/>
      <c r="I9" s="33"/>
      <c r="J9" s="33">
        <f>$C$29*('E Balans VL '!D10+'E Balans VL '!E10)/100/3.6*1000000</f>
        <v>0</v>
      </c>
      <c r="K9" s="33"/>
      <c r="L9" s="33"/>
      <c r="M9" s="33"/>
      <c r="N9" s="33">
        <f>$C$29*'E Balans VL '!Y10/100/3.6*1000000</f>
        <v>320.62717752384458</v>
      </c>
      <c r="O9" s="33"/>
      <c r="P9" s="33"/>
      <c r="R9" s="32"/>
    </row>
    <row r="10" spans="1:18">
      <c r="A10" s="32" t="s">
        <v>50</v>
      </c>
      <c r="B10" s="37">
        <f t="shared" si="0"/>
        <v>10214.523736936699</v>
      </c>
      <c r="C10" s="33"/>
      <c r="D10" s="37">
        <f>IF(ISERROR(TER_ander_gas_kWh/1000),0,TER_ander_gas_kWh/1000)*0.902</f>
        <v>12973.182923137227</v>
      </c>
      <c r="E10" s="33">
        <f>$C$30*'E Balans VL '!I14/100/3.6*1000000</f>
        <v>12.175347289025261</v>
      </c>
      <c r="F10" s="33">
        <f>$C$30*('E Balans VL '!L14+'E Balans VL '!N14)/100/3.6*1000000</f>
        <v>2672.5735116413816</v>
      </c>
      <c r="G10" s="34"/>
      <c r="H10" s="33"/>
      <c r="I10" s="33"/>
      <c r="J10" s="33">
        <f>$C$30*('E Balans VL '!D14+'E Balans VL '!E14)/100/3.6*1000000</f>
        <v>0.22171727050142503</v>
      </c>
      <c r="K10" s="33"/>
      <c r="L10" s="33"/>
      <c r="M10" s="33"/>
      <c r="N10" s="33">
        <f>$C$30*'E Balans VL '!Y14/100/3.6*1000000</f>
        <v>8673.9236115290387</v>
      </c>
      <c r="O10" s="33"/>
      <c r="P10" s="33"/>
      <c r="R10" s="32"/>
    </row>
    <row r="11" spans="1:18">
      <c r="A11" s="32" t="s">
        <v>55</v>
      </c>
      <c r="B11" s="37">
        <f t="shared" si="0"/>
        <v>4085.4573512453198</v>
      </c>
      <c r="C11" s="33"/>
      <c r="D11" s="37">
        <f>IF(ISERROR(TER_onderwijs_gas_kWh/1000),0,TER_onderwijs_gas_kWh/1000)*0.902</f>
        <v>8484.9357824273629</v>
      </c>
      <c r="E11" s="33">
        <f>$C$31*'E Balans VL '!I11/100/3.6*1000000</f>
        <v>61.642971175513289</v>
      </c>
      <c r="F11" s="33">
        <f>$C$31*('E Balans VL '!L11+'E Balans VL '!N11)/100/3.6*1000000</f>
        <v>715.83739506104132</v>
      </c>
      <c r="G11" s="34"/>
      <c r="H11" s="33"/>
      <c r="I11" s="33"/>
      <c r="J11" s="33">
        <f>$C$31*('E Balans VL '!D11+'E Balans VL '!E11)/100/3.6*1000000</f>
        <v>0</v>
      </c>
      <c r="K11" s="33"/>
      <c r="L11" s="33"/>
      <c r="M11" s="33"/>
      <c r="N11" s="33">
        <f>$C$31*'E Balans VL '!Y11/100/3.6*1000000</f>
        <v>11.49678757469996</v>
      </c>
      <c r="O11" s="33"/>
      <c r="P11" s="33"/>
      <c r="R11" s="32"/>
    </row>
    <row r="12" spans="1:18">
      <c r="A12" s="32" t="s">
        <v>260</v>
      </c>
      <c r="B12" s="37">
        <f t="shared" si="0"/>
        <v>12021.2172714964</v>
      </c>
      <c r="C12" s="33"/>
      <c r="D12" s="37">
        <f>IF(ISERROR(TER_rest_gas_kWh/1000),0,TER_rest_gas_kWh/1000)*0.902</f>
        <v>23750.059573332132</v>
      </c>
      <c r="E12" s="33">
        <f>$C$32*'E Balans VL '!I8/100/3.6*1000000</f>
        <v>149.27926406173299</v>
      </c>
      <c r="F12" s="33">
        <f>$C$32*('E Balans VL '!L8+'E Balans VL '!N8)/100/3.6*1000000</f>
        <v>2078.7653576029197</v>
      </c>
      <c r="G12" s="34"/>
      <c r="H12" s="33"/>
      <c r="I12" s="33"/>
      <c r="J12" s="33">
        <f>$C$32*('E Balans VL '!D8+'E Balans VL '!E8)/100/3.6*1000000</f>
        <v>2.9109680996596193E-2</v>
      </c>
      <c r="K12" s="33"/>
      <c r="L12" s="33"/>
      <c r="M12" s="33"/>
      <c r="N12" s="33">
        <f>$C$32*'E Balans VL '!Y8/100/3.6*1000000</f>
        <v>1164.0223375141811</v>
      </c>
      <c r="O12" s="33"/>
      <c r="P12" s="33"/>
      <c r="R12" s="32"/>
    </row>
    <row r="13" spans="1:18">
      <c r="A13" s="16" t="s">
        <v>488</v>
      </c>
      <c r="B13" s="247">
        <f ca="1">'lokale energieproductie'!N90+'lokale energieproductie'!N59</f>
        <v>716.625</v>
      </c>
      <c r="C13" s="247">
        <f ca="1">'lokale energieproductie'!O90+'lokale energieproductie'!O59</f>
        <v>1023.75</v>
      </c>
      <c r="D13" s="310">
        <f ca="1">('lokale energieproductie'!P59+'lokale energieproductie'!P90)*(-1)</f>
        <v>-2047.5000000000002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124918.85562772051</v>
      </c>
      <c r="C16" s="21">
        <f t="shared" ca="1" si="1"/>
        <v>1023.75</v>
      </c>
      <c r="D16" s="21">
        <f t="shared" ca="1" si="1"/>
        <v>178552.04406214415</v>
      </c>
      <c r="E16" s="21">
        <f t="shared" si="1"/>
        <v>1963.7337879963179</v>
      </c>
      <c r="F16" s="21">
        <f t="shared" ca="1" si="1"/>
        <v>21670.469584084916</v>
      </c>
      <c r="G16" s="21">
        <f t="shared" si="1"/>
        <v>0</v>
      </c>
      <c r="H16" s="21">
        <f t="shared" si="1"/>
        <v>0</v>
      </c>
      <c r="I16" s="21">
        <f t="shared" si="1"/>
        <v>0</v>
      </c>
      <c r="J16" s="21">
        <f t="shared" si="1"/>
        <v>0.25082695149802126</v>
      </c>
      <c r="K16" s="21">
        <f t="shared" si="1"/>
        <v>0</v>
      </c>
      <c r="L16" s="21">
        <f t="shared" ca="1" si="1"/>
        <v>0</v>
      </c>
      <c r="M16" s="21">
        <f t="shared" si="1"/>
        <v>0</v>
      </c>
      <c r="N16" s="21">
        <f t="shared" ca="1" si="1"/>
        <v>10254.034255203687</v>
      </c>
      <c r="O16" s="21">
        <f>O5</f>
        <v>12.506666666666668</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0.20728317035223809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25893.576431287427</v>
      </c>
      <c r="C20" s="23">
        <f t="shared" ref="C20:P20" ca="1" si="2">C16*C18</f>
        <v>243.29117647058825</v>
      </c>
      <c r="D20" s="23">
        <f t="shared" ca="1" si="2"/>
        <v>36067.51290055312</v>
      </c>
      <c r="E20" s="23">
        <f t="shared" si="2"/>
        <v>445.76756987516416</v>
      </c>
      <c r="F20" s="23">
        <f t="shared" ca="1" si="2"/>
        <v>5786.015378950673</v>
      </c>
      <c r="G20" s="23">
        <f t="shared" si="2"/>
        <v>0</v>
      </c>
      <c r="H20" s="23">
        <f t="shared" si="2"/>
        <v>0</v>
      </c>
      <c r="I20" s="23">
        <f t="shared" si="2"/>
        <v>0</v>
      </c>
      <c r="J20" s="23">
        <f t="shared" si="2"/>
        <v>8.8792740830299519E-2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21702.0842497862</v>
      </c>
      <c r="C26" s="39">
        <f>IF(ISERROR(B26*3.6/1000000/'E Balans VL '!Z12*100),0,B26*3.6/1000000/'E Balans VL '!Z12*100)</f>
        <v>0.45874768216207229</v>
      </c>
      <c r="D26" s="237" t="s">
        <v>754</v>
      </c>
      <c r="F26" s="6"/>
    </row>
    <row r="27" spans="1:18">
      <c r="A27" s="231" t="s">
        <v>53</v>
      </c>
      <c r="B27" s="33">
        <f>IF(ISERROR(TER_horeca_ele_kWh/1000),0,TER_horeca_ele_kWh/1000)</f>
        <v>12391.145005860699</v>
      </c>
      <c r="C27" s="39">
        <f>IF(ISERROR(B27*3.6/1000000/'E Balans VL '!Z9*100),0,B27*3.6/1000000/'E Balans VL '!Z9*100)</f>
        <v>0.97678934239647663</v>
      </c>
      <c r="D27" s="237" t="s">
        <v>754</v>
      </c>
      <c r="F27" s="6"/>
    </row>
    <row r="28" spans="1:18">
      <c r="A28" s="171" t="s">
        <v>52</v>
      </c>
      <c r="B28" s="33">
        <f>IF(ISERROR(TER_handel_ele_kWh/1000),0,TER_handel_ele_kWh/1000)</f>
        <v>43059.513807914598</v>
      </c>
      <c r="C28" s="39">
        <f>IF(ISERROR(B28*3.6/1000000/'E Balans VL '!Z13*100),0,B28*3.6/1000000/'E Balans VL '!Z13*100)</f>
        <v>1.2497610706369791</v>
      </c>
      <c r="D28" s="237" t="s">
        <v>754</v>
      </c>
      <c r="F28" s="6"/>
    </row>
    <row r="29" spans="1:18">
      <c r="A29" s="231" t="s">
        <v>51</v>
      </c>
      <c r="B29" s="33">
        <f>IF(ISERROR(TER_gezond_ele_kWh/1000),0,TER_gezond_ele_kWh/1000)</f>
        <v>20728.289204480599</v>
      </c>
      <c r="C29" s="39">
        <f>IF(ISERROR(B29*3.6/1000000/'E Balans VL '!Z10*100),0,B29*3.6/1000000/'E Balans VL '!Z10*100)</f>
        <v>2.1830292207249311</v>
      </c>
      <c r="D29" s="237" t="s">
        <v>754</v>
      </c>
      <c r="F29" s="6"/>
    </row>
    <row r="30" spans="1:18">
      <c r="A30" s="231" t="s">
        <v>50</v>
      </c>
      <c r="B30" s="33">
        <f>IF(ISERROR(TER_ander_ele_kWh/1000),0,TER_ander_ele_kWh/1000)</f>
        <v>10214.523736936699</v>
      </c>
      <c r="C30" s="39">
        <f>IF(ISERROR(B30*3.6/1000000/'E Balans VL '!Z14*100),0,B30*3.6/1000000/'E Balans VL '!Z14*100)</f>
        <v>0.75342548941997045</v>
      </c>
      <c r="D30" s="237" t="s">
        <v>754</v>
      </c>
      <c r="F30" s="6"/>
    </row>
    <row r="31" spans="1:18">
      <c r="A31" s="231" t="s">
        <v>55</v>
      </c>
      <c r="B31" s="33">
        <f>IF(ISERROR(TER_onderwijs_ele_kWh/1000),0,TER_onderwijs_ele_kWh/1000)</f>
        <v>4085.4573512453198</v>
      </c>
      <c r="C31" s="39">
        <f>IF(ISERROR(B31*3.6/1000000/'E Balans VL '!Z11*100),0,B31*3.6/1000000/'E Balans VL '!Z11*100)</f>
        <v>1.01461043440696</v>
      </c>
      <c r="D31" s="237" t="s">
        <v>754</v>
      </c>
    </row>
    <row r="32" spans="1:18">
      <c r="A32" s="231" t="s">
        <v>260</v>
      </c>
      <c r="B32" s="33">
        <f>IF(ISERROR(TER_rest_ele_kWh/1000),0,TER_rest_ele_kWh/1000)</f>
        <v>12021.2172714964</v>
      </c>
      <c r="C32" s="39">
        <f>IF(ISERROR(B32*3.6/1000000/'E Balans VL '!Z8*100),0,B32*3.6/1000000/'E Balans VL '!Z8*100)</f>
        <v>9.8918661600512256E-2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8</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96643.21257668102</v>
      </c>
      <c r="C5" s="17">
        <f>IF(ISERROR('Eigen informatie GS &amp; warmtenet'!B59),0,'Eigen informatie GS &amp; warmtenet'!B59)</f>
        <v>0</v>
      </c>
      <c r="D5" s="30">
        <f>SUM(D6:D15)</f>
        <v>127937.05471357246</v>
      </c>
      <c r="E5" s="17">
        <f>SUM(E6:E15)</f>
        <v>9921.0019037236361</v>
      </c>
      <c r="F5" s="17">
        <f>SUM(F6:F15)</f>
        <v>30979.774157781605</v>
      </c>
      <c r="G5" s="18"/>
      <c r="H5" s="17"/>
      <c r="I5" s="17"/>
      <c r="J5" s="17">
        <f>SUM(J6:J15)</f>
        <v>195.10961237849793</v>
      </c>
      <c r="K5" s="17"/>
      <c r="L5" s="17"/>
      <c r="M5" s="17"/>
      <c r="N5" s="17">
        <f>SUM(N6:N15)</f>
        <v>20979.200395315813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9044.4952106856199</v>
      </c>
      <c r="C8" s="33"/>
      <c r="D8" s="37">
        <f>IF( ISERROR(IND_metaal_Gas_kWH/1000),0,IND_metaal_Gas_kWH/1000)*0.902</f>
        <v>4123.0235240145203</v>
      </c>
      <c r="E8" s="33">
        <f>C30*'E Balans VL '!I18/100/3.6*1000000</f>
        <v>83.155398205707257</v>
      </c>
      <c r="F8" s="33">
        <f>C30*'E Balans VL '!L18/100/3.6*1000000+C30*'E Balans VL '!N18/100/3.6*1000000</f>
        <v>848.07252903582571</v>
      </c>
      <c r="G8" s="34"/>
      <c r="H8" s="33"/>
      <c r="I8" s="33"/>
      <c r="J8" s="40">
        <f>C30*'E Balans VL '!D18/100/3.6*1000000+C30*'E Balans VL '!E18/100/3.6*1000000</f>
        <v>0</v>
      </c>
      <c r="K8" s="33"/>
      <c r="L8" s="33"/>
      <c r="M8" s="33"/>
      <c r="N8" s="33">
        <f>C30*'E Balans VL '!Y18/100/3.6*1000000</f>
        <v>129.03467083818543</v>
      </c>
      <c r="O8" s="33"/>
      <c r="P8" s="33"/>
      <c r="R8" s="32"/>
    </row>
    <row r="9" spans="1:18">
      <c r="A9" s="6" t="s">
        <v>33</v>
      </c>
      <c r="B9" s="37">
        <f t="shared" si="0"/>
        <v>23289.708401749598</v>
      </c>
      <c r="C9" s="33"/>
      <c r="D9" s="37">
        <f>IF( ISERROR(IND_andere_gas_kWh/1000),0,IND_andere_gas_kWh/1000)*0.902</f>
        <v>12462.4630248584</v>
      </c>
      <c r="E9" s="33">
        <f>C31*'E Balans VL '!I19/100/3.6*1000000</f>
        <v>6808.0351629761053</v>
      </c>
      <c r="F9" s="33">
        <f>C31*'E Balans VL '!L19/100/3.6*1000000+C31*'E Balans VL '!N19/100/3.6*1000000</f>
        <v>18715.043569748974</v>
      </c>
      <c r="G9" s="34"/>
      <c r="H9" s="33"/>
      <c r="I9" s="33"/>
      <c r="J9" s="40">
        <f>C31*'E Balans VL '!D19/100/3.6*1000000+C31*'E Balans VL '!E19/100/3.6*1000000</f>
        <v>0</v>
      </c>
      <c r="K9" s="33"/>
      <c r="L9" s="33"/>
      <c r="M9" s="33"/>
      <c r="N9" s="33">
        <f>C31*'E Balans VL '!Y19/100/3.6*1000000</f>
        <v>7695.2808537064348</v>
      </c>
      <c r="O9" s="33"/>
      <c r="P9" s="33"/>
      <c r="R9" s="32"/>
    </row>
    <row r="10" spans="1:18">
      <c r="A10" s="6" t="s">
        <v>41</v>
      </c>
      <c r="B10" s="37">
        <f t="shared" si="0"/>
        <v>9665.0279475187199</v>
      </c>
      <c r="C10" s="33"/>
      <c r="D10" s="37">
        <f>IF( ISERROR(IND_voed_gas_kWh/1000),0,IND_voed_gas_kWh/1000)*0.902</f>
        <v>5060.3827726839245</v>
      </c>
      <c r="E10" s="33">
        <f>C32*'E Balans VL '!I20/100/3.6*1000000</f>
        <v>20.446516481009077</v>
      </c>
      <c r="F10" s="33">
        <f>C32*'E Balans VL '!L20/100/3.6*1000000+C32*'E Balans VL '!N20/100/3.6*1000000</f>
        <v>614.51234943978091</v>
      </c>
      <c r="G10" s="34"/>
      <c r="H10" s="33"/>
      <c r="I10" s="33"/>
      <c r="J10" s="40">
        <f>C32*'E Balans VL '!D20/100/3.6*1000000+C32*'E Balans VL '!E20/100/3.6*1000000</f>
        <v>0</v>
      </c>
      <c r="K10" s="33"/>
      <c r="L10" s="33"/>
      <c r="M10" s="33"/>
      <c r="N10" s="33">
        <f>C32*'E Balans VL '!Y20/100/3.6*1000000</f>
        <v>666.9823052050707</v>
      </c>
      <c r="O10" s="33"/>
      <c r="P10" s="33"/>
      <c r="R10" s="32"/>
    </row>
    <row r="11" spans="1:18">
      <c r="A11" s="6" t="s">
        <v>40</v>
      </c>
      <c r="B11" s="37">
        <f t="shared" si="0"/>
        <v>58.1123545744898</v>
      </c>
      <c r="C11" s="33"/>
      <c r="D11" s="37">
        <f>IF( ISERROR(IND_textiel_gas_kWh/1000),0,IND_textiel_gas_kWh/1000)*0.902</f>
        <v>49.444806501104942</v>
      </c>
      <c r="E11" s="33">
        <f>C33*'E Balans VL '!I21/100/3.6*1000000</f>
        <v>0.17258868283808743</v>
      </c>
      <c r="F11" s="33">
        <f>C33*'E Balans VL '!L21/100/3.6*1000000+C33*'E Balans VL '!N21/100/3.6*1000000</f>
        <v>5.8709432353826099</v>
      </c>
      <c r="G11" s="34"/>
      <c r="H11" s="33"/>
      <c r="I11" s="33"/>
      <c r="J11" s="40">
        <f>C33*'E Balans VL '!D21/100/3.6*1000000+C33*'E Balans VL '!E21/100/3.6*1000000</f>
        <v>0</v>
      </c>
      <c r="K11" s="33"/>
      <c r="L11" s="33"/>
      <c r="M11" s="33"/>
      <c r="N11" s="33">
        <f>C33*'E Balans VL '!Y21/100/3.6*1000000</f>
        <v>3.2050818118929354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89.556393135402203</v>
      </c>
      <c r="C13" s="33"/>
      <c r="D13" s="37">
        <f>IF( ISERROR(IND_papier_gas_kWh/1000),0,IND_papier_gas_kWh/1000)*0.902</f>
        <v>96.998811024085484</v>
      </c>
      <c r="E13" s="33">
        <f>C35*'E Balans VL '!I23/100/3.6*1000000</f>
        <v>0.12706004047102229</v>
      </c>
      <c r="F13" s="33">
        <f>C35*'E Balans VL '!L23/100/3.6*1000000+C35*'E Balans VL '!N23/100/3.6*1000000</f>
        <v>2.1864083101853566</v>
      </c>
      <c r="G13" s="34"/>
      <c r="H13" s="33"/>
      <c r="I13" s="33"/>
      <c r="J13" s="40">
        <f>C35*'E Balans VL '!D23/100/3.6*1000000+C35*'E Balans VL '!E23/100/3.6*1000000</f>
        <v>1.3850737005045324E-2</v>
      </c>
      <c r="K13" s="33"/>
      <c r="L13" s="33"/>
      <c r="M13" s="33"/>
      <c r="N13" s="33">
        <f>C35*'E Balans VL '!Y23/100/3.6*1000000</f>
        <v>260.31923539024149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54496.312269017195</v>
      </c>
      <c r="C15" s="33"/>
      <c r="D15" s="37">
        <f>IF( ISERROR(IND_rest_gas_kWh/1000),0,IND_rest_gas_kWh/1000)*0.902</f>
        <v>106144.74177449044</v>
      </c>
      <c r="E15" s="33">
        <f>C37*'E Balans VL '!I15/100/3.6*1000000</f>
        <v>3009.0651773375043</v>
      </c>
      <c r="F15" s="33">
        <f>C37*'E Balans VL '!L15/100/3.6*1000000+C37*'E Balans VL '!N15/100/3.6*1000000</f>
        <v>10794.088358011455</v>
      </c>
      <c r="G15" s="34"/>
      <c r="H15" s="33"/>
      <c r="I15" s="33"/>
      <c r="J15" s="40">
        <f>C37*'E Balans VL '!D15/100/3.6*1000000+C37*'E Balans VL '!E15/100/3.6*1000000</f>
        <v>195.09576164149289</v>
      </c>
      <c r="K15" s="33"/>
      <c r="L15" s="33"/>
      <c r="M15" s="33"/>
      <c r="N15" s="33">
        <f>C37*'E Balans VL '!Y15/100/3.6*1000000</f>
        <v>12224.378248363986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96643.21257668102</v>
      </c>
      <c r="C18" s="21">
        <f>C5+C16</f>
        <v>0</v>
      </c>
      <c r="D18" s="21">
        <f>MAX((D5+D16),0)</f>
        <v>127937.05471357246</v>
      </c>
      <c r="E18" s="21">
        <f>MAX((E5+E16),0)</f>
        <v>9921.0019037236361</v>
      </c>
      <c r="F18" s="21">
        <f>MAX((F5+F16),0)</f>
        <v>30979.774157781605</v>
      </c>
      <c r="G18" s="21"/>
      <c r="H18" s="21"/>
      <c r="I18" s="21"/>
      <c r="J18" s="21">
        <f>MAX((J5+J16),0)</f>
        <v>195.10961237849793</v>
      </c>
      <c r="K18" s="21"/>
      <c r="L18" s="21">
        <f>MAX((L5+L16),0)</f>
        <v>0</v>
      </c>
      <c r="M18" s="21"/>
      <c r="N18" s="21">
        <f>MAX((N5+N16),0)</f>
        <v>20979.200395315813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0.20728317035223809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20032.511495919731</v>
      </c>
      <c r="C22" s="23">
        <f ca="1">C18*C20</f>
        <v>0</v>
      </c>
      <c r="D22" s="23">
        <f>D18*D20</f>
        <v>25843.28505214164</v>
      </c>
      <c r="E22" s="23">
        <f>E18*E20</f>
        <v>2252.0674321452657</v>
      </c>
      <c r="F22" s="23">
        <f>F18*F20</f>
        <v>8271.5997001276883</v>
      </c>
      <c r="G22" s="23"/>
      <c r="H22" s="23"/>
      <c r="I22" s="23"/>
      <c r="J22" s="23">
        <f>J18*J20</f>
        <v>69.068802781988268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9044.4952106856199</v>
      </c>
      <c r="C30" s="39">
        <f>IF(ISERROR(B30*3.6/1000000/'E Balans VL '!Z18*100),0,B30*3.6/1000000/'E Balans VL '!Z18*100)</f>
        <v>0.51257473519211738</v>
      </c>
      <c r="D30" s="237" t="s">
        <v>754</v>
      </c>
    </row>
    <row r="31" spans="1:18">
      <c r="A31" s="6" t="s">
        <v>33</v>
      </c>
      <c r="B31" s="37">
        <f>IF( ISERROR(IND_ander_ele_kWh/1000),0,IND_ander_ele_kWh/1000)</f>
        <v>23289.708401749598</v>
      </c>
      <c r="C31" s="39">
        <f>IF(ISERROR(B31*3.6/1000000/'E Balans VL '!Z19*100),0,B31*3.6/1000000/'E Balans VL '!Z19*100)</f>
        <v>1.056324196445426</v>
      </c>
      <c r="D31" s="237" t="s">
        <v>754</v>
      </c>
    </row>
    <row r="32" spans="1:18">
      <c r="A32" s="171" t="s">
        <v>41</v>
      </c>
      <c r="B32" s="37">
        <f>IF( ISERROR(IND_voed_ele_kWh/1000),0,IND_voed_ele_kWh/1000)</f>
        <v>9665.0279475187199</v>
      </c>
      <c r="C32" s="39">
        <f>IF(ISERROR(B32*3.6/1000000/'E Balans VL '!Z20*100),0,B32*3.6/1000000/'E Balans VL '!Z20*100)</f>
        <v>0.29898318993898437</v>
      </c>
      <c r="D32" s="237" t="s">
        <v>754</v>
      </c>
    </row>
    <row r="33" spans="1:5">
      <c r="A33" s="171" t="s">
        <v>40</v>
      </c>
      <c r="B33" s="37">
        <f>IF( ISERROR(IND_textiel_ele_kWh/1000),0,IND_textiel_ele_kWh/1000)</f>
        <v>58.1123545744898</v>
      </c>
      <c r="C33" s="39">
        <f>IF(ISERROR(B33*3.6/1000000/'E Balans VL '!Z21*100),0,B33*3.6/1000000/'E Balans VL '!Z21*100)</f>
        <v>7.5772050848004254E-3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89.556393135402203</v>
      </c>
      <c r="C35" s="39">
        <f>IF(ISERROR(B35*3.6/1000000/'E Balans VL '!Z22*100),0,B35*3.6/1000000/'E Balans VL '!Z22*100)</f>
        <v>1.6108400997772762E-2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54496.312269017195</v>
      </c>
      <c r="C37" s="39">
        <f>IF(ISERROR(B37*3.6/1000000/'E Balans VL '!Z15*100),0,B37*3.6/1000000/'E Balans VL '!Z15*100)</f>
        <v>0.43195020256858702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1768.1472951760929</v>
      </c>
      <c r="C5" s="17">
        <f>'Eigen informatie GS &amp; warmtenet'!B60</f>
        <v>0</v>
      </c>
      <c r="D5" s="30">
        <f>IF(ISERROR(SUM(LB_lb_gas_kWh,LB_rest_gas_kWh,onbekend_gas_kWh)/1000),0,SUM(LB_lb_gas_kWh,LB_rest_gas_kWh,onbekend_gas_kWh)/1000)*0.902</f>
        <v>20512.270404583986</v>
      </c>
      <c r="E5" s="17">
        <f>B17*'E Balans VL '!I25/3.6*1000000/100</f>
        <v>51.971249550403854</v>
      </c>
      <c r="F5" s="17">
        <f>B17*('E Balans VL '!L25/3.6*1000000+'E Balans VL '!N25/3.6*1000000)/100</f>
        <v>7366.0060860387402</v>
      </c>
      <c r="G5" s="18"/>
      <c r="H5" s="17"/>
      <c r="I5" s="17"/>
      <c r="J5" s="17">
        <f>('E Balans VL '!D25+'E Balans VL '!E25)/3.6*1000000*landbouw!B17/100</f>
        <v>256.16657167319761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1768.1472951760929</v>
      </c>
      <c r="C8" s="21">
        <f>C5+C6</f>
        <v>0</v>
      </c>
      <c r="D8" s="21">
        <f>MAX((D5+D6),0)</f>
        <v>20512.270404583986</v>
      </c>
      <c r="E8" s="21">
        <f>MAX((E5+E6),0)</f>
        <v>51.971249550403854</v>
      </c>
      <c r="F8" s="21">
        <f>MAX((F5+F6),0)</f>
        <v>7366.0060860387402</v>
      </c>
      <c r="G8" s="21"/>
      <c r="H8" s="21"/>
      <c r="I8" s="21"/>
      <c r="J8" s="21">
        <f>MAX((J5+J6),0)</f>
        <v>256.16657167319761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0.20728317035223809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366.50717699383506</v>
      </c>
      <c r="C12" s="23">
        <f ca="1">C8*C10</f>
        <v>0</v>
      </c>
      <c r="D12" s="23">
        <f>D8*D10</f>
        <v>4143.4786217259652</v>
      </c>
      <c r="E12" s="23">
        <f>E8*E10</f>
        <v>11.797473647941676</v>
      </c>
      <c r="F12" s="23">
        <f>F8*F10</f>
        <v>1966.7236249723437</v>
      </c>
      <c r="G12" s="23"/>
      <c r="H12" s="23"/>
      <c r="I12" s="23"/>
      <c r="J12" s="23">
        <f>J8*J10</f>
        <v>90.682966372311952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0.25090564857844794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164.12698589468508</v>
      </c>
      <c r="C26" s="247">
        <f>B26*'GWP N2O_CH4'!B5</f>
        <v>3446.6667037883867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44.554784900350128</v>
      </c>
      <c r="C27" s="247">
        <f>B27*'GWP N2O_CH4'!B5</f>
        <v>935.65048290735274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2.0014612285834987</v>
      </c>
      <c r="C28" s="247">
        <f>B28*'GWP N2O_CH4'!B4</f>
        <v>620.45298086088462</v>
      </c>
      <c r="D28" s="50"/>
    </row>
    <row r="29" spans="1:4">
      <c r="A29" s="41" t="s">
        <v>277</v>
      </c>
      <c r="B29" s="247">
        <f>B34*'ha_N2O bodem landbouw'!B4</f>
        <v>16.616222256896812</v>
      </c>
      <c r="C29" s="247">
        <f>B29*'GWP N2O_CH4'!B4</f>
        <v>5151.0288996380114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3.7917646569745342E-3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8.9296757909284284E-4</v>
      </c>
      <c r="C5" s="463" t="s">
        <v>211</v>
      </c>
      <c r="D5" s="448">
        <f>SUM(D6:D11)</f>
        <v>3.2060982680070372E-3</v>
      </c>
      <c r="E5" s="448">
        <f>SUM(E6:E11)</f>
        <v>4.695717201690066E-3</v>
      </c>
      <c r="F5" s="461" t="s">
        <v>211</v>
      </c>
      <c r="G5" s="448">
        <f>SUM(G6:G11)</f>
        <v>1.7408548893167519</v>
      </c>
      <c r="H5" s="448">
        <f>SUM(H6:H11)</f>
        <v>0.36732864612694754</v>
      </c>
      <c r="I5" s="463" t="s">
        <v>211</v>
      </c>
      <c r="J5" s="463" t="s">
        <v>211</v>
      </c>
      <c r="K5" s="463" t="s">
        <v>211</v>
      </c>
      <c r="L5" s="463" t="s">
        <v>211</v>
      </c>
      <c r="M5" s="448">
        <f>SUM(M6:M11)</f>
        <v>0.11261275212849042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2.8702271858441675E-4</v>
      </c>
      <c r="C6" s="449"/>
      <c r="D6" s="962">
        <f>vkm_2011_GW_PW*SUMIFS(TableVerdeelsleutelVkm[CNG],TableVerdeelsleutelVkm[Voertuigtype],"Lichte voertuigen")*SUMIFS(TableECFTransport[EnergieConsumptieFactor (PJ per km)],TableECFTransport[Index],CONCATENATE($A6,"_CNG_CNG"))</f>
        <v>8.609034196973371E-4</v>
      </c>
      <c r="E6" s="962">
        <f>vkm_2011_GW_PW*SUMIFS(TableVerdeelsleutelVkm[LPG],TableVerdeelsleutelVkm[Voertuigtype],"Lichte voertuigen")*SUMIFS(TableECFTransport[EnergieConsumptieFactor (PJ per km)],TableECFTransport[Index],CONCATENATE($A6,"_LPG_LPG"))</f>
        <v>1.1761177339884262E-3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0.30409013193451145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9.7900731523405851E-2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2.0672001985671238E-2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0.18359294897210865</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5.5945613266488191E-5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1.0728562317431243E-2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2.0224495049971604E-4</v>
      </c>
      <c r="C8" s="449"/>
      <c r="D8" s="451">
        <f>vkm_2011_NGW_PW*SUMIFS(TableVerdeelsleutelVkm[CNG],TableVerdeelsleutelVkm[Voertuigtype],"Lichte voertuigen")*SUMIFS(TableECFTransport[EnergieConsumptieFactor (PJ per km)],TableECFTransport[Index],CONCATENATE($A8,"_CNG_CNG"))</f>
        <v>1.0785749747665608E-3</v>
      </c>
      <c r="E8" s="451">
        <f>vkm_2011_NGW_PW*SUMIFS(TableVerdeelsleutelVkm[LPG],TableVerdeelsleutelVkm[Voertuigtype],"Lichte voertuigen")*SUMIFS(TableECFTransport[EnergieConsumptieFactor (PJ per km)],TableECFTransport[Index],CONCATENATE($A8,"_LPG_LPG"))</f>
        <v>1.364617410011023E-3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0.32879790451860641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0.1191928582679357</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2.2747360331119005E-2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0.11576972239646435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3.3211270111831195E-5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6.7651368405413819E-3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4.0369991000871008E-4</v>
      </c>
      <c r="C10" s="449"/>
      <c r="D10" s="451">
        <f>vkm_2011_SW_PW*SUMIFS(TableVerdeelsleutelVkm[CNG],TableVerdeelsleutelVkm[Voertuigtype],"Lichte voertuigen")*SUMIFS(TableECFTransport[EnergieConsumptieFactor (PJ per km)],TableECFTransport[Index],CONCATENATE($A10,"_CNG_CNG"))</f>
        <v>1.2666198735431394E-3</v>
      </c>
      <c r="E10" s="451">
        <f>vkm_2011_SW_PW*SUMIFS(TableVerdeelsleutelVkm[LPG],TableVerdeelsleutelVkm[Voertuigtype],"Lichte voertuigen")*SUMIFS(TableECFTransport[EnergieConsumptieFactor (PJ per km)],TableECFTransport[Index],CONCATENATE($A10,"_LPG_LPG"))</f>
        <v>2.1549820576906163E-3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0.49672824683533578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0.15004327013665333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3.3474471345683279E-2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0.3118759346597253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1.0262931557431754E-4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1.8225219308044265E-2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248.0465497480119</v>
      </c>
      <c r="C14" s="21"/>
      <c r="D14" s="21">
        <f t="shared" ref="D14:M14" si="0">((D5)*10^9/3600)+D12</f>
        <v>890.58285222417703</v>
      </c>
      <c r="E14" s="21">
        <f t="shared" si="0"/>
        <v>1304.3658893583515</v>
      </c>
      <c r="F14" s="21"/>
      <c r="G14" s="21">
        <f t="shared" si="0"/>
        <v>483570.80258798663</v>
      </c>
      <c r="H14" s="21">
        <f t="shared" si="0"/>
        <v>102035.73503526321</v>
      </c>
      <c r="I14" s="21"/>
      <c r="J14" s="21"/>
      <c r="K14" s="21"/>
      <c r="L14" s="21"/>
      <c r="M14" s="21">
        <f t="shared" si="0"/>
        <v>31281.320035691784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0.20728317035223809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51.415875226702049</v>
      </c>
      <c r="C18" s="23"/>
      <c r="D18" s="23">
        <f t="shared" ref="D18:M18" si="1">D14*D16</f>
        <v>179.89773614928376</v>
      </c>
      <c r="E18" s="23">
        <f t="shared" si="1"/>
        <v>296.09105688434579</v>
      </c>
      <c r="F18" s="23"/>
      <c r="G18" s="23">
        <f t="shared" si="1"/>
        <v>129113.40429099243</v>
      </c>
      <c r="H18" s="23">
        <f t="shared" si="1"/>
        <v>25406.898023780537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3.8469081014118736E-2</v>
      </c>
      <c r="H50" s="321">
        <f t="shared" si="2"/>
        <v>0</v>
      </c>
      <c r="I50" s="321">
        <f t="shared" si="2"/>
        <v>0</v>
      </c>
      <c r="J50" s="321">
        <f t="shared" si="2"/>
        <v>0</v>
      </c>
      <c r="K50" s="321">
        <f t="shared" si="2"/>
        <v>0</v>
      </c>
      <c r="L50" s="321">
        <f t="shared" si="2"/>
        <v>0</v>
      </c>
      <c r="M50" s="321">
        <f t="shared" si="2"/>
        <v>2.184873976905363E-3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3.8469081014118736E-2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2.184873976905363E-3</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10685.855837255205</v>
      </c>
      <c r="H54" s="21">
        <f t="shared" si="3"/>
        <v>0</v>
      </c>
      <c r="I54" s="21">
        <f t="shared" si="3"/>
        <v>0</v>
      </c>
      <c r="J54" s="21">
        <f t="shared" si="3"/>
        <v>0</v>
      </c>
      <c r="K54" s="21">
        <f t="shared" si="3"/>
        <v>0</v>
      </c>
      <c r="L54" s="21">
        <f t="shared" si="3"/>
        <v>0</v>
      </c>
      <c r="M54" s="21">
        <f t="shared" si="3"/>
        <v>606.90943802926756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0.20728317035223809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2853.1235085471399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22938.053689851513</v>
      </c>
      <c r="C6" s="1263"/>
      <c r="D6" s="1248"/>
      <c r="E6" s="1248"/>
      <c r="F6" s="1266"/>
      <c r="G6" s="1269"/>
      <c r="H6" s="1260"/>
      <c r="I6" s="1248"/>
      <c r="J6" s="1248"/>
      <c r="K6" s="1248"/>
      <c r="L6" s="1252"/>
      <c r="M6" s="575"/>
      <c r="N6" s="1226"/>
      <c r="O6" s="1227"/>
      <c r="Q6" s="573"/>
      <c r="R6" s="1214"/>
      <c r="S6" s="1214"/>
    </row>
    <row r="7" spans="1:19" s="563" customFormat="1">
      <c r="A7" s="576" t="s">
        <v>252</v>
      </c>
      <c r="B7" s="577">
        <f>N57</f>
        <v>716.625</v>
      </c>
      <c r="C7" s="578">
        <f>B100</f>
        <v>843.08823529411768</v>
      </c>
      <c r="D7" s="579"/>
      <c r="E7" s="579">
        <f>E100</f>
        <v>0</v>
      </c>
      <c r="F7" s="580"/>
      <c r="G7" s="581"/>
      <c r="H7" s="579">
        <f>I100</f>
        <v>0</v>
      </c>
      <c r="I7" s="579">
        <f>G100+F100</f>
        <v>0</v>
      </c>
      <c r="J7" s="579">
        <f>H100+D100+C100</f>
        <v>0</v>
      </c>
      <c r="K7" s="579"/>
      <c r="L7" s="582"/>
      <c r="M7" s="583">
        <f>C7*$C$11+D7*$D$11+E7*$E$11+F7*$F$11+G7*$G$11+H7*$H$11+I7*$I$11+J7*$J$11</f>
        <v>170.30382352941177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23654.678689851513</v>
      </c>
      <c r="C9" s="594">
        <f t="shared" ref="C9:L9" si="0">SUM(C7:C8)</f>
        <v>843.08823529411768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170.30382352941177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1023.75</v>
      </c>
      <c r="C16" s="610">
        <f>B101</f>
        <v>1204.4117647058824</v>
      </c>
      <c r="D16" s="611"/>
      <c r="E16" s="611">
        <f>E101</f>
        <v>0</v>
      </c>
      <c r="F16" s="612"/>
      <c r="G16" s="613"/>
      <c r="H16" s="610">
        <f>I101</f>
        <v>0</v>
      </c>
      <c r="I16" s="611">
        <f>G101+F101</f>
        <v>0</v>
      </c>
      <c r="J16" s="611">
        <f>H101+D101+C101</f>
        <v>0</v>
      </c>
      <c r="K16" s="611"/>
      <c r="L16" s="614"/>
      <c r="M16" s="615">
        <f>C16*$C$21+E16*$E$21+H16*$H$21+I16*$I$21+J16*$J$21+D16*$D$21+F16*$F$21+G16*$G$21+K16*$K$21+L16*$L$21</f>
        <v>243.29117647058825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1023.75</v>
      </c>
      <c r="C19" s="593">
        <f>SUM(C16:C18)</f>
        <v>1204.4117647058824</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243.29117647058825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41002</v>
      </c>
      <c r="C27" s="851">
        <v>9300</v>
      </c>
      <c r="D27" s="672"/>
      <c r="E27" s="671"/>
      <c r="F27" s="671" t="s">
        <v>844</v>
      </c>
      <c r="G27" s="671" t="s">
        <v>845</v>
      </c>
      <c r="H27" s="671" t="s">
        <v>846</v>
      </c>
      <c r="I27" s="671" t="s">
        <v>847</v>
      </c>
      <c r="J27" s="850">
        <v>42222</v>
      </c>
      <c r="K27" s="850">
        <v>42257</v>
      </c>
      <c r="L27" s="671" t="s">
        <v>848</v>
      </c>
      <c r="M27" s="671">
        <v>637</v>
      </c>
      <c r="N27" s="671">
        <v>716.625</v>
      </c>
      <c r="O27" s="671">
        <v>1023.75</v>
      </c>
      <c r="P27" s="671">
        <v>2047.5000000000002</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637</v>
      </c>
      <c r="N57" s="629">
        <f>SUM(N27:N56)</f>
        <v>716.625</v>
      </c>
      <c r="O57" s="629">
        <f t="shared" ref="O57:W57" si="2">SUM(O27:O56)</f>
        <v>1023.75</v>
      </c>
      <c r="P57" s="629">
        <f t="shared" si="2"/>
        <v>2047.5000000000002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637</v>
      </c>
      <c r="N59" s="629">
        <f ca="1">SUMIF($Z$27:AB56,"tertiair",N27:N56)</f>
        <v>716.625</v>
      </c>
      <c r="O59" s="629">
        <f ca="1">SUMIF($Z$27:AC56,"tertiair",O27:O56)</f>
        <v>1023.75</v>
      </c>
      <c r="P59" s="629">
        <f ca="1">SUMIF($Z$27:AD56,"tertiair",P27:P56)</f>
        <v>2047.5000000000002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843.08823529411768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1204.4117647058824</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129077.7366277205</v>
      </c>
      <c r="D10" s="718">
        <f ca="1">tertiair!C16</f>
        <v>1023.75</v>
      </c>
      <c r="E10" s="718">
        <f ca="1">tertiair!D16</f>
        <v>178552.04406214415</v>
      </c>
      <c r="F10" s="718">
        <f>tertiair!E16</f>
        <v>1963.7337879963179</v>
      </c>
      <c r="G10" s="718">
        <f ca="1">tertiair!F16</f>
        <v>21670.469584084916</v>
      </c>
      <c r="H10" s="718">
        <f>tertiair!G16</f>
        <v>0</v>
      </c>
      <c r="I10" s="718">
        <f>tertiair!H16</f>
        <v>0</v>
      </c>
      <c r="J10" s="718">
        <f>tertiair!I16</f>
        <v>0</v>
      </c>
      <c r="K10" s="718">
        <f>tertiair!J16</f>
        <v>0.25082695149802126</v>
      </c>
      <c r="L10" s="718">
        <f>tertiair!K16</f>
        <v>0</v>
      </c>
      <c r="M10" s="718">
        <f ca="1">tertiair!L16</f>
        <v>0</v>
      </c>
      <c r="N10" s="718">
        <f>tertiair!M16</f>
        <v>0</v>
      </c>
      <c r="O10" s="718">
        <f ca="1">tertiair!N16</f>
        <v>10254.034255203687</v>
      </c>
      <c r="P10" s="718">
        <f>tertiair!O16</f>
        <v>12.506666666666668</v>
      </c>
      <c r="Q10" s="719">
        <f>tertiair!P16</f>
        <v>152.53333333333333</v>
      </c>
      <c r="R10" s="721">
        <f ca="1">SUM(C10:Q10)</f>
        <v>342707.05914410111</v>
      </c>
      <c r="S10" s="67"/>
    </row>
    <row r="11" spans="1:19" s="474" customFormat="1">
      <c r="A11" s="870" t="s">
        <v>225</v>
      </c>
      <c r="B11" s="875"/>
      <c r="C11" s="718">
        <f>huishoudens!B8</f>
        <v>140961.76892943232</v>
      </c>
      <c r="D11" s="718">
        <f>huishoudens!C8</f>
        <v>0</v>
      </c>
      <c r="E11" s="718">
        <f>huishoudens!D8</f>
        <v>354412.10193593416</v>
      </c>
      <c r="F11" s="718">
        <f>huishoudens!E8</f>
        <v>21595.659147225659</v>
      </c>
      <c r="G11" s="718">
        <f>huishoudens!F8</f>
        <v>35171.826231133411</v>
      </c>
      <c r="H11" s="718">
        <f>huishoudens!G8</f>
        <v>0</v>
      </c>
      <c r="I11" s="718">
        <f>huishoudens!H8</f>
        <v>0</v>
      </c>
      <c r="J11" s="718">
        <f>huishoudens!I8</f>
        <v>0</v>
      </c>
      <c r="K11" s="718">
        <f>huishoudens!J8</f>
        <v>1741.860152196587</v>
      </c>
      <c r="L11" s="718">
        <f>huishoudens!K8</f>
        <v>0</v>
      </c>
      <c r="M11" s="718">
        <f>huishoudens!L8</f>
        <v>0</v>
      </c>
      <c r="N11" s="718">
        <f>huishoudens!M8</f>
        <v>0</v>
      </c>
      <c r="O11" s="718">
        <f>huishoudens!N8</f>
        <v>52634.268291831198</v>
      </c>
      <c r="P11" s="718">
        <f>huishoudens!O8</f>
        <v>844.2</v>
      </c>
      <c r="Q11" s="719">
        <f>huishoudens!P8</f>
        <v>2459.6</v>
      </c>
      <c r="R11" s="721">
        <f>SUM(C11:Q11)</f>
        <v>609821.2846877533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96643.21257668102</v>
      </c>
      <c r="D13" s="718">
        <f>industrie!C18</f>
        <v>0</v>
      </c>
      <c r="E13" s="718">
        <f>industrie!D18</f>
        <v>127937.05471357246</v>
      </c>
      <c r="F13" s="718">
        <f>industrie!E18</f>
        <v>9921.0019037236361</v>
      </c>
      <c r="G13" s="718">
        <f>industrie!F18</f>
        <v>30979.774157781605</v>
      </c>
      <c r="H13" s="718">
        <f>industrie!G18</f>
        <v>0</v>
      </c>
      <c r="I13" s="718">
        <f>industrie!H18</f>
        <v>0</v>
      </c>
      <c r="J13" s="718">
        <f>industrie!I18</f>
        <v>0</v>
      </c>
      <c r="K13" s="718">
        <f>industrie!J18</f>
        <v>195.10961237849793</v>
      </c>
      <c r="L13" s="718">
        <f>industrie!K18</f>
        <v>0</v>
      </c>
      <c r="M13" s="718">
        <f>industrie!L18</f>
        <v>0</v>
      </c>
      <c r="N13" s="718">
        <f>industrie!M18</f>
        <v>0</v>
      </c>
      <c r="O13" s="718">
        <f>industrie!N18</f>
        <v>20979.200395315813</v>
      </c>
      <c r="P13" s="718">
        <f>industrie!O18</f>
        <v>0</v>
      </c>
      <c r="Q13" s="719">
        <f>industrie!P18</f>
        <v>0</v>
      </c>
      <c r="R13" s="721">
        <f>SUM(C13:Q13)</f>
        <v>286655.35335945309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366682.71813383384</v>
      </c>
      <c r="D15" s="723">
        <f t="shared" ref="D15:Q15" ca="1" si="0">SUM(D9:D14)</f>
        <v>1023.75</v>
      </c>
      <c r="E15" s="723">
        <f t="shared" ca="1" si="0"/>
        <v>660901.20071165077</v>
      </c>
      <c r="F15" s="723">
        <f t="shared" si="0"/>
        <v>33480.394838945613</v>
      </c>
      <c r="G15" s="723">
        <f t="shared" ca="1" si="0"/>
        <v>87822.069972999932</v>
      </c>
      <c r="H15" s="723">
        <f t="shared" si="0"/>
        <v>0</v>
      </c>
      <c r="I15" s="723">
        <f t="shared" si="0"/>
        <v>0</v>
      </c>
      <c r="J15" s="723">
        <f t="shared" si="0"/>
        <v>0</v>
      </c>
      <c r="K15" s="723">
        <f t="shared" si="0"/>
        <v>1937.2205915265831</v>
      </c>
      <c r="L15" s="723">
        <f t="shared" si="0"/>
        <v>0</v>
      </c>
      <c r="M15" s="723">
        <f t="shared" ca="1" si="0"/>
        <v>0</v>
      </c>
      <c r="N15" s="723">
        <f t="shared" si="0"/>
        <v>0</v>
      </c>
      <c r="O15" s="723">
        <f t="shared" ca="1" si="0"/>
        <v>83867.502942350693</v>
      </c>
      <c r="P15" s="723">
        <f t="shared" si="0"/>
        <v>856.70666666666671</v>
      </c>
      <c r="Q15" s="724">
        <f t="shared" si="0"/>
        <v>2612.1333333333332</v>
      </c>
      <c r="R15" s="725">
        <f ca="1">SUM(R9:R14)</f>
        <v>1239183.6971913076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10685.855837255205</v>
      </c>
      <c r="I18" s="718">
        <f>transport!H54</f>
        <v>0</v>
      </c>
      <c r="J18" s="718">
        <f>transport!I54</f>
        <v>0</v>
      </c>
      <c r="K18" s="718">
        <f>transport!J54</f>
        <v>0</v>
      </c>
      <c r="L18" s="718">
        <f>transport!K54</f>
        <v>0</v>
      </c>
      <c r="M18" s="718">
        <f>transport!L54</f>
        <v>0</v>
      </c>
      <c r="N18" s="718">
        <f>transport!M54</f>
        <v>606.90943802926756</v>
      </c>
      <c r="O18" s="718">
        <f>transport!N54</f>
        <v>0</v>
      </c>
      <c r="P18" s="718">
        <f>transport!O54</f>
        <v>0</v>
      </c>
      <c r="Q18" s="719">
        <f>transport!P54</f>
        <v>0</v>
      </c>
      <c r="R18" s="721">
        <f>SUM(C18:Q18)</f>
        <v>11292.765275284473</v>
      </c>
      <c r="S18" s="67"/>
    </row>
    <row r="19" spans="1:19" s="474" customFormat="1" ht="15" thickBot="1">
      <c r="A19" s="870" t="s">
        <v>307</v>
      </c>
      <c r="B19" s="875"/>
      <c r="C19" s="727">
        <f>transport!B14</f>
        <v>248.0465497480119</v>
      </c>
      <c r="D19" s="727">
        <f>transport!C14</f>
        <v>0</v>
      </c>
      <c r="E19" s="727">
        <f>transport!D14</f>
        <v>890.58285222417703</v>
      </c>
      <c r="F19" s="727">
        <f>transport!E14</f>
        <v>1304.3658893583515</v>
      </c>
      <c r="G19" s="727">
        <f>transport!F14</f>
        <v>0</v>
      </c>
      <c r="H19" s="727">
        <f>transport!G14</f>
        <v>483570.80258798663</v>
      </c>
      <c r="I19" s="727">
        <f>transport!H14</f>
        <v>102035.73503526321</v>
      </c>
      <c r="J19" s="727">
        <f>transport!I14</f>
        <v>0</v>
      </c>
      <c r="K19" s="727">
        <f>transport!J14</f>
        <v>0</v>
      </c>
      <c r="L19" s="727">
        <f>transport!K14</f>
        <v>0</v>
      </c>
      <c r="M19" s="727">
        <f>transport!L14</f>
        <v>0</v>
      </c>
      <c r="N19" s="727">
        <f>transport!M14</f>
        <v>31281.320035691784</v>
      </c>
      <c r="O19" s="727">
        <f>transport!N14</f>
        <v>0</v>
      </c>
      <c r="P19" s="727">
        <f>transport!O14</f>
        <v>0</v>
      </c>
      <c r="Q19" s="728">
        <f>transport!P14</f>
        <v>0</v>
      </c>
      <c r="R19" s="729">
        <f>SUM(C19:Q19)</f>
        <v>619330.85295027227</v>
      </c>
      <c r="S19" s="67"/>
    </row>
    <row r="20" spans="1:19" s="474" customFormat="1" ht="15.75" thickBot="1">
      <c r="A20" s="730" t="s">
        <v>230</v>
      </c>
      <c r="B20" s="878"/>
      <c r="C20" s="873">
        <f>SUM(C17:C19)</f>
        <v>248.0465497480119</v>
      </c>
      <c r="D20" s="731">
        <f t="shared" ref="D20:R20" si="1">SUM(D17:D19)</f>
        <v>0</v>
      </c>
      <c r="E20" s="731">
        <f t="shared" si="1"/>
        <v>890.58285222417703</v>
      </c>
      <c r="F20" s="731">
        <f t="shared" si="1"/>
        <v>1304.3658893583515</v>
      </c>
      <c r="G20" s="731">
        <f t="shared" si="1"/>
        <v>0</v>
      </c>
      <c r="H20" s="731">
        <f t="shared" si="1"/>
        <v>494256.65842524183</v>
      </c>
      <c r="I20" s="731">
        <f t="shared" si="1"/>
        <v>102035.73503526321</v>
      </c>
      <c r="J20" s="731">
        <f t="shared" si="1"/>
        <v>0</v>
      </c>
      <c r="K20" s="731">
        <f t="shared" si="1"/>
        <v>0</v>
      </c>
      <c r="L20" s="731">
        <f t="shared" si="1"/>
        <v>0</v>
      </c>
      <c r="M20" s="731">
        <f t="shared" si="1"/>
        <v>0</v>
      </c>
      <c r="N20" s="731">
        <f t="shared" si="1"/>
        <v>31888.22947372105</v>
      </c>
      <c r="O20" s="731">
        <f t="shared" si="1"/>
        <v>0</v>
      </c>
      <c r="P20" s="731">
        <f t="shared" si="1"/>
        <v>0</v>
      </c>
      <c r="Q20" s="732">
        <f t="shared" si="1"/>
        <v>0</v>
      </c>
      <c r="R20" s="733">
        <f t="shared" si="1"/>
        <v>630623.6182255568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1768.1472951760929</v>
      </c>
      <c r="D22" s="727">
        <f>+landbouw!C8</f>
        <v>0</v>
      </c>
      <c r="E22" s="727">
        <f>+landbouw!D8</f>
        <v>20512.270404583986</v>
      </c>
      <c r="F22" s="727">
        <f>+landbouw!E8</f>
        <v>51.971249550403854</v>
      </c>
      <c r="G22" s="727">
        <f>+landbouw!F8</f>
        <v>7366.0060860387402</v>
      </c>
      <c r="H22" s="727">
        <f>+landbouw!G8</f>
        <v>0</v>
      </c>
      <c r="I22" s="727">
        <f>+landbouw!H8</f>
        <v>0</v>
      </c>
      <c r="J22" s="727">
        <f>+landbouw!I8</f>
        <v>0</v>
      </c>
      <c r="K22" s="727">
        <f>+landbouw!J8</f>
        <v>256.16657167319761</v>
      </c>
      <c r="L22" s="727">
        <f>+landbouw!K8</f>
        <v>0</v>
      </c>
      <c r="M22" s="727">
        <f>+landbouw!L8</f>
        <v>0</v>
      </c>
      <c r="N22" s="727">
        <f>+landbouw!M8</f>
        <v>0</v>
      </c>
      <c r="O22" s="727">
        <f>+landbouw!N8</f>
        <v>0</v>
      </c>
      <c r="P22" s="727">
        <f>+landbouw!O8</f>
        <v>0</v>
      </c>
      <c r="Q22" s="728">
        <f>+landbouw!P8</f>
        <v>0</v>
      </c>
      <c r="R22" s="729">
        <f>SUM(C22:Q22)</f>
        <v>29954.561607022417</v>
      </c>
      <c r="S22" s="67"/>
    </row>
    <row r="23" spans="1:19" s="474" customFormat="1" ht="17.25" thickTop="1" thickBot="1">
      <c r="A23" s="734" t="s">
        <v>116</v>
      </c>
      <c r="B23" s="864"/>
      <c r="C23" s="735">
        <f ca="1">C20+C15+C22</f>
        <v>368698.91197875794</v>
      </c>
      <c r="D23" s="735">
        <f t="shared" ref="D23:Q23" ca="1" si="2">D20+D15+D22</f>
        <v>1023.75</v>
      </c>
      <c r="E23" s="735">
        <f t="shared" ca="1" si="2"/>
        <v>682304.0539684589</v>
      </c>
      <c r="F23" s="735">
        <f t="shared" si="2"/>
        <v>34836.731977854368</v>
      </c>
      <c r="G23" s="735">
        <f t="shared" ca="1" si="2"/>
        <v>95188.076059038678</v>
      </c>
      <c r="H23" s="735">
        <f t="shared" si="2"/>
        <v>494256.65842524183</v>
      </c>
      <c r="I23" s="735">
        <f t="shared" si="2"/>
        <v>102035.73503526321</v>
      </c>
      <c r="J23" s="735">
        <f t="shared" si="2"/>
        <v>0</v>
      </c>
      <c r="K23" s="735">
        <f t="shared" si="2"/>
        <v>2193.3871631997808</v>
      </c>
      <c r="L23" s="735">
        <f t="shared" si="2"/>
        <v>0</v>
      </c>
      <c r="M23" s="735">
        <f t="shared" ca="1" si="2"/>
        <v>0</v>
      </c>
      <c r="N23" s="735">
        <f t="shared" si="2"/>
        <v>31888.22947372105</v>
      </c>
      <c r="O23" s="735">
        <f t="shared" ca="1" si="2"/>
        <v>83867.502942350693</v>
      </c>
      <c r="P23" s="735">
        <f t="shared" si="2"/>
        <v>856.70666666666671</v>
      </c>
      <c r="Q23" s="736">
        <f t="shared" si="2"/>
        <v>2612.1333333333332</v>
      </c>
      <c r="R23" s="737">
        <f ca="1">R20+R15+R22</f>
        <v>1899761.8770238867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26755.642470085113</v>
      </c>
      <c r="D36" s="718">
        <f ca="1">tertiair!C20</f>
        <v>243.29117647058825</v>
      </c>
      <c r="E36" s="718">
        <f ca="1">tertiair!D20</f>
        <v>36067.51290055312</v>
      </c>
      <c r="F36" s="718">
        <f>tertiair!E20</f>
        <v>445.76756987516416</v>
      </c>
      <c r="G36" s="718">
        <f ca="1">tertiair!F20</f>
        <v>5786.015378950673</v>
      </c>
      <c r="H36" s="718">
        <f>tertiair!G20</f>
        <v>0</v>
      </c>
      <c r="I36" s="718">
        <f>tertiair!H20</f>
        <v>0</v>
      </c>
      <c r="J36" s="718">
        <f>tertiair!I20</f>
        <v>0</v>
      </c>
      <c r="K36" s="718">
        <f>tertiair!J20</f>
        <v>8.8792740830299519E-2</v>
      </c>
      <c r="L36" s="718">
        <f>tertiair!K20</f>
        <v>0</v>
      </c>
      <c r="M36" s="718">
        <f ca="1">tertiair!L20</f>
        <v>0</v>
      </c>
      <c r="N36" s="718">
        <f>tertiair!M20</f>
        <v>0</v>
      </c>
      <c r="O36" s="718">
        <f ca="1">tertiair!N20</f>
        <v>0</v>
      </c>
      <c r="P36" s="718">
        <f>tertiair!O20</f>
        <v>0</v>
      </c>
      <c r="Q36" s="828">
        <f>tertiair!P20</f>
        <v>0</v>
      </c>
      <c r="R36" s="917">
        <f ca="1">SUM(C36:Q36)</f>
        <v>69298.31828867548</v>
      </c>
    </row>
    <row r="37" spans="1:18">
      <c r="A37" s="885" t="s">
        <v>225</v>
      </c>
      <c r="B37" s="892"/>
      <c r="C37" s="718">
        <f ca="1">huishoudens!B12</f>
        <v>29219.002362152343</v>
      </c>
      <c r="D37" s="718">
        <f ca="1">huishoudens!C12</f>
        <v>0</v>
      </c>
      <c r="E37" s="718">
        <f>huishoudens!D12</f>
        <v>71591.244591058698</v>
      </c>
      <c r="F37" s="718">
        <f>huishoudens!E12</f>
        <v>4902.2146264202247</v>
      </c>
      <c r="G37" s="718">
        <f>huishoudens!F12</f>
        <v>9390.8776037126208</v>
      </c>
      <c r="H37" s="718">
        <f>huishoudens!G12</f>
        <v>0</v>
      </c>
      <c r="I37" s="718">
        <f>huishoudens!H12</f>
        <v>0</v>
      </c>
      <c r="J37" s="718">
        <f>huishoudens!I12</f>
        <v>0</v>
      </c>
      <c r="K37" s="718">
        <f>huishoudens!J12</f>
        <v>616.61849387759173</v>
      </c>
      <c r="L37" s="718">
        <f>huishoudens!K12</f>
        <v>0</v>
      </c>
      <c r="M37" s="718">
        <f>huishoudens!L12</f>
        <v>0</v>
      </c>
      <c r="N37" s="718">
        <f>huishoudens!M12</f>
        <v>0</v>
      </c>
      <c r="O37" s="718">
        <f>huishoudens!N12</f>
        <v>0</v>
      </c>
      <c r="P37" s="718">
        <f>huishoudens!O12</f>
        <v>0</v>
      </c>
      <c r="Q37" s="828">
        <f>huishoudens!P12</f>
        <v>0</v>
      </c>
      <c r="R37" s="917">
        <f ca="1">SUM(C37:Q37)</f>
        <v>115719.95767722149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20032.511495919731</v>
      </c>
      <c r="D39" s="718">
        <f ca="1">industrie!C22</f>
        <v>0</v>
      </c>
      <c r="E39" s="718">
        <f>industrie!D22</f>
        <v>25843.28505214164</v>
      </c>
      <c r="F39" s="718">
        <f>industrie!E22</f>
        <v>2252.0674321452657</v>
      </c>
      <c r="G39" s="718">
        <f>industrie!F22</f>
        <v>8271.5997001276883</v>
      </c>
      <c r="H39" s="718">
        <f>industrie!G22</f>
        <v>0</v>
      </c>
      <c r="I39" s="718">
        <f>industrie!H22</f>
        <v>0</v>
      </c>
      <c r="J39" s="718">
        <f>industrie!I22</f>
        <v>0</v>
      </c>
      <c r="K39" s="718">
        <f>industrie!J22</f>
        <v>69.068802781988268</v>
      </c>
      <c r="L39" s="718">
        <f>industrie!K22</f>
        <v>0</v>
      </c>
      <c r="M39" s="718">
        <f>industrie!L22</f>
        <v>0</v>
      </c>
      <c r="N39" s="718">
        <f>industrie!M22</f>
        <v>0</v>
      </c>
      <c r="O39" s="718">
        <f>industrie!N22</f>
        <v>0</v>
      </c>
      <c r="P39" s="718">
        <f>industrie!O22</f>
        <v>0</v>
      </c>
      <c r="Q39" s="828">
        <f>industrie!P22</f>
        <v>0</v>
      </c>
      <c r="R39" s="918">
        <f ca="1">SUM(C39:Q39)</f>
        <v>56468.532483116316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76007.156328157187</v>
      </c>
      <c r="D41" s="763">
        <f t="shared" ref="D41:R41" ca="1" si="4">SUM(D35:D40)</f>
        <v>243.29117647058825</v>
      </c>
      <c r="E41" s="763">
        <f t="shared" ca="1" si="4"/>
        <v>133502.04254375346</v>
      </c>
      <c r="F41" s="763">
        <f t="shared" si="4"/>
        <v>7600.0496284406545</v>
      </c>
      <c r="G41" s="763">
        <f t="shared" ca="1" si="4"/>
        <v>23448.49268279098</v>
      </c>
      <c r="H41" s="763">
        <f t="shared" si="4"/>
        <v>0</v>
      </c>
      <c r="I41" s="763">
        <f t="shared" si="4"/>
        <v>0</v>
      </c>
      <c r="J41" s="763">
        <f t="shared" si="4"/>
        <v>0</v>
      </c>
      <c r="K41" s="763">
        <f t="shared" si="4"/>
        <v>685.77608940041023</v>
      </c>
      <c r="L41" s="763">
        <f t="shared" si="4"/>
        <v>0</v>
      </c>
      <c r="M41" s="763">
        <f t="shared" ca="1" si="4"/>
        <v>0</v>
      </c>
      <c r="N41" s="763">
        <f t="shared" si="4"/>
        <v>0</v>
      </c>
      <c r="O41" s="763">
        <f t="shared" ca="1" si="4"/>
        <v>0</v>
      </c>
      <c r="P41" s="763">
        <f t="shared" si="4"/>
        <v>0</v>
      </c>
      <c r="Q41" s="764">
        <f t="shared" si="4"/>
        <v>0</v>
      </c>
      <c r="R41" s="765">
        <f t="shared" ca="1" si="4"/>
        <v>241486.80844901328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2853.1235085471399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2853.1235085471399</v>
      </c>
    </row>
    <row r="45" spans="1:18" ht="15" thickBot="1">
      <c r="A45" s="888" t="s">
        <v>307</v>
      </c>
      <c r="B45" s="898"/>
      <c r="C45" s="727">
        <f ca="1">transport!B18</f>
        <v>51.415875226702049</v>
      </c>
      <c r="D45" s="727">
        <f>transport!C18</f>
        <v>0</v>
      </c>
      <c r="E45" s="727">
        <f>transport!D18</f>
        <v>179.89773614928376</v>
      </c>
      <c r="F45" s="727">
        <f>transport!E18</f>
        <v>296.09105688434579</v>
      </c>
      <c r="G45" s="727">
        <f>transport!F18</f>
        <v>0</v>
      </c>
      <c r="H45" s="727">
        <f>transport!G18</f>
        <v>129113.40429099243</v>
      </c>
      <c r="I45" s="727">
        <f>transport!H18</f>
        <v>25406.898023780537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155047.70698303331</v>
      </c>
    </row>
    <row r="46" spans="1:18" ht="15.75" thickBot="1">
      <c r="A46" s="886" t="s">
        <v>230</v>
      </c>
      <c r="B46" s="899"/>
      <c r="C46" s="763">
        <f t="shared" ref="C46:R46" ca="1" si="5">SUM(C43:C45)</f>
        <v>51.415875226702049</v>
      </c>
      <c r="D46" s="763">
        <f t="shared" ca="1" si="5"/>
        <v>0</v>
      </c>
      <c r="E46" s="763">
        <f t="shared" si="5"/>
        <v>179.89773614928376</v>
      </c>
      <c r="F46" s="763">
        <f t="shared" si="5"/>
        <v>296.09105688434579</v>
      </c>
      <c r="G46" s="763">
        <f t="shared" si="5"/>
        <v>0</v>
      </c>
      <c r="H46" s="763">
        <f t="shared" si="5"/>
        <v>131966.52779953956</v>
      </c>
      <c r="I46" s="763">
        <f t="shared" si="5"/>
        <v>25406.898023780537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157900.83049158045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366.50717699383506</v>
      </c>
      <c r="D48" s="718">
        <f ca="1">+landbouw!C12</f>
        <v>0</v>
      </c>
      <c r="E48" s="718">
        <f>+landbouw!D12</f>
        <v>4143.4786217259652</v>
      </c>
      <c r="F48" s="718">
        <f>+landbouw!E12</f>
        <v>11.797473647941676</v>
      </c>
      <c r="G48" s="718">
        <f>+landbouw!F12</f>
        <v>1966.7236249723437</v>
      </c>
      <c r="H48" s="718">
        <f>+landbouw!G12</f>
        <v>0</v>
      </c>
      <c r="I48" s="718">
        <f>+landbouw!H12</f>
        <v>0</v>
      </c>
      <c r="J48" s="718">
        <f>+landbouw!I12</f>
        <v>0</v>
      </c>
      <c r="K48" s="718">
        <f>+landbouw!J12</f>
        <v>90.682966372311952</v>
      </c>
      <c r="L48" s="718">
        <f>+landbouw!K12</f>
        <v>0</v>
      </c>
      <c r="M48" s="718">
        <f>+landbouw!L12</f>
        <v>0</v>
      </c>
      <c r="N48" s="718">
        <f>+landbouw!M12</f>
        <v>0</v>
      </c>
      <c r="O48" s="718">
        <f>+landbouw!N12</f>
        <v>0</v>
      </c>
      <c r="P48" s="718">
        <f>+landbouw!O12</f>
        <v>0</v>
      </c>
      <c r="Q48" s="719">
        <f>+landbouw!P12</f>
        <v>0</v>
      </c>
      <c r="R48" s="761">
        <f ca="1">SUM(C48:Q48)</f>
        <v>6579.1898637123977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76425.07938037772</v>
      </c>
      <c r="D53" s="773">
        <f t="shared" ref="D53:Q53" ca="1" si="6">D41+D46+D48</f>
        <v>243.29117647058825</v>
      </c>
      <c r="E53" s="773">
        <f t="shared" ca="1" si="6"/>
        <v>137825.4189016287</v>
      </c>
      <c r="F53" s="773">
        <f t="shared" si="6"/>
        <v>7907.9381589729419</v>
      </c>
      <c r="G53" s="773">
        <f t="shared" ca="1" si="6"/>
        <v>25415.216307763323</v>
      </c>
      <c r="H53" s="773">
        <f t="shared" si="6"/>
        <v>131966.52779953956</v>
      </c>
      <c r="I53" s="773">
        <f t="shared" si="6"/>
        <v>25406.898023780537</v>
      </c>
      <c r="J53" s="773">
        <f t="shared" si="6"/>
        <v>0</v>
      </c>
      <c r="K53" s="773">
        <f t="shared" si="6"/>
        <v>776.45905577272219</v>
      </c>
      <c r="L53" s="773">
        <f t="shared" si="6"/>
        <v>0</v>
      </c>
      <c r="M53" s="773">
        <f t="shared" ca="1" si="6"/>
        <v>0</v>
      </c>
      <c r="N53" s="773">
        <f t="shared" si="6"/>
        <v>0</v>
      </c>
      <c r="O53" s="773">
        <f t="shared" ca="1" si="6"/>
        <v>0</v>
      </c>
      <c r="P53" s="773">
        <f>P41+P46+P48</f>
        <v>0</v>
      </c>
      <c r="Q53" s="774">
        <f t="shared" si="6"/>
        <v>0</v>
      </c>
      <c r="R53" s="775">
        <f ca="1">R41+R46+R48</f>
        <v>405966.8288043061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0.20728317035223809</v>
      </c>
      <c r="D55" s="836">
        <f t="shared" ca="1" si="7"/>
        <v>0.23764705882352943</v>
      </c>
      <c r="E55" s="836">
        <f t="shared" ca="1" si="7"/>
        <v>0.20200000000000001</v>
      </c>
      <c r="F55" s="836">
        <f t="shared" si="7"/>
        <v>0.22700000000000001</v>
      </c>
      <c r="G55" s="836">
        <f t="shared" ca="1" si="7"/>
        <v>0.26699999999999996</v>
      </c>
      <c r="H55" s="836">
        <f t="shared" si="7"/>
        <v>0.26699999999999996</v>
      </c>
      <c r="I55" s="836">
        <f t="shared" si="7"/>
        <v>0.249</v>
      </c>
      <c r="J55" s="836">
        <f t="shared" si="7"/>
        <v>0</v>
      </c>
      <c r="K55" s="836">
        <f t="shared" si="7"/>
        <v>0.35399999999999987</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22938.053689851513</v>
      </c>
      <c r="C66" s="795">
        <f>'lokale energieproductie'!B6</f>
        <v>22938.053689851513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716.625</v>
      </c>
      <c r="C67" s="794">
        <f>B67*IFERROR(SUM(J67:L67)/SUM(D67:M67),0)</f>
        <v>0</v>
      </c>
      <c r="D67" s="826">
        <f>'lokale energieproductie'!C7</f>
        <v>843.08823529411768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170.30382352941177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23654.678689851513</v>
      </c>
      <c r="C69" s="803">
        <f>SUM(C64:C68)</f>
        <v>22938.053689851513</v>
      </c>
      <c r="D69" s="804">
        <f t="shared" ref="D69:M69" si="8">SUM(D67:D68)</f>
        <v>843.08823529411768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170.30382352941177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1023.75</v>
      </c>
      <c r="C78" s="817">
        <f>B78*IFERROR(SUM(I78:L78)/SUM(D78:M78),0)</f>
        <v>0</v>
      </c>
      <c r="D78" s="832">
        <f>'lokale energieproductie'!C16</f>
        <v>1204.4117647058824</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243.29117647058825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1023.75</v>
      </c>
      <c r="C81" s="803">
        <f>SUM(C78:C80)</f>
        <v>0</v>
      </c>
      <c r="D81" s="803">
        <f t="shared" ref="D81:P81" si="9">SUM(D78:D80)</f>
        <v>1204.4117647058824</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243.29117647058825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140961.76892943232</v>
      </c>
      <c r="C4" s="478">
        <f>huishoudens!C8</f>
        <v>0</v>
      </c>
      <c r="D4" s="478">
        <f>huishoudens!D8</f>
        <v>354412.10193593416</v>
      </c>
      <c r="E4" s="478">
        <f>huishoudens!E8</f>
        <v>21595.659147225659</v>
      </c>
      <c r="F4" s="478">
        <f>huishoudens!F8</f>
        <v>35171.826231133411</v>
      </c>
      <c r="G4" s="478">
        <f>huishoudens!G8</f>
        <v>0</v>
      </c>
      <c r="H4" s="478">
        <f>huishoudens!H8</f>
        <v>0</v>
      </c>
      <c r="I4" s="478">
        <f>huishoudens!I8</f>
        <v>0</v>
      </c>
      <c r="J4" s="478">
        <f>huishoudens!J8</f>
        <v>1741.860152196587</v>
      </c>
      <c r="K4" s="478">
        <f>huishoudens!K8</f>
        <v>0</v>
      </c>
      <c r="L4" s="478">
        <f>huishoudens!L8</f>
        <v>0</v>
      </c>
      <c r="M4" s="478">
        <f>huishoudens!M8</f>
        <v>0</v>
      </c>
      <c r="N4" s="478">
        <f>huishoudens!N8</f>
        <v>52634.268291831198</v>
      </c>
      <c r="O4" s="478">
        <f>huishoudens!O8</f>
        <v>844.2</v>
      </c>
      <c r="P4" s="479">
        <f>huishoudens!P8</f>
        <v>2459.6</v>
      </c>
      <c r="Q4" s="480">
        <f>SUM(B4:P4)</f>
        <v>609821.2846877533</v>
      </c>
    </row>
    <row r="5" spans="1:17">
      <c r="A5" s="477" t="s">
        <v>156</v>
      </c>
      <c r="B5" s="478">
        <f ca="1">tertiair!B16</f>
        <v>124918.85562772051</v>
      </c>
      <c r="C5" s="478">
        <f ca="1">tertiair!C16</f>
        <v>1023.75</v>
      </c>
      <c r="D5" s="478">
        <f ca="1">tertiair!D16</f>
        <v>178552.04406214415</v>
      </c>
      <c r="E5" s="478">
        <f>tertiair!E16</f>
        <v>1963.7337879963179</v>
      </c>
      <c r="F5" s="478">
        <f ca="1">tertiair!F16</f>
        <v>21670.469584084916</v>
      </c>
      <c r="G5" s="478">
        <f>tertiair!G16</f>
        <v>0</v>
      </c>
      <c r="H5" s="478">
        <f>tertiair!H16</f>
        <v>0</v>
      </c>
      <c r="I5" s="478">
        <f>tertiair!I16</f>
        <v>0</v>
      </c>
      <c r="J5" s="478">
        <f>tertiair!J16</f>
        <v>0.25082695149802126</v>
      </c>
      <c r="K5" s="478">
        <f>tertiair!K16</f>
        <v>0</v>
      </c>
      <c r="L5" s="478">
        <f ca="1">tertiair!L16</f>
        <v>0</v>
      </c>
      <c r="M5" s="478">
        <f>tertiair!M16</f>
        <v>0</v>
      </c>
      <c r="N5" s="478">
        <f ca="1">tertiair!N16</f>
        <v>10254.034255203687</v>
      </c>
      <c r="O5" s="478">
        <f>tertiair!O16</f>
        <v>12.506666666666668</v>
      </c>
      <c r="P5" s="479">
        <f>tertiair!P16</f>
        <v>152.53333333333333</v>
      </c>
      <c r="Q5" s="477">
        <f t="shared" ref="Q5:Q13" ca="1" si="0">SUM(B5:P5)</f>
        <v>338548.17814410111</v>
      </c>
    </row>
    <row r="6" spans="1:17">
      <c r="A6" s="477" t="s">
        <v>194</v>
      </c>
      <c r="B6" s="478">
        <f>'openbare verlichting'!B8</f>
        <v>4158.8810000000003</v>
      </c>
      <c r="C6" s="478"/>
      <c r="D6" s="478"/>
      <c r="E6" s="478"/>
      <c r="F6" s="478"/>
      <c r="G6" s="478"/>
      <c r="H6" s="478"/>
      <c r="I6" s="478"/>
      <c r="J6" s="478"/>
      <c r="K6" s="478"/>
      <c r="L6" s="478"/>
      <c r="M6" s="478"/>
      <c r="N6" s="478"/>
      <c r="O6" s="478"/>
      <c r="P6" s="479"/>
      <c r="Q6" s="477">
        <f t="shared" si="0"/>
        <v>4158.8810000000003</v>
      </c>
    </row>
    <row r="7" spans="1:17">
      <c r="A7" s="477" t="s">
        <v>112</v>
      </c>
      <c r="B7" s="478">
        <f>landbouw!B8</f>
        <v>1768.1472951760929</v>
      </c>
      <c r="C7" s="478">
        <f>landbouw!C8</f>
        <v>0</v>
      </c>
      <c r="D7" s="478">
        <f>landbouw!D8</f>
        <v>20512.270404583986</v>
      </c>
      <c r="E7" s="478">
        <f>landbouw!E8</f>
        <v>51.971249550403854</v>
      </c>
      <c r="F7" s="478">
        <f>landbouw!F8</f>
        <v>7366.0060860387402</v>
      </c>
      <c r="G7" s="478">
        <f>landbouw!G8</f>
        <v>0</v>
      </c>
      <c r="H7" s="478">
        <f>landbouw!H8</f>
        <v>0</v>
      </c>
      <c r="I7" s="478">
        <f>landbouw!I8</f>
        <v>0</v>
      </c>
      <c r="J7" s="478">
        <f>landbouw!J8</f>
        <v>256.16657167319761</v>
      </c>
      <c r="K7" s="478">
        <f>landbouw!K8</f>
        <v>0</v>
      </c>
      <c r="L7" s="478">
        <f>landbouw!L8</f>
        <v>0</v>
      </c>
      <c r="M7" s="478">
        <f>landbouw!M8</f>
        <v>0</v>
      </c>
      <c r="N7" s="478">
        <f>landbouw!N8</f>
        <v>0</v>
      </c>
      <c r="O7" s="478">
        <f>landbouw!O8</f>
        <v>0</v>
      </c>
      <c r="P7" s="479">
        <f>landbouw!P8</f>
        <v>0</v>
      </c>
      <c r="Q7" s="477">
        <f t="shared" si="0"/>
        <v>29954.561607022417</v>
      </c>
    </row>
    <row r="8" spans="1:17">
      <c r="A8" s="477" t="s">
        <v>635</v>
      </c>
      <c r="B8" s="478">
        <f>industrie!B18</f>
        <v>96643.21257668102</v>
      </c>
      <c r="C8" s="478">
        <f>industrie!C18</f>
        <v>0</v>
      </c>
      <c r="D8" s="478">
        <f>industrie!D18</f>
        <v>127937.05471357246</v>
      </c>
      <c r="E8" s="478">
        <f>industrie!E18</f>
        <v>9921.0019037236361</v>
      </c>
      <c r="F8" s="478">
        <f>industrie!F18</f>
        <v>30979.774157781605</v>
      </c>
      <c r="G8" s="478">
        <f>industrie!G18</f>
        <v>0</v>
      </c>
      <c r="H8" s="478">
        <f>industrie!H18</f>
        <v>0</v>
      </c>
      <c r="I8" s="478">
        <f>industrie!I18</f>
        <v>0</v>
      </c>
      <c r="J8" s="478">
        <f>industrie!J18</f>
        <v>195.10961237849793</v>
      </c>
      <c r="K8" s="478">
        <f>industrie!K18</f>
        <v>0</v>
      </c>
      <c r="L8" s="478">
        <f>industrie!L18</f>
        <v>0</v>
      </c>
      <c r="M8" s="478">
        <f>industrie!M18</f>
        <v>0</v>
      </c>
      <c r="N8" s="478">
        <f>industrie!N18</f>
        <v>20979.200395315813</v>
      </c>
      <c r="O8" s="478">
        <f>industrie!O18</f>
        <v>0</v>
      </c>
      <c r="P8" s="479">
        <f>industrie!P18</f>
        <v>0</v>
      </c>
      <c r="Q8" s="477">
        <f t="shared" si="0"/>
        <v>286655.35335945309</v>
      </c>
    </row>
    <row r="9" spans="1:17" s="483" customFormat="1">
      <c r="A9" s="481" t="s">
        <v>561</v>
      </c>
      <c r="B9" s="482">
        <f>transport!B14</f>
        <v>248.0465497480119</v>
      </c>
      <c r="C9" s="482"/>
      <c r="D9" s="482">
        <f>transport!D14</f>
        <v>890.58285222417703</v>
      </c>
      <c r="E9" s="482">
        <f>transport!E14</f>
        <v>1304.3658893583515</v>
      </c>
      <c r="F9" s="482"/>
      <c r="G9" s="482">
        <f>transport!G14</f>
        <v>483570.80258798663</v>
      </c>
      <c r="H9" s="482">
        <f>transport!H14</f>
        <v>102035.73503526321</v>
      </c>
      <c r="I9" s="482"/>
      <c r="J9" s="482"/>
      <c r="K9" s="482"/>
      <c r="L9" s="482"/>
      <c r="M9" s="482">
        <f>transport!M14</f>
        <v>31281.320035691784</v>
      </c>
      <c r="N9" s="482"/>
      <c r="O9" s="482"/>
      <c r="P9" s="482"/>
      <c r="Q9" s="481">
        <f>SUM(B9:P9)</f>
        <v>619330.85295027227</v>
      </c>
    </row>
    <row r="10" spans="1:17">
      <c r="A10" s="477" t="s">
        <v>551</v>
      </c>
      <c r="B10" s="478">
        <f>transport!B54</f>
        <v>0</v>
      </c>
      <c r="C10" s="478"/>
      <c r="D10" s="478">
        <f>transport!D54</f>
        <v>0</v>
      </c>
      <c r="E10" s="478"/>
      <c r="F10" s="478"/>
      <c r="G10" s="478">
        <f>transport!G54</f>
        <v>10685.855837255205</v>
      </c>
      <c r="H10" s="478"/>
      <c r="I10" s="478"/>
      <c r="J10" s="478"/>
      <c r="K10" s="478"/>
      <c r="L10" s="478"/>
      <c r="M10" s="478">
        <f>transport!M54</f>
        <v>606.90943802926756</v>
      </c>
      <c r="N10" s="478"/>
      <c r="O10" s="478"/>
      <c r="P10" s="479"/>
      <c r="Q10" s="477">
        <f t="shared" si="0"/>
        <v>11292.765275284473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368698.911978758</v>
      </c>
      <c r="C14" s="488">
        <f t="shared" ref="C14:Q14" ca="1" si="1">SUM(C4:C13)</f>
        <v>1023.75</v>
      </c>
      <c r="D14" s="488">
        <f t="shared" ca="1" si="1"/>
        <v>682304.0539684589</v>
      </c>
      <c r="E14" s="488">
        <f t="shared" si="1"/>
        <v>34836.731977854368</v>
      </c>
      <c r="F14" s="488">
        <f t="shared" ca="1" si="1"/>
        <v>95188.076059038664</v>
      </c>
      <c r="G14" s="488">
        <f t="shared" si="1"/>
        <v>494256.65842524183</v>
      </c>
      <c r="H14" s="488">
        <f t="shared" si="1"/>
        <v>102035.73503526321</v>
      </c>
      <c r="I14" s="488">
        <f t="shared" si="1"/>
        <v>0</v>
      </c>
      <c r="J14" s="488">
        <f t="shared" si="1"/>
        <v>2193.3871631997804</v>
      </c>
      <c r="K14" s="488">
        <f t="shared" si="1"/>
        <v>0</v>
      </c>
      <c r="L14" s="488">
        <f t="shared" ca="1" si="1"/>
        <v>0</v>
      </c>
      <c r="M14" s="488">
        <f t="shared" si="1"/>
        <v>31888.22947372105</v>
      </c>
      <c r="N14" s="488">
        <f t="shared" ca="1" si="1"/>
        <v>83867.502942350693</v>
      </c>
      <c r="O14" s="488">
        <f t="shared" si="1"/>
        <v>856.70666666666671</v>
      </c>
      <c r="P14" s="489">
        <f t="shared" si="1"/>
        <v>2612.1333333333332</v>
      </c>
      <c r="Q14" s="489">
        <f t="shared" ca="1" si="1"/>
        <v>1899761.8770238867</v>
      </c>
    </row>
    <row r="16" spans="1:17">
      <c r="A16" s="491" t="s">
        <v>556</v>
      </c>
      <c r="B16" s="841">
        <f ca="1">huishoudens!B10</f>
        <v>0.20728317035223809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29219.002362152343</v>
      </c>
      <c r="C21" s="478">
        <f t="shared" ref="C21:C28" ca="1" si="3">C4*$C$16</f>
        <v>0</v>
      </c>
      <c r="D21" s="478">
        <f t="shared" ref="D21:D30" si="4">D4*$D$16</f>
        <v>71591.244591058698</v>
      </c>
      <c r="E21" s="478">
        <f t="shared" ref="E21:E30" si="5">E4*$E$16</f>
        <v>4902.2146264202247</v>
      </c>
      <c r="F21" s="478">
        <f t="shared" ref="F21:F28" si="6">F4*$F$16</f>
        <v>9390.8776037126208</v>
      </c>
      <c r="G21" s="478">
        <f t="shared" ref="G21:G30" si="7">G4*$G$16</f>
        <v>0</v>
      </c>
      <c r="H21" s="478">
        <f t="shared" ref="H21:H30" si="8">H4*$H$16</f>
        <v>0</v>
      </c>
      <c r="I21" s="478">
        <f t="shared" ref="I21:I28" si="9">I4*$I$16</f>
        <v>0</v>
      </c>
      <c r="J21" s="478">
        <f t="shared" ref="J21:J28" si="10">J4*$J$16</f>
        <v>616.61849387759173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115719.95767722149</v>
      </c>
    </row>
    <row r="22" spans="1:17">
      <c r="A22" s="477" t="s">
        <v>156</v>
      </c>
      <c r="B22" s="478">
        <f t="shared" ca="1" si="2"/>
        <v>25893.576431287427</v>
      </c>
      <c r="C22" s="478">
        <f t="shared" ca="1" si="3"/>
        <v>243.29117647058825</v>
      </c>
      <c r="D22" s="478">
        <f t="shared" ca="1" si="4"/>
        <v>36067.51290055312</v>
      </c>
      <c r="E22" s="478">
        <f t="shared" si="5"/>
        <v>445.76756987516416</v>
      </c>
      <c r="F22" s="478">
        <f t="shared" ca="1" si="6"/>
        <v>5786.015378950673</v>
      </c>
      <c r="G22" s="478">
        <f t="shared" si="7"/>
        <v>0</v>
      </c>
      <c r="H22" s="478">
        <f t="shared" si="8"/>
        <v>0</v>
      </c>
      <c r="I22" s="478">
        <f t="shared" si="9"/>
        <v>0</v>
      </c>
      <c r="J22" s="478">
        <f t="shared" si="10"/>
        <v>8.8792740830299519E-2</v>
      </c>
      <c r="K22" s="478">
        <f t="shared" si="11"/>
        <v>0</v>
      </c>
      <c r="L22" s="478">
        <f t="shared" ca="1" si="12"/>
        <v>0</v>
      </c>
      <c r="M22" s="478">
        <f t="shared" si="13"/>
        <v>0</v>
      </c>
      <c r="N22" s="478">
        <f t="shared" ca="1" si="14"/>
        <v>0</v>
      </c>
      <c r="O22" s="478">
        <f t="shared" si="15"/>
        <v>0</v>
      </c>
      <c r="P22" s="479">
        <f t="shared" si="16"/>
        <v>0</v>
      </c>
      <c r="Q22" s="477">
        <f t="shared" ref="Q22:Q30" ca="1" si="17">SUM(B22:P22)</f>
        <v>68436.252249877813</v>
      </c>
    </row>
    <row r="23" spans="1:17">
      <c r="A23" s="477" t="s">
        <v>194</v>
      </c>
      <c r="B23" s="478">
        <f t="shared" ca="1" si="2"/>
        <v>862.06603879768636</v>
      </c>
      <c r="C23" s="478"/>
      <c r="D23" s="478"/>
      <c r="E23" s="478"/>
      <c r="F23" s="478"/>
      <c r="G23" s="478"/>
      <c r="H23" s="478"/>
      <c r="I23" s="478"/>
      <c r="J23" s="478"/>
      <c r="K23" s="478"/>
      <c r="L23" s="478"/>
      <c r="M23" s="478"/>
      <c r="N23" s="478"/>
      <c r="O23" s="478"/>
      <c r="P23" s="479"/>
      <c r="Q23" s="477">
        <f t="shared" ca="1" si="17"/>
        <v>862.06603879768636</v>
      </c>
    </row>
    <row r="24" spans="1:17">
      <c r="A24" s="477" t="s">
        <v>112</v>
      </c>
      <c r="B24" s="478">
        <f t="shared" ca="1" si="2"/>
        <v>366.50717699383506</v>
      </c>
      <c r="C24" s="478">
        <f t="shared" ca="1" si="3"/>
        <v>0</v>
      </c>
      <c r="D24" s="478">
        <f t="shared" si="4"/>
        <v>4143.4786217259652</v>
      </c>
      <c r="E24" s="478">
        <f t="shared" si="5"/>
        <v>11.797473647941676</v>
      </c>
      <c r="F24" s="478">
        <f t="shared" si="6"/>
        <v>1966.7236249723437</v>
      </c>
      <c r="G24" s="478">
        <f t="shared" si="7"/>
        <v>0</v>
      </c>
      <c r="H24" s="478">
        <f t="shared" si="8"/>
        <v>0</v>
      </c>
      <c r="I24" s="478">
        <f t="shared" si="9"/>
        <v>0</v>
      </c>
      <c r="J24" s="478">
        <f t="shared" si="10"/>
        <v>90.682966372311952</v>
      </c>
      <c r="K24" s="478">
        <f t="shared" si="11"/>
        <v>0</v>
      </c>
      <c r="L24" s="478">
        <f t="shared" si="12"/>
        <v>0</v>
      </c>
      <c r="M24" s="478">
        <f t="shared" si="13"/>
        <v>0</v>
      </c>
      <c r="N24" s="478">
        <f t="shared" si="14"/>
        <v>0</v>
      </c>
      <c r="O24" s="478">
        <f t="shared" si="15"/>
        <v>0</v>
      </c>
      <c r="P24" s="479">
        <f t="shared" si="16"/>
        <v>0</v>
      </c>
      <c r="Q24" s="477">
        <f t="shared" ca="1" si="17"/>
        <v>6579.1898637123977</v>
      </c>
    </row>
    <row r="25" spans="1:17">
      <c r="A25" s="477" t="s">
        <v>635</v>
      </c>
      <c r="B25" s="478">
        <f t="shared" ca="1" si="2"/>
        <v>20032.511495919731</v>
      </c>
      <c r="C25" s="478">
        <f t="shared" ca="1" si="3"/>
        <v>0</v>
      </c>
      <c r="D25" s="478">
        <f t="shared" si="4"/>
        <v>25843.28505214164</v>
      </c>
      <c r="E25" s="478">
        <f t="shared" si="5"/>
        <v>2252.0674321452657</v>
      </c>
      <c r="F25" s="478">
        <f t="shared" si="6"/>
        <v>8271.5997001276883</v>
      </c>
      <c r="G25" s="478">
        <f t="shared" si="7"/>
        <v>0</v>
      </c>
      <c r="H25" s="478">
        <f t="shared" si="8"/>
        <v>0</v>
      </c>
      <c r="I25" s="478">
        <f t="shared" si="9"/>
        <v>0</v>
      </c>
      <c r="J25" s="478">
        <f t="shared" si="10"/>
        <v>69.068802781988268</v>
      </c>
      <c r="K25" s="478">
        <f t="shared" si="11"/>
        <v>0</v>
      </c>
      <c r="L25" s="478">
        <f t="shared" si="12"/>
        <v>0</v>
      </c>
      <c r="M25" s="478">
        <f t="shared" si="13"/>
        <v>0</v>
      </c>
      <c r="N25" s="478">
        <f t="shared" si="14"/>
        <v>0</v>
      </c>
      <c r="O25" s="478">
        <f t="shared" si="15"/>
        <v>0</v>
      </c>
      <c r="P25" s="479">
        <f t="shared" si="16"/>
        <v>0</v>
      </c>
      <c r="Q25" s="477">
        <f t="shared" ca="1" si="17"/>
        <v>56468.532483116316</v>
      </c>
    </row>
    <row r="26" spans="1:17" s="483" customFormat="1">
      <c r="A26" s="481" t="s">
        <v>561</v>
      </c>
      <c r="B26" s="835">
        <f t="shared" ca="1" si="2"/>
        <v>51.415875226702049</v>
      </c>
      <c r="C26" s="482"/>
      <c r="D26" s="482">
        <f t="shared" si="4"/>
        <v>179.89773614928376</v>
      </c>
      <c r="E26" s="482">
        <f t="shared" si="5"/>
        <v>296.09105688434579</v>
      </c>
      <c r="F26" s="482"/>
      <c r="G26" s="482">
        <f t="shared" si="7"/>
        <v>129113.40429099243</v>
      </c>
      <c r="H26" s="482">
        <f t="shared" si="8"/>
        <v>25406.898023780537</v>
      </c>
      <c r="I26" s="482"/>
      <c r="J26" s="482"/>
      <c r="K26" s="482"/>
      <c r="L26" s="482"/>
      <c r="M26" s="482">
        <f t="shared" si="13"/>
        <v>0</v>
      </c>
      <c r="N26" s="482"/>
      <c r="O26" s="482"/>
      <c r="P26" s="493"/>
      <c r="Q26" s="481">
        <f t="shared" ca="1" si="17"/>
        <v>155047.70698303331</v>
      </c>
    </row>
    <row r="27" spans="1:17">
      <c r="A27" s="477" t="s">
        <v>551</v>
      </c>
      <c r="B27" s="478">
        <f t="shared" ca="1" si="2"/>
        <v>0</v>
      </c>
      <c r="C27" s="478"/>
      <c r="D27" s="482">
        <f t="shared" si="4"/>
        <v>0</v>
      </c>
      <c r="E27" s="478"/>
      <c r="F27" s="478"/>
      <c r="G27" s="478">
        <f t="shared" si="7"/>
        <v>2853.1235085471399</v>
      </c>
      <c r="H27" s="478"/>
      <c r="I27" s="478"/>
      <c r="J27" s="478"/>
      <c r="K27" s="478"/>
      <c r="L27" s="478"/>
      <c r="M27" s="478">
        <f t="shared" si="13"/>
        <v>0</v>
      </c>
      <c r="N27" s="478"/>
      <c r="O27" s="478"/>
      <c r="P27" s="479"/>
      <c r="Q27" s="477">
        <f t="shared" ca="1" si="17"/>
        <v>2853.1235085471399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76425.07938037772</v>
      </c>
      <c r="C31" s="488">
        <f t="shared" ca="1" si="18"/>
        <v>243.29117647058825</v>
      </c>
      <c r="D31" s="488">
        <f t="shared" ca="1" si="18"/>
        <v>137825.41890162873</v>
      </c>
      <c r="E31" s="488">
        <f t="shared" si="18"/>
        <v>7907.9381589729428</v>
      </c>
      <c r="F31" s="488">
        <f t="shared" ca="1" si="18"/>
        <v>25415.216307763327</v>
      </c>
      <c r="G31" s="488">
        <f t="shared" si="18"/>
        <v>131966.52779953956</v>
      </c>
      <c r="H31" s="488">
        <f t="shared" si="18"/>
        <v>25406.898023780537</v>
      </c>
      <c r="I31" s="488">
        <f t="shared" si="18"/>
        <v>0</v>
      </c>
      <c r="J31" s="488">
        <f t="shared" si="18"/>
        <v>776.45905577272219</v>
      </c>
      <c r="K31" s="488">
        <f t="shared" si="18"/>
        <v>0</v>
      </c>
      <c r="L31" s="488">
        <f t="shared" ca="1" si="18"/>
        <v>0</v>
      </c>
      <c r="M31" s="488">
        <f t="shared" si="18"/>
        <v>0</v>
      </c>
      <c r="N31" s="488">
        <f t="shared" ca="1" si="18"/>
        <v>0</v>
      </c>
      <c r="O31" s="488">
        <f t="shared" si="18"/>
        <v>0</v>
      </c>
      <c r="P31" s="489">
        <f t="shared" si="18"/>
        <v>0</v>
      </c>
      <c r="Q31" s="489">
        <f t="shared" ca="1" si="18"/>
        <v>405966.82880430616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0.20728317035223809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0.20728317035223809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0.20728317035223809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2019-01-01T21:20:14Z</dcterms:modified>
</cp:coreProperties>
</file>