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6" i="17" l="1"/>
  <c r="D8" s="1"/>
  <c r="D12" s="1"/>
  <c r="E48" i="14" s="1"/>
  <c r="J15" i="16"/>
  <c r="C16" i="15"/>
  <c r="D10" i="14" s="1"/>
  <c r="L6" i="17"/>
  <c r="L5" s="1"/>
  <c r="B8" i="9"/>
  <c r="O4" i="48"/>
  <c r="E16"/>
  <c r="I16"/>
  <c r="I21" s="1"/>
  <c r="F16"/>
  <c r="J16"/>
  <c r="K16"/>
  <c r="D16"/>
  <c r="D27" s="1"/>
  <c r="H16"/>
  <c r="L16" i="16"/>
  <c r="L18" s="1"/>
  <c r="I14" i="15"/>
  <c r="I16" s="1"/>
  <c r="J10" i="14" s="1"/>
  <c r="B13" i="16"/>
  <c r="C35"/>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E28"/>
  <c r="D28"/>
  <c r="D30"/>
  <c r="I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<sst xmlns="http://schemas.openxmlformats.org/spreadsheetml/2006/main" count="2099" uniqueCount="844">
  <si>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</si>
  <si>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</si>
  <si>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</si>
  <si>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</si>
  <si>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</si>
  <si>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</si>
  <si>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</si>
  <si>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</si>
  <si>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</si>
  <si>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</si>
  <si>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</si>
  <si>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</si>
  <si>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</si>
  <si>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</si>
  <si>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</si>
  <si>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</si>
  <si>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</si>
  <si>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</si>
  <si>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</si>
  <si>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</si>
  <si>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</si>
  <si>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</si>
  <si>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</si>
  <si>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</si>
  <si>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</si>
  <si>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</si>
  <si>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</si>
  <si>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</si>
  <si>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</si>
  <si>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</si>
  <si>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</si>
  <si>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</si>
  <si>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</si>
  <si>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</si>
  <si>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</si>
  <si>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</si>
  <si>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</si>
  <si>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</si>
  <si>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</si>
  <si>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</si>
  <si>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</si>
  <si>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</si>
  <si>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</si>
  <si>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</si>
  <si>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</si>
  <si>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</si>
  <si>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</si>
  <si>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</si>
  <si>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</si>
  <si>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</si>
  <si>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</si>
  <si>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</si>
  <si>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</si>
  <si>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</si>
  <si>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</si>
  <si>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</si>
  <si>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</si>
  <si>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</si>
  <si>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</si>
  <si>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</si>
  <si>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</si>
  <si>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</si>
  <si>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</si>
  <si>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</si>
  <si>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</si>
  <si>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</si>
  <si>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</si>
  <si>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</si>
  <si>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</si>
  <si>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</si>
  <si>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</si>
  <si>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</si>
  <si>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</si>
  <si>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</si>
  <si>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</si>
  <si>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</si>
  <si>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</si>
  <si>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</si>
  <si>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</si>
  <si>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</si>
  <si>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</si>
  <si>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</si>
  <si>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</si>
  <si>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</si>
  <si>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</si>
  <si>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</si>
  <si>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</si>
  <si>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</si>
  <si>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</si>
  <si>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</si>
  <si>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</si>
  <si>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</si>
  <si>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</si>
  <si>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</si>
  <si>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</si>
  <si>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</si>
  <si>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</si>
  <si>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</si>
  <si>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</si>
  <si>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</si>
  <si>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</si>
  <si>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</si>
  <si>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</si>
  <si>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</si>
  <si>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</si>
  <si>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</si>
  <si>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</si>
  <si>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</si>
  <si>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</si>
  <si>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</si>
  <si>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</si>
  <si>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</si>
  <si>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</si>
  <si>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</si>
  <si>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</si>
  <si>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</si>
  <si>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</si>
  <si>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</si>
  <si>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</si>
  <si>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</si>
  <si>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</si>
  <si>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</si>
  <si>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</si>
  <si>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</si>
  <si>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</si>
  <si>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</si>
  <si>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</si>
  <si>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</si>
  <si>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</si>
  <si>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</si>
  <si>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</si>
  <si>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</si>
  <si>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</si>
  <si>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</si>
  <si>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</si>
  <si>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</si>
  <si>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</si>
  <si>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</si>
  <si>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</si>
  <si>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</si>
  <si>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</si>
  <si>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</si>
  <si>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</si>
  <si>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</si>
  <si>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</si>
  <si>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</si>
  <si>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</si>
  <si>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</si>
  <si>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</si>
  <si>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</si>
  <si>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</si>
  <si>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</si>
  <si>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</si>
  <si>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</si>
  <si>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</si>
  <si>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</si>
  <si>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</si>
  <si>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</si>
  <si>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</si>
  <si>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</si>
  <si>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</si>
  <si>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</si>
  <si>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</si>
  <si>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</si>
  <si>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</si>
  <si>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</si>
  <si>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</si>
  <si>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</si>
  <si>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</si>
  <si>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</si>
  <si>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</si>
  <si>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</si>
  <si>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</si>
  <si>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</si>
  <si>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</si>
  <si>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</si>
  <si>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</si>
  <si>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</si>
  <si>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</si>
  <si>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</si>
  <si>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</si>
  <si>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</si>
  <si>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</si>
  <si>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</si>
  <si>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</si>
  <si>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</si>
  <si>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</si>
  <si>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</si>
  <si>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</si>
  <si>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</si>
  <si>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</si>
  <si>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</si>
  <si>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</si>
  <si>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</si>
  <si>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</si>
  <si>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</si>
  <si>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</si>
  <si>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</si>
  <si>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</si>
  <si>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</si>
  <si>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</si>
  <si>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</si>
  <si>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</si>
  <si>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</si>
  <si>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</si>
  <si>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</si>
  <si>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</si>
  <si>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</si>
  <si>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</si>
  <si>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</si>
  <si>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</si>
  <si>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</si>
  <si>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</si>
  <si>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</si>
  <si>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</si>
  <si>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</si>
  <si>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</si>
  <si>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</si>
  <si>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</si>
  <si>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</si>
  <si>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</si>
  <si>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</si>
  <si>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</si>
  <si>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</si>
  <si>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</si>
  <si>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</si>
  <si>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</si>
  <si>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</si>
  <si>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</si>
  <si>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</si>
  <si>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</si>
  <si>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</si>
  <si>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</si>
  <si>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</si>
  <si>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</si>
  <si>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</si>
  <si>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</si>
  <si>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</si>
  <si>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</si>
  <si>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</si>
  <si>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</si>
  <si>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</si>
  <si>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</si>
  <si>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</si>
  <si>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</si>
  <si>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</si>
  <si>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</si>
  <si>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</si>
  <si>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</si>
  <si>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</si>
  <si>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</si>
  <si>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</si>
  <si>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</si>
  <si>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</si>
  <si>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</si>
  <si>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</si>
  <si>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</si>
  <si>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</si>
  <si>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</si>
  <si>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</si>
  <si>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</si>
  <si>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</si>
  <si>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</si>
  <si>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</si>
  <si>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</si>
  <si>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</si>
  <si>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</si>
  <si>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</si>
  <si>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</si>
  <si>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</si>
  <si>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</si>
  <si>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</si>
  <si>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</si>
  <si>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</si>
  <si>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</si>
  <si>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</si>
  <si>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</si>
  <si>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</si>
  <si>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</si>
  <si>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</si>
  <si>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</si>
  <si>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</si>
  <si>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</si>
  <si>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</si>
  <si>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</si>
  <si>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</si>
  <si>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</si>
  <si>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</si>
  <si>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</si>
  <si>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</si>
  <si>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</si>
  <si>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</si>
  <si>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</si>
  <si>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</si>
  <si>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</si>
  <si>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</si>
  <si>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</si>
  <si>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</si>
  <si>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</si>
  <si>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</si>
  <si>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</si>
  <si>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</si>
  <si>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</si>
  <si>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</si>
  <si>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</si>
  <si>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</si>
  <si>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</si>
  <si>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</si>
  <si>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</si>
  <si>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</si>
  <si>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</si>
  <si>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</si>
  <si>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</si>
  <si>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</si>
  <si>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</si>
  <si>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</si>
  <si>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</si>
  <si>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</si>
  <si>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</si>
  <si>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</si>
  <si>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</si>
  <si>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</si>
  <si>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</si>
  <si>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</si>
  <si>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</si>
  <si>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</si>
  <si>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</si>
  <si>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</si>
  <si>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</si>
  <si>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</si>
  <si>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</si>
  <si>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</si>
  <si>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</si>
  <si>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</si>
  <si>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</si>
  <si>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</si>
  <si>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</si>
  <si>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</si>
  <si>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</si>
  <si>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</si>
  <si>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</si>
  <si>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</si>
  <si>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</si>
  <si>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</si>
  <si>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</si>
  <si>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</si>
  <si>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</si>
  <si>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</si>
  <si>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</si>
  <si>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</si>
  <si>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</si>
  <si>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</si>
  <si>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</si>
  <si>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</si>
  <si>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</si>
  <si>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</si>
  <si>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</si>
  <si>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</si>
  <si>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</si>
  <si>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</si>
  <si>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</si>
  <si>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</si>
  <si>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</si>
  <si>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</si>
  <si>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</si>
  <si>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</si>
  <si>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</si>
  <si>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</si>
  <si>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</si>
  <si>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</si>
  <si>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</si>
  <si>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</si>
  <si>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</si>
  <si>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</si>
  <si>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</si>
  <si>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</si>
  <si>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</si>
  <si>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</si>
  <si>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</si>
  <si>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</si>
  <si>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</si>
  <si>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</si>
  <si>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</si>
  <si>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</si>
  <si>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</si>
  <si>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</si>
  <si>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</si>
  <si>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</si>
  <si>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</si>
  <si>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</si>
  <si>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</si>
  <si>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</si>
  <si>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</si>
  <si>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</si>
  <si>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</si>
  <si>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</si>
  <si>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</si>
  <si>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</si>
  <si>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</si>
  <si>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</si>
  <si>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</si>
  <si>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</si>
  <si>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</si>
  <si>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</si>
  <si>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</si>
  <si>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</si>
  <si>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</si>
  <si>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</si>
  <si>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</si>
  <si>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</si>
  <si>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</si>
  <si>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</si>
  <si>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</si>
  <si>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</si>
  <si>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</si>
  <si>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</si>
  <si>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</si>
  <si>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</si>
  <si>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</si>
  <si>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</si>
  <si>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</si>
  <si>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</si>
  <si>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</si>
  <si>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</si>
  <si>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</si>
  <si>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</si>
  <si>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</si>
  <si>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</si>
  <si>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</si>
  <si>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</si>
  <si>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</si>
  <si>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</si>
  <si>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</si>
  <si>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</si>
  <si>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</si>
  <si>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</si>
  <si>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</si>
  <si>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</si>
  <si>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</si>
  <si>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</si>
  <si>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</si>
  <si>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</si>
  <si>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</si>
  <si>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</si>
  <si>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</si>
  <si>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</si>
  <si>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</si>
  <si>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</si>
  <si>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</si>
  <si>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</si>
  <si>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</si>
  <si>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</si>
  <si>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</si>
  <si>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</si>
  <si>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</si>
  <si>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</si>
  <si>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</si>
  <si>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</si>
  <si>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</si>
  <si>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</si>
  <si>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</si>
  <si>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</si>
  <si>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</si>
  <si>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</si>
  <si>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</si>
  <si>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</si>
  <si>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</si>
  <si>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</si>
  <si>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</si>
  <si>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</si>
  <si>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</si>
  <si>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</si>
  <si>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</si>
  <si>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</si>
  <si>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</si>
  <si>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</si>
  <si>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</si>
  <si>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</si>
  <si>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</si>
  <si>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</si>
  <si>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</si>
  <si>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</si>
  <si>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</si>
  <si>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</si>
  <si>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</si>
  <si>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</si>
  <si>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</si>
  <si>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</si>
  <si>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</si>
  <si>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</si>
  <si>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</si>
  <si>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</si>
  <si>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</si>
  <si>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</si>
  <si>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</si>
  <si>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</si>
  <si>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</si>
  <si>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</si>
  <si>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</si>
  <si>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</si>
  <si>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</si>
  <si>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</si>
  <si>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</si>
  <si>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</si>
  <si>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</si>
  <si>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</si>
  <si>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</si>
  <si>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</si>
  <si>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</si>
  <si>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</si>
  <si>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</si>
  <si>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</si>
  <si>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</si>
  <si>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</si>
  <si>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</si>
  <si>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</si>
  <si>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</si>
  <si>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</si>
  <si>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</si>
  <si>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</si>
  <si>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</si>
  <si>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</si>
  <si>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</si>
  <si>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</si>
  <si>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</si>
  <si>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</si>
  <si>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</si>
  <si>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</si>
  <si>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</si>
  <si>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</si>
  <si>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</si>
  <si>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</si>
  <si>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</si>
  <si>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</si>
  <si>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</si>
  <si>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</si>
  <si>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</si>
  <si>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</si>
  <si>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</si>
  <si>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</si>
  <si>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</si>
  <si>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</si>
  <si>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</si>
  <si>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</si>
  <si>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</si>
  <si>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</si>
  <si>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</si>
  <si>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</si>
  <si>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</si>
  <si>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</si>
  <si>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</si>
  <si>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</si>
  <si>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</si>
  <si>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</si>
  <si>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</si>
  <si>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</si>
  <si>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</si>
  <si>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</si>
  <si>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</si>
  <si>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</si>
  <si>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</si>
  <si>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</si>
  <si>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</si>
  <si>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</si>
  <si>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</si>
  <si>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</si>
  <si>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</si>
  <si>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</si>
  <si>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</si>
  <si>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</si>
  <si>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</si>
  <si>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</si>
  <si>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</si>
  <si>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</si>
  <si>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</si>
  <si>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</si>
  <si>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</si>
  <si>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</si>
  <si>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</si>
  <si>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</si>
  <si>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</si>
  <si>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</si>
  <si>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</si>
  <si>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</si>
  <si>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</si>
  <si>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</si>
  <si>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</si>
  <si>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</si>
  <si>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</si>
  <si>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</si>
  <si>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</si>
  <si>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</si>
  <si>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</si>
  <si>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</si>
  <si>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</si>
  <si>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</si>
  <si>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</si>
  <si>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</si>
  <si>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</si>
  <si>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</si>
  <si>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</si>
  <si>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</si>
  <si>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</si>
  <si>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</si>
  <si>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</si>
  <si>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</si>
  <si>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</si>
  <si>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</si>
  <si>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</si>
  <si>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</si>
  <si>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</si>
  <si>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</si>
  <si>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</si>
  <si>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</si>
  <si>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</si>
  <si>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</si>
  <si>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</si>
  <si>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</si>
  <si>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</si>
  <si>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</si>
  <si>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</si>
  <si>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</si>
  <si>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</si>
  <si>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</si>
  <si>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</si>
  <si>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</si>
  <si>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</si>
  <si>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</si>
  <si>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</si>
  <si>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</si>
  <si>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</si>
  <si>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</si>
  <si>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</si>
  <si>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</si>
  <si>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</si>
  <si>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</si>
  <si>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</si>
  <si>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</si>
  <si>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</si>
  <si>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</si>
  <si>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</si>
  <si>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</si>
  <si>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</si>
  <si>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</si>
  <si>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</si>
  <si>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</si>
  <si>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</si>
  <si>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</si>
  <si>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</si>
  <si>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</si>
  <si>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</si>
  <si>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</si>
  <si>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</si>
  <si>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</si>
  <si>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</si>
  <si>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</si>
  <si>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</si>
  <si>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</si>
  <si>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</si>
  <si>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</si>
  <si>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</si>
  <si>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</si>
  <si>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</si>
  <si>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</si>
  <si>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</si>
  <si>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</si>
  <si>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</si>
  <si>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</si>
  <si>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</si>
  <si>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</si>
  <si>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</si>
  <si>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</si>
  <si>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</si>
  <si>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</si>
  <si>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</si>
  <si>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</si>
  <si>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</si>
  <si>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</si>
  <si>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</si>
  <si>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</si>
  <si>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</si>
  <si>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</si>
  <si>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</si>
  <si>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</si>
  <si>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</si>
  <si>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</si>
  <si>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</si>
  <si>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</si>
  <si>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</si>
  <si>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</si>
  <si>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</si>
  <si>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</si>
  <si>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</si>
  <si>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</si>
  <si>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</si>
  <si>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</si>
  <si>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</si>
  <si>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</si>
  <si>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</si>
  <si>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</si>
  <si>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</si>
  <si>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</si>
  <si>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</si>
  <si>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</si>
  <si>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</si>
  <si>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</si>
  <si>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</si>
  <si>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</si>
  <si>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</si>
  <si>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</si>
  <si>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</si>
  <si>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</si>
  <si>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</si>
  <si>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</si>
  <si>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</si>
  <si>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</si>
  <si>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</si>
  <si>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</si>
  <si>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</si>
  <si>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</si>
  <si>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</si>
  <si>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</si>
  <si>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</si>
  <si>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</si>
  <si>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</si>
  <si>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</si>
  <si>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</si>
  <si>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</si>
  <si>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</si>
  <si>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</si>
  <si>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</si>
  <si>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</si>
  <si>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</si>
  <si>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</si>
  <si>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</si>
  <si>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</si>
  <si>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</si>
  <si>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</si>
  <si>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</si>
  <si>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</si>
  <si>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</si>
  <si>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</si>
  <si>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</si>
  <si>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</si>
  <si>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</si>
  <si>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</si>
  <si>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</si>
  <si>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</si>
  <si>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</si>
  <si>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</si>
  <si>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</si>
  <si>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</si>
  <si>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</si>
  <si>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</si>
  <si>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</si>
  <si>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</si>
  <si>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</si>
  <si>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</si>
  <si>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</si>
  <si>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</si>
  <si>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</si>
  <si>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</si>
  <si>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</si>
  <si>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</si>
  <si>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</si>
  <si>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</si>
  <si>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</si>
  <si>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</si>
  <si>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</si>
  <si>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</si>
  <si>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</si>
  <si>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</si>
  <si>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</si>
  <si>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</si>
  <si>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</si>
  <si>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</si>
  <si>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</si>
  <si>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</si>
  <si>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</si>
  <si>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</si>
  <si>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</si>
  <si>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</si>
  <si>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</si>
  <si>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</si>
  <si>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</si>
  <si>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</si>
  <si>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</si>
  <si>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</si>
  <si>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</si>
  <si>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</si>
  <si>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</si>
  <si>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</si>
  <si>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</si>
  <si>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</si>
  <si>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</si>
  <si>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</si>
  <si>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</si>
  <si>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</si>
  <si>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</si>
  <si>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</si>
  <si>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</si>
  <si>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</si>
  <si>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</si>
  <si>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</si>
  <si>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</si>
  <si>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</si>
  <si>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</si>
  <si>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</si>
  <si>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</si>
  <si>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</si>
  <si>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</si>
  <si>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</si>
  <si>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</si>
  <si>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</si>
  <si>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</si>
  <si>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</si>
  <si>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</si>
  <si>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</si>
  <si>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</si>
  <si>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</si>
  <si>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</si>
  <si>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</si>
  <si>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</si>
  <si>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</si>
  <si>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</si>
  <si>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</si>
  <si>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</si>
  <si>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</si>
  <si>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</si>
  <si>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</si>
  <si>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</si>
  <si>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</si>
  <si>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</si>
  <si>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</si>
  <si>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</si>
  <si>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</si>
  <si>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38008</t>
  </si>
  <si>
    <t>DE_PANNE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</si>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</sst>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80593.996732598403</c:v>
                </c:pt>
                <c:pt idx="1">
                  <c:v>67767.407075225783</c:v>
                </c:pt>
                <c:pt idx="2">
                  <c:v>1542.9490000000001</c:v>
                </c:pt>
                <c:pt idx="3">
                  <c:v>11659.143629054721</c:v>
                </c:pt>
                <c:pt idx="4">
                  <c:v>3689.5339724025221</c:v>
                </c:pt>
                <c:pt idx="5">
                  <c:v>85145.814428493628</c:v>
                </c:pt>
                <c:pt idx="6">
                  <c:v>960.09267595253073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71488"/>
        <c:axId val="183489664"/>
      </c:barChart>
      <c:catAx>
        <c:axId val="183471488"/>
        <c:scaling>
          <c:orientation val="minMax"/>
        </c:scaling>
        <c:axPos val="b"/>
        <c:numFmt formatCode="General" sourceLinked="0"/>
        <c:tickLblPos val="nextTo"/>
        <c:crossAx val="183489664"/>
        <c:crosses val="autoZero"/>
        <c:auto val="1"/>
        <c:lblAlgn val="ctr"/>
        <c:lblOffset val="100"/>
      </c:catAx>
      <c:valAx>
        <c:axId val="183489664"/>
        <c:scaling>
          <c:orientation val="minMax"/>
        </c:scaling>
        <c:axPos val="l"/>
        <c:majorGridlines>
          <c:spPr>
            <a:ln>
              <a:noFill/>
            </a:ln>
          </c:spPr>
        </c:majorGridlines>
        <c:numFmt formatCode="#,##0" sourceLinked="1"/>
        <c:tickLblPos val="nextTo"/>
        <c:crossAx val="1834714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80593.996732598403</c:v>
                </c:pt>
                <c:pt idx="1">
                  <c:v>67767.407075225783</c:v>
                </c:pt>
                <c:pt idx="2">
                  <c:v>1542.9490000000001</c:v>
                </c:pt>
                <c:pt idx="3">
                  <c:v>11659.143629054721</c:v>
                </c:pt>
                <c:pt idx="4">
                  <c:v>3689.5339724025221</c:v>
                </c:pt>
                <c:pt idx="5">
                  <c:v>85145.814428493628</c:v>
                </c:pt>
                <c:pt idx="6">
                  <c:v>960.09267595253073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16511.706813625955</c:v>
                </c:pt>
                <c:pt idx="1">
                  <c:v>13934.675348112805</c:v>
                </c:pt>
                <c:pt idx="2">
                  <c:v>331.06533815024034</c:v>
                </c:pt>
                <c:pt idx="3">
                  <c:v>2531.8527717520874</c:v>
                </c:pt>
                <c:pt idx="4">
                  <c:v>741.8295965349464</c:v>
                </c:pt>
                <c:pt idx="5">
                  <c:v>21377.859437270454</c:v>
                </c:pt>
                <c:pt idx="6">
                  <c:v>212.3089824701047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77856"/>
        <c:axId val="183979392"/>
      </c:barChart>
      <c:catAx>
        <c:axId val="183977856"/>
        <c:scaling>
          <c:orientation val="minMax"/>
        </c:scaling>
        <c:axPos val="b"/>
        <c:numFmt formatCode="General" sourceLinked="0"/>
        <c:tickLblPos val="nextTo"/>
        <c:crossAx val="183979392"/>
        <c:crosses val="autoZero"/>
        <c:auto val="1"/>
        <c:lblAlgn val="ctr"/>
        <c:lblOffset val="100"/>
      </c:catAx>
      <c:valAx>
        <c:axId val="183979392"/>
        <c:scaling>
          <c:orientation val="minMax"/>
        </c:scaling>
        <c:axPos val="l"/>
        <c:majorGridlines>
          <c:spPr>
            <a:ln>
              <a:noFill/>
            </a:ln>
          </c:spPr>
        </c:majorGridlines>
        <c:numFmt formatCode="#,##0" sourceLinked="1"/>
        <c:tickLblPos val="nextTo"/>
        <c:crossAx val="1839778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16511.706813625955</c:v>
                </c:pt>
                <c:pt idx="1">
                  <c:v>13934.675348112805</c:v>
                </c:pt>
                <c:pt idx="2">
                  <c:v>331.06533815024034</c:v>
                </c:pt>
                <c:pt idx="3">
                  <c:v>2531.8527717520874</c:v>
                </c:pt>
                <c:pt idx="4">
                  <c:v>741.8295965349464</c:v>
                </c:pt>
                <c:pt idx="5">
                  <c:v>21377.859437270454</c:v>
                </c:pt>
                <c:pt idx="6">
                  <c:v>212.3089824701047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38008</v>
      </c>
      <c r="B6" s="415"/>
      <c r="C6" s="416"/>
    </row>
    <row r="7" spans="1:7" s="413" customFormat="1" ht="15.75" customHeight="1">
      <c r="A7" s="417" t="str">
        <f>txtMunicipality</f>
        <v>DE_PANNE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29581.940810958451</v>
      </c>
      <c r="D10" s="718">
        <f ca="1">tertiair!C16</f>
        <v>0</v>
      </c>
      <c r="E10" s="718">
        <f ca="1">tertiair!D16</f>
        <v>32594.997334287706</v>
      </c>
      <c r="F10" s="718">
        <f>tertiair!E16</f>
        <v>399.75996188034713</v>
      </c>
      <c r="G10" s="718">
        <f ca="1">tertiair!F16</f>
        <v>4657.2680383719808</v>
      </c>
      <c r="H10" s="718">
        <f>tertiair!G16</f>
        <v>0</v>
      </c>
      <c r="I10" s="718">
        <f>tertiair!H16</f>
        <v>0</v>
      </c>
      <c r="J10" s="718">
        <f>tertiair!I16</f>
        <v>0</v>
      </c>
      <c r="K10" s="718">
        <f>tertiair!J16</f>
        <v>5.1851056244987342E-2</v>
      </c>
      <c r="L10" s="718">
        <f>tertiair!K16</f>
        <v>0</v>
      </c>
      <c r="M10" s="718">
        <f ca="1">tertiair!L16</f>
        <v>0</v>
      </c>
      <c r="N10" s="718">
        <f>tertiair!M16</f>
        <v>0</v>
      </c>
      <c r="O10" s="718">
        <f ca="1">tertiair!N16</f>
        <v>2068.5214120043756</v>
      </c>
      <c r="P10" s="718">
        <f>tertiair!O16</f>
        <v>7.8166666666666664</v>
      </c>
      <c r="Q10" s="719">
        <f>tertiair!P16</f>
        <v>0</v>
      </c>
      <c r="R10" s="721">
        <f ca="1">SUM(C10:Q10)</f>
        <v>69310.356075225776</v>
      </c>
      <c r="S10" s="67"/>
    </row>
    <row r="11" spans="1:19" s="474" customFormat="1">
      <c r="A11" s="870" t="s">
        <v>225</v>
      </c>
      <c r="B11" s="875"/>
      <c r="C11" s="718">
        <f>huishoudens!B8</f>
        <v>23479.513779180292</v>
      </c>
      <c r="D11" s="718">
        <f>huishoudens!C8</f>
        <v>0</v>
      </c>
      <c r="E11" s="718">
        <f>huishoudens!D8</f>
        <v>56800.926286751441</v>
      </c>
      <c r="F11" s="718">
        <f>huishoudens!E8</f>
        <v>0</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0</v>
      </c>
      <c r="P11" s="718">
        <f>huishoudens!O8</f>
        <v>161.02333333333334</v>
      </c>
      <c r="Q11" s="719">
        <f>huishoudens!P8</f>
        <v>152.53333333333333</v>
      </c>
      <c r="R11" s="721">
        <f>SUM(C11:Q11)</f>
        <v>80593.996732598403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1363.1302760168649</v>
      </c>
      <c r="D13" s="718">
        <f>industrie!C18</f>
        <v>0</v>
      </c>
      <c r="E13" s="718">
        <f>industrie!D18</f>
        <v>1343.7299927914391</v>
      </c>
      <c r="F13" s="718">
        <f>industrie!E18</f>
        <v>171.71034784150936</v>
      </c>
      <c r="G13" s="718">
        <f>industrie!F18</f>
        <v>518.07003615239717</v>
      </c>
      <c r="H13" s="718">
        <f>industrie!G18</f>
        <v>0</v>
      </c>
      <c r="I13" s="718">
        <f>industrie!H18</f>
        <v>0</v>
      </c>
      <c r="J13" s="718">
        <f>industrie!I18</f>
        <v>0</v>
      </c>
      <c r="K13" s="718">
        <f>industrie!J18</f>
        <v>1.7258346313781889</v>
      </c>
      <c r="L13" s="718">
        <f>industrie!K18</f>
        <v>0</v>
      </c>
      <c r="M13" s="718">
        <f>industrie!L18</f>
        <v>0</v>
      </c>
      <c r="N13" s="718">
        <f>industrie!M18</f>
        <v>0</v>
      </c>
      <c r="O13" s="718">
        <f>industrie!N18</f>
        <v>291.16748496893331</v>
      </c>
      <c r="P13" s="718">
        <f>industrie!O18</f>
        <v>0</v>
      </c>
      <c r="Q13" s="719">
        <f>industrie!P18</f>
        <v>0</v>
      </c>
      <c r="R13" s="721">
        <f>SUM(C13:Q13)</f>
        <v>3689.5339724025221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54424.584866155608</v>
      </c>
      <c r="D15" s="723">
        <f t="shared" ref="D15:Q15" ca="1" si="0">SUM(D9:D14)</f>
        <v>0</v>
      </c>
      <c r="E15" s="723">
        <f t="shared" ca="1" si="0"/>
        <v>90739.653613830582</v>
      </c>
      <c r="F15" s="723">
        <f t="shared" si="0"/>
        <v>571.47030972185644</v>
      </c>
      <c r="G15" s="723">
        <f t="shared" ca="1" si="0"/>
        <v>5175.3380745243776</v>
      </c>
      <c r="H15" s="723">
        <f t="shared" si="0"/>
        <v>0</v>
      </c>
      <c r="I15" s="723">
        <f t="shared" si="0"/>
        <v>0</v>
      </c>
      <c r="J15" s="723">
        <f t="shared" si="0"/>
        <v>0</v>
      </c>
      <c r="K15" s="723">
        <f t="shared" si="0"/>
        <v>1.7776856876231764</v>
      </c>
      <c r="L15" s="723">
        <f t="shared" si="0"/>
        <v>0</v>
      </c>
      <c r="M15" s="723">
        <f t="shared" ca="1" si="0"/>
        <v>0</v>
      </c>
      <c r="N15" s="723">
        <f t="shared" si="0"/>
        <v>0</v>
      </c>
      <c r="O15" s="723">
        <f t="shared" ca="1" si="0"/>
        <v>2359.6888969733091</v>
      </c>
      <c r="P15" s="723">
        <f t="shared" si="0"/>
        <v>168.84</v>
      </c>
      <c r="Q15" s="724">
        <f t="shared" si="0"/>
        <v>152.53333333333333</v>
      </c>
      <c r="R15" s="725">
        <f ca="1">SUM(R9:R14)</f>
        <v>153593.88678022669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794.53342552908123</v>
      </c>
      <c r="D18" s="718">
        <f>transport!C54</f>
        <v>0</v>
      </c>
      <c r="E18" s="718">
        <f>transport!D54</f>
        <v>0</v>
      </c>
      <c r="F18" s="718">
        <f>transport!E54</f>
        <v>0</v>
      </c>
      <c r="G18" s="718">
        <f>transport!F54</f>
        <v>0</v>
      </c>
      <c r="H18" s="718">
        <f>transport!G54</f>
        <v>156.66156511912865</v>
      </c>
      <c r="I18" s="718">
        <f>transport!H54</f>
        <v>0</v>
      </c>
      <c r="J18" s="718">
        <f>transport!I54</f>
        <v>0</v>
      </c>
      <c r="K18" s="718">
        <f>transport!J54</f>
        <v>0</v>
      </c>
      <c r="L18" s="718">
        <f>transport!K54</f>
        <v>0</v>
      </c>
      <c r="M18" s="718">
        <f>transport!L54</f>
        <v>0</v>
      </c>
      <c r="N18" s="718">
        <f>transport!M54</f>
        <v>8.8976853043207633</v>
      </c>
      <c r="O18" s="718">
        <f>transport!N54</f>
        <v>0</v>
      </c>
      <c r="P18" s="718">
        <f>transport!O54</f>
        <v>0</v>
      </c>
      <c r="Q18" s="719">
        <f>transport!P54</f>
        <v>0</v>
      </c>
      <c r="R18" s="721">
        <f>SUM(C18:Q18)</f>
        <v>960.09267595253073</v>
      </c>
      <c r="S18" s="67"/>
    </row>
    <row r="19" spans="1:19" s="474" customFormat="1" ht="15" thickBot="1">
      <c r="A19" s="870" t="s">
        <v>307</v>
      </c>
      <c r="B19" s="875"/>
      <c r="C19" s="727">
        <f>transport!B14</f>
        <v>23.557317722183882</v>
      </c>
      <c r="D19" s="727">
        <f>transport!C14</f>
        <v>0</v>
      </c>
      <c r="E19" s="727">
        <f>transport!D14</f>
        <v>75.021759286441878</v>
      </c>
      <c r="F19" s="727">
        <f>transport!E14</f>
        <v>114.61550709840081</v>
      </c>
      <c r="G19" s="727">
        <f>transport!F14</f>
        <v>0</v>
      </c>
      <c r="H19" s="727">
        <f>transport!G14</f>
        <v>71774.469467549832</v>
      </c>
      <c r="I19" s="727">
        <f>transport!H14</f>
        <v>8706.2223297805649</v>
      </c>
      <c r="J19" s="727">
        <f>transport!I14</f>
        <v>0</v>
      </c>
      <c r="K19" s="727">
        <f>transport!J14</f>
        <v>0</v>
      </c>
      <c r="L19" s="727">
        <f>transport!K14</f>
        <v>0</v>
      </c>
      <c r="M19" s="727">
        <f>transport!L14</f>
        <v>0</v>
      </c>
      <c r="N19" s="727">
        <f>transport!M14</f>
        <v>4451.9280470562026</v>
      </c>
      <c r="O19" s="727">
        <f>transport!N14</f>
        <v>0</v>
      </c>
      <c r="P19" s="727">
        <f>transport!O14</f>
        <v>0</v>
      </c>
      <c r="Q19" s="728">
        <f>transport!P14</f>
        <v>0</v>
      </c>
      <c r="R19" s="729">
        <f>SUM(C19:Q19)</f>
        <v>85145.814428493628</v>
      </c>
      <c r="S19" s="67"/>
    </row>
    <row r="20" spans="1:19" s="474" customFormat="1" ht="15.75" thickBot="1">
      <c r="A20" s="730" t="s">
        <v>230</v>
      </c>
      <c r="B20" s="878"/>
      <c r="C20" s="873">
        <f>SUM(C17:C19)</f>
        <v>818.09074325126517</v>
      </c>
      <c r="D20" s="731">
        <f t="shared" ref="D20:R20" si="1">SUM(D17:D19)</f>
        <v>0</v>
      </c>
      <c r="E20" s="731">
        <f t="shared" si="1"/>
        <v>75.021759286441878</v>
      </c>
      <c r="F20" s="731">
        <f t="shared" si="1"/>
        <v>114.61550709840081</v>
      </c>
      <c r="G20" s="731">
        <f t="shared" si="1"/>
        <v>0</v>
      </c>
      <c r="H20" s="731">
        <f t="shared" si="1"/>
        <v>71931.131032668956</v>
      </c>
      <c r="I20" s="731">
        <f t="shared" si="1"/>
        <v>8706.2223297805649</v>
      </c>
      <c r="J20" s="731">
        <f t="shared" si="1"/>
        <v>0</v>
      </c>
      <c r="K20" s="731">
        <f t="shared" si="1"/>
        <v>0</v>
      </c>
      <c r="L20" s="731">
        <f t="shared" si="1"/>
        <v>0</v>
      </c>
      <c r="M20" s="731">
        <f t="shared" si="1"/>
        <v>0</v>
      </c>
      <c r="N20" s="731">
        <f t="shared" si="1"/>
        <v>4460.825732360523</v>
      </c>
      <c r="O20" s="731">
        <f t="shared" si="1"/>
        <v>0</v>
      </c>
      <c r="P20" s="731">
        <f t="shared" si="1"/>
        <v>0</v>
      </c>
      <c r="Q20" s="732">
        <f t="shared" si="1"/>
        <v>0</v>
      </c>
      <c r="R20" s="733">
        <f t="shared" si="1"/>
        <v>86105.90710444616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577.26330369840787</v>
      </c>
      <c r="D22" s="727">
        <f>+landbouw!C8</f>
        <v>0</v>
      </c>
      <c r="E22" s="727">
        <f>+landbouw!D8</f>
        <v>8576.4320083245148</v>
      </c>
      <c r="F22" s="727">
        <f>+landbouw!E8</f>
        <v>16.96753166133292</v>
      </c>
      <c r="G22" s="727">
        <f>+landbouw!F8</f>
        <v>2404.8477295359185</v>
      </c>
      <c r="H22" s="727">
        <f>+landbouw!G8</f>
        <v>0</v>
      </c>
      <c r="I22" s="727">
        <f>+landbouw!H8</f>
        <v>0</v>
      </c>
      <c r="J22" s="727">
        <f>+landbouw!I8</f>
        <v>0</v>
      </c>
      <c r="K22" s="727">
        <f>+landbouw!J8</f>
        <v>83.633055834546781</v>
      </c>
      <c r="L22" s="727">
        <f>+landbouw!K8</f>
        <v>0</v>
      </c>
      <c r="M22" s="727">
        <f>+landbouw!L8</f>
        <v>0</v>
      </c>
      <c r="N22" s="727">
        <f>+landbouw!M8</f>
        <v>0</v>
      </c>
      <c r="O22" s="727">
        <f>+landbouw!N8</f>
        <v>0</v>
      </c>
      <c r="P22" s="727">
        <f>+landbouw!O8</f>
        <v>0</v>
      </c>
      <c r="Q22" s="728">
        <f>+landbouw!P8</f>
        <v>0</v>
      </c>
      <c r="R22" s="729">
        <f>SUM(C22:Q22)</f>
        <v>11659.143629054721</v>
      </c>
      <c r="S22" s="67"/>
    </row>
    <row r="23" spans="1:19" s="474" customFormat="1" ht="17.25" thickTop="1" thickBot="1">
      <c r="A23" s="734" t="s">
        <v>116</v>
      </c>
      <c r="B23" s="864"/>
      <c r="C23" s="735">
        <f ca="1">C20+C15+C22</f>
        <v>55819.938913105281</v>
      </c>
      <c r="D23" s="735">
        <f t="shared" ref="D23:Q23" ca="1" si="2">D20+D15+D22</f>
        <v>0</v>
      </c>
      <c r="E23" s="735">
        <f t="shared" ca="1" si="2"/>
        <v>99391.107381441529</v>
      </c>
      <c r="F23" s="735">
        <f t="shared" si="2"/>
        <v>703.05334848159021</v>
      </c>
      <c r="G23" s="735">
        <f t="shared" ca="1" si="2"/>
        <v>7580.1858040602965</v>
      </c>
      <c r="H23" s="735">
        <f t="shared" si="2"/>
        <v>71931.131032668956</v>
      </c>
      <c r="I23" s="735">
        <f t="shared" si="2"/>
        <v>8706.2223297805649</v>
      </c>
      <c r="J23" s="735">
        <f t="shared" si="2"/>
        <v>0</v>
      </c>
      <c r="K23" s="735">
        <f t="shared" si="2"/>
        <v>85.410741522169957</v>
      </c>
      <c r="L23" s="735">
        <f t="shared" si="2"/>
        <v>0</v>
      </c>
      <c r="M23" s="735">
        <f t="shared" ca="1" si="2"/>
        <v>0</v>
      </c>
      <c r="N23" s="735">
        <f t="shared" si="2"/>
        <v>4460.825732360523</v>
      </c>
      <c r="O23" s="735">
        <f t="shared" ca="1" si="2"/>
        <v>2359.6888969733091</v>
      </c>
      <c r="P23" s="735">
        <f t="shared" si="2"/>
        <v>168.84</v>
      </c>
      <c r="Q23" s="736">
        <f t="shared" si="2"/>
        <v>152.53333333333333</v>
      </c>
      <c r="R23" s="737">
        <f ca="1">R20+R15+R22</f>
        <v>251358.93751372758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6347.2967918708619</v>
      </c>
      <c r="D36" s="718">
        <f ca="1">tertiair!C20</f>
        <v>0</v>
      </c>
      <c r="E36" s="718">
        <f ca="1">tertiair!D20</f>
        <v>6584.1894615261172</v>
      </c>
      <c r="F36" s="718">
        <f>tertiair!E20</f>
        <v>90.745511346838796</v>
      </c>
      <c r="G36" s="718">
        <f ca="1">tertiair!F20</f>
        <v>1243.4905662453189</v>
      </c>
      <c r="H36" s="718">
        <f>tertiair!G20</f>
        <v>0</v>
      </c>
      <c r="I36" s="718">
        <f>tertiair!H20</f>
        <v>0</v>
      </c>
      <c r="J36" s="718">
        <f>tertiair!I20</f>
        <v>0</v>
      </c>
      <c r="K36" s="718">
        <f>tertiair!J20</f>
        <v>1.8355273910725518E-2</v>
      </c>
      <c r="L36" s="718">
        <f>tertiair!K20</f>
        <v>0</v>
      </c>
      <c r="M36" s="718">
        <f ca="1">tertiair!L20</f>
        <v>0</v>
      </c>
      <c r="N36" s="718">
        <f>tertiair!M20</f>
        <v>0</v>
      </c>
      <c r="O36" s="718">
        <f ca="1">tertiair!N20</f>
        <v>0</v>
      </c>
      <c r="P36" s="718">
        <f>tertiair!O20</f>
        <v>0</v>
      </c>
      <c r="Q36" s="828">
        <f>tertiair!P20</f>
        <v>0</v>
      </c>
      <c r="R36" s="917">
        <f ca="1">SUM(C36:Q36)</f>
        <v>14265.740686263047</v>
      </c>
    </row>
    <row r="37" spans="1:18">
      <c r="A37" s="885" t="s">
        <v>225</v>
      </c>
      <c r="B37" s="892"/>
      <c r="C37" s="718">
        <f ca="1">huishoudens!B12</f>
        <v>5037.919703702164</v>
      </c>
      <c r="D37" s="718">
        <f ca="1">huishoudens!C12</f>
        <v>0</v>
      </c>
      <c r="E37" s="718">
        <f>huishoudens!D12</f>
        <v>11473.787109923791</v>
      </c>
      <c r="F37" s="718">
        <f>huishoudens!E12</f>
        <v>0</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16511.706813625955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292.48224391885526</v>
      </c>
      <c r="D39" s="718">
        <f ca="1">industrie!C22</f>
        <v>0</v>
      </c>
      <c r="E39" s="718">
        <f>industrie!D22</f>
        <v>271.4334585438707</v>
      </c>
      <c r="F39" s="718">
        <f>industrie!E22</f>
        <v>38.978248960022626</v>
      </c>
      <c r="G39" s="718">
        <f>industrie!F22</f>
        <v>138.32469965269004</v>
      </c>
      <c r="H39" s="718">
        <f>industrie!G22</f>
        <v>0</v>
      </c>
      <c r="I39" s="718">
        <f>industrie!H22</f>
        <v>0</v>
      </c>
      <c r="J39" s="718">
        <f>industrie!I22</f>
        <v>0</v>
      </c>
      <c r="K39" s="718">
        <f>industrie!J22</f>
        <v>0.61094545950787882</v>
      </c>
      <c r="L39" s="718">
        <f>industrie!K22</f>
        <v>0</v>
      </c>
      <c r="M39" s="718">
        <f>industrie!L22</f>
        <v>0</v>
      </c>
      <c r="N39" s="718">
        <f>industrie!M22</f>
        <v>0</v>
      </c>
      <c r="O39" s="718">
        <f>industrie!N22</f>
        <v>0</v>
      </c>
      <c r="P39" s="718">
        <f>industrie!O22</f>
        <v>0</v>
      </c>
      <c r="Q39" s="828">
        <f>industrie!P22</f>
        <v>0</v>
      </c>
      <c r="R39" s="918">
        <f ca="1">SUM(C39:Q39)</f>
        <v>741.8295965349464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11677.698739491881</v>
      </c>
      <c r="D41" s="763">
        <f t="shared" ref="D41:R41" ca="1" si="4">SUM(D35:D40)</f>
        <v>0</v>
      </c>
      <c r="E41" s="763">
        <f t="shared" ca="1" si="4"/>
        <v>18329.410029993778</v>
      </c>
      <c r="F41" s="763">
        <f t="shared" si="4"/>
        <v>129.72376030686144</v>
      </c>
      <c r="G41" s="763">
        <f t="shared" ca="1" si="4"/>
        <v>1381.8152658980089</v>
      </c>
      <c r="H41" s="763">
        <f t="shared" si="4"/>
        <v>0</v>
      </c>
      <c r="I41" s="763">
        <f t="shared" si="4"/>
        <v>0</v>
      </c>
      <c r="J41" s="763">
        <f t="shared" si="4"/>
        <v>0</v>
      </c>
      <c r="K41" s="763">
        <f t="shared" si="4"/>
        <v>0.62930073341860437</v>
      </c>
      <c r="L41" s="763">
        <f t="shared" si="4"/>
        <v>0</v>
      </c>
      <c r="M41" s="763">
        <f t="shared" ca="1" si="4"/>
        <v>0</v>
      </c>
      <c r="N41" s="763">
        <f t="shared" si="4"/>
        <v>0</v>
      </c>
      <c r="O41" s="763">
        <f t="shared" ca="1" si="4"/>
        <v>0</v>
      </c>
      <c r="P41" s="763">
        <f t="shared" si="4"/>
        <v>0</v>
      </c>
      <c r="Q41" s="764">
        <f t="shared" si="4"/>
        <v>0</v>
      </c>
      <c r="R41" s="765">
        <f t="shared" ca="1" si="4"/>
        <v>31519.277096423946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170.48034458329735</v>
      </c>
      <c r="D44" s="718">
        <f ca="1">transport!C58</f>
        <v>0</v>
      </c>
      <c r="E44" s="718">
        <f>transport!D58</f>
        <v>0</v>
      </c>
      <c r="F44" s="718">
        <f>transport!E58</f>
        <v>0</v>
      </c>
      <c r="G44" s="718">
        <f>transport!F58</f>
        <v>0</v>
      </c>
      <c r="H44" s="718">
        <f>transport!G58</f>
        <v>41.82863788680735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212.3089824701047</v>
      </c>
    </row>
    <row r="45" spans="1:18" ht="15" thickBot="1">
      <c r="A45" s="888" t="s">
        <v>307</v>
      </c>
      <c r="B45" s="898"/>
      <c r="C45" s="727">
        <f ca="1">transport!B18</f>
        <v>5.0546138320887186</v>
      </c>
      <c r="D45" s="727">
        <f>transport!C18</f>
        <v>0</v>
      </c>
      <c r="E45" s="727">
        <f>transport!D18</f>
        <v>15.15439537586126</v>
      </c>
      <c r="F45" s="727">
        <f>transport!E18</f>
        <v>26.017720111336985</v>
      </c>
      <c r="G45" s="727">
        <f>transport!F18</f>
        <v>0</v>
      </c>
      <c r="H45" s="727">
        <f>transport!G18</f>
        <v>19163.783347835808</v>
      </c>
      <c r="I45" s="727">
        <f>transport!H18</f>
        <v>2167.8493601153605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21377.859437270454</v>
      </c>
    </row>
    <row r="46" spans="1:18" ht="15.75" thickBot="1">
      <c r="A46" s="886" t="s">
        <v>230</v>
      </c>
      <c r="B46" s="899"/>
      <c r="C46" s="763">
        <f t="shared" ref="C46:R46" ca="1" si="5">SUM(C43:C45)</f>
        <v>175.53495841538606</v>
      </c>
      <c r="D46" s="763">
        <f t="shared" ca="1" si="5"/>
        <v>0</v>
      </c>
      <c r="E46" s="763">
        <f t="shared" si="5"/>
        <v>15.15439537586126</v>
      </c>
      <c r="F46" s="763">
        <f t="shared" si="5"/>
        <v>26.017720111336985</v>
      </c>
      <c r="G46" s="763">
        <f t="shared" si="5"/>
        <v>0</v>
      </c>
      <c r="H46" s="763">
        <f t="shared" si="5"/>
        <v>19205.611985722615</v>
      </c>
      <c r="I46" s="763">
        <f t="shared" si="5"/>
        <v>2167.8493601153605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21590.168419740559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123.86143083189287</v>
      </c>
      <c r="D48" s="718">
        <f ca="1">+landbouw!C12</f>
        <v>0</v>
      </c>
      <c r="E48" s="718">
        <f>+landbouw!D12</f>
        <v>1732.4392656815521</v>
      </c>
      <c r="F48" s="718">
        <f>+landbouw!E12</f>
        <v>3.851629687122573</v>
      </c>
      <c r="G48" s="718">
        <f>+landbouw!F12</f>
        <v>642.09434378609023</v>
      </c>
      <c r="H48" s="718">
        <f>+landbouw!G12</f>
        <v>0</v>
      </c>
      <c r="I48" s="718">
        <f>+landbouw!H12</f>
        <v>0</v>
      </c>
      <c r="J48" s="718">
        <f>+landbouw!I12</f>
        <v>0</v>
      </c>
      <c r="K48" s="718">
        <f>+landbouw!J12</f>
        <v>29.60610176542956</v>
      </c>
      <c r="L48" s="718">
        <f>+landbouw!K12</f>
        <v>0</v>
      </c>
      <c r="M48" s="718">
        <f>+landbouw!L12</f>
        <v>0</v>
      </c>
      <c r="N48" s="718">
        <f>+landbouw!M12</f>
        <v>0</v>
      </c>
      <c r="O48" s="718">
        <f>+landbouw!N12</f>
        <v>0</v>
      </c>
      <c r="P48" s="718">
        <f>+landbouw!O12</f>
        <v>0</v>
      </c>
      <c r="Q48" s="719">
        <f>+landbouw!P12</f>
        <v>0</v>
      </c>
      <c r="R48" s="761">
        <f ca="1">SUM(C48:Q48)</f>
        <v>2531.8527717520874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11977.09512873916</v>
      </c>
      <c r="D53" s="773">
        <f t="shared" ref="D53:Q53" ca="1" si="6">D41+D46+D48</f>
        <v>0</v>
      </c>
      <c r="E53" s="773">
        <f t="shared" ca="1" si="6"/>
        <v>20077.003691051192</v>
      </c>
      <c r="F53" s="773">
        <f t="shared" si="6"/>
        <v>159.59311010532099</v>
      </c>
      <c r="G53" s="773">
        <f t="shared" ca="1" si="6"/>
        <v>2023.909609684099</v>
      </c>
      <c r="H53" s="773">
        <f t="shared" si="6"/>
        <v>19205.611985722615</v>
      </c>
      <c r="I53" s="773">
        <f t="shared" si="6"/>
        <v>2167.8493601153605</v>
      </c>
      <c r="J53" s="773">
        <f t="shared" si="6"/>
        <v>0</v>
      </c>
      <c r="K53" s="773">
        <f t="shared" si="6"/>
        <v>30.235402498848163</v>
      </c>
      <c r="L53" s="773">
        <f t="shared" si="6"/>
        <v>0</v>
      </c>
      <c r="M53" s="773">
        <f t="shared" ca="1" si="6"/>
        <v>0</v>
      </c>
      <c r="N53" s="773">
        <f t="shared" si="6"/>
        <v>0</v>
      </c>
      <c r="O53" s="773">
        <f t="shared" ca="1" si="6"/>
        <v>0</v>
      </c>
      <c r="P53" s="773">
        <f>P41+P46+P48</f>
        <v>0</v>
      </c>
      <c r="Q53" s="774">
        <f t="shared" si="6"/>
        <v>0</v>
      </c>
      <c r="R53" s="775">
        <f ca="1">R41+R46+R48</f>
        <v>55641.298287916587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0.21456661117784212</v>
      </c>
      <c r="D55" s="836">
        <f t="shared" ca="1" si="7"/>
        <v>0</v>
      </c>
      <c r="E55" s="836">
        <f t="shared" ca="1" si="7"/>
        <v>0.20200000000000004</v>
      </c>
      <c r="F55" s="836">
        <f t="shared" si="7"/>
        <v>0.22700000000000001</v>
      </c>
      <c r="G55" s="836">
        <f t="shared" ca="1" si="7"/>
        <v>0.26699999999999996</v>
      </c>
      <c r="H55" s="836">
        <f t="shared" si="7"/>
        <v>0.26700000000000007</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1624.9383305751498</v>
      </c>
      <c r="C66" s="795">
        <f>'lokale energieproductie'!B6</f>
        <v>1624.9383305751498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1624.9383305751498</v>
      </c>
      <c r="C69" s="803">
        <f>SUM(C64:C68)</f>
        <v>1624.9383305751498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23479.513779180292</v>
      </c>
      <c r="C4" s="478">
        <f>huishoudens!C8</f>
        <v>0</v>
      </c>
      <c r="D4" s="478">
        <f>huishoudens!D8</f>
        <v>56800.926286751441</v>
      </c>
      <c r="E4" s="478">
        <f>huishoudens!E8</f>
        <v>0</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0</v>
      </c>
      <c r="O4" s="478">
        <f>huishoudens!O8</f>
        <v>161.02333333333334</v>
      </c>
      <c r="P4" s="479">
        <f>huishoudens!P8</f>
        <v>152.53333333333333</v>
      </c>
      <c r="Q4" s="480">
        <f>SUM(B4:P4)</f>
        <v>80593.996732598403</v>
      </c>
    </row>
    <row r="5" spans="1:17">
      <c r="A5" s="477" t="s">
        <v>156</v>
      </c>
      <c r="B5" s="478">
        <f ca="1">tertiair!B16</f>
        <v>28038.991810958451</v>
      </c>
      <c r="C5" s="478">
        <f ca="1">tertiair!C16</f>
        <v>0</v>
      </c>
      <c r="D5" s="478">
        <f ca="1">tertiair!D16</f>
        <v>32594.997334287706</v>
      </c>
      <c r="E5" s="478">
        <f>tertiair!E16</f>
        <v>399.75996188034713</v>
      </c>
      <c r="F5" s="478">
        <f ca="1">tertiair!F16</f>
        <v>4657.2680383719808</v>
      </c>
      <c r="G5" s="478">
        <f>tertiair!G16</f>
        <v>0</v>
      </c>
      <c r="H5" s="478">
        <f>tertiair!H16</f>
        <v>0</v>
      </c>
      <c r="I5" s="478">
        <f>tertiair!I16</f>
        <v>0</v>
      </c>
      <c r="J5" s="478">
        <f>tertiair!J16</f>
        <v>5.1851056244987342E-2</v>
      </c>
      <c r="K5" s="478">
        <f>tertiair!K16</f>
        <v>0</v>
      </c>
      <c r="L5" s="478">
        <f ca="1">tertiair!L16</f>
        <v>0</v>
      </c>
      <c r="M5" s="478">
        <f>tertiair!M16</f>
        <v>0</v>
      </c>
      <c r="N5" s="478">
        <f ca="1">tertiair!N16</f>
        <v>2068.5214120043756</v>
      </c>
      <c r="O5" s="478">
        <f>tertiair!O16</f>
        <v>7.8166666666666664</v>
      </c>
      <c r="P5" s="479">
        <f>tertiair!P16</f>
        <v>0</v>
      </c>
      <c r="Q5" s="477">
        <f t="shared" ref="Q5:Q13" ca="1" si="0">SUM(B5:P5)</f>
        <v>67767.407075225783</v>
      </c>
    </row>
    <row r="6" spans="1:17">
      <c r="A6" s="477" t="s">
        <v>194</v>
      </c>
      <c r="B6" s="478">
        <f>'openbare verlichting'!B8</f>
        <v>1542.9490000000001</v>
      </c>
      <c r="C6" s="478"/>
      <c r="D6" s="478"/>
      <c r="E6" s="478"/>
      <c r="F6" s="478"/>
      <c r="G6" s="478"/>
      <c r="H6" s="478"/>
      <c r="I6" s="478"/>
      <c r="J6" s="478"/>
      <c r="K6" s="478"/>
      <c r="L6" s="478"/>
      <c r="M6" s="478"/>
      <c r="N6" s="478"/>
      <c r="O6" s="478"/>
      <c r="P6" s="479"/>
      <c r="Q6" s="477">
        <f t="shared" si="0"/>
        <v>1542.9490000000001</v>
      </c>
    </row>
    <row r="7" spans="1:17">
      <c r="A7" s="477" t="s">
        <v>112</v>
      </c>
      <c r="B7" s="478">
        <f>landbouw!B8</f>
        <v>577.26330369840787</v>
      </c>
      <c r="C7" s="478">
        <f>landbouw!C8</f>
        <v>0</v>
      </c>
      <c r="D7" s="478">
        <f>landbouw!D8</f>
        <v>8576.4320083245148</v>
      </c>
      <c r="E7" s="478">
        <f>landbouw!E8</f>
        <v>16.96753166133292</v>
      </c>
      <c r="F7" s="478">
        <f>landbouw!F8</f>
        <v>2404.8477295359185</v>
      </c>
      <c r="G7" s="478">
        <f>landbouw!G8</f>
        <v>0</v>
      </c>
      <c r="H7" s="478">
        <f>landbouw!H8</f>
        <v>0</v>
      </c>
      <c r="I7" s="478">
        <f>landbouw!I8</f>
        <v>0</v>
      </c>
      <c r="J7" s="478">
        <f>landbouw!J8</f>
        <v>83.633055834546781</v>
      </c>
      <c r="K7" s="478">
        <f>landbouw!K8</f>
        <v>0</v>
      </c>
      <c r="L7" s="478">
        <f>landbouw!L8</f>
        <v>0</v>
      </c>
      <c r="M7" s="478">
        <f>landbouw!M8</f>
        <v>0</v>
      </c>
      <c r="N7" s="478">
        <f>landbouw!N8</f>
        <v>0</v>
      </c>
      <c r="O7" s="478">
        <f>landbouw!O8</f>
        <v>0</v>
      </c>
      <c r="P7" s="479">
        <f>landbouw!P8</f>
        <v>0</v>
      </c>
      <c r="Q7" s="477">
        <f t="shared" si="0"/>
        <v>11659.143629054721</v>
      </c>
    </row>
    <row r="8" spans="1:17">
      <c r="A8" s="477" t="s">
        <v>635</v>
      </c>
      <c r="B8" s="478">
        <f>industrie!B18</f>
        <v>1363.1302760168649</v>
      </c>
      <c r="C8" s="478">
        <f>industrie!C18</f>
        <v>0</v>
      </c>
      <c r="D8" s="478">
        <f>industrie!D18</f>
        <v>1343.7299927914391</v>
      </c>
      <c r="E8" s="478">
        <f>industrie!E18</f>
        <v>171.71034784150936</v>
      </c>
      <c r="F8" s="478">
        <f>industrie!F18</f>
        <v>518.07003615239717</v>
      </c>
      <c r="G8" s="478">
        <f>industrie!G18</f>
        <v>0</v>
      </c>
      <c r="H8" s="478">
        <f>industrie!H18</f>
        <v>0</v>
      </c>
      <c r="I8" s="478">
        <f>industrie!I18</f>
        <v>0</v>
      </c>
      <c r="J8" s="478">
        <f>industrie!J18</f>
        <v>1.7258346313781889</v>
      </c>
      <c r="K8" s="478">
        <f>industrie!K18</f>
        <v>0</v>
      </c>
      <c r="L8" s="478">
        <f>industrie!L18</f>
        <v>0</v>
      </c>
      <c r="M8" s="478">
        <f>industrie!M18</f>
        <v>0</v>
      </c>
      <c r="N8" s="478">
        <f>industrie!N18</f>
        <v>291.16748496893331</v>
      </c>
      <c r="O8" s="478">
        <f>industrie!O18</f>
        <v>0</v>
      </c>
      <c r="P8" s="479">
        <f>industrie!P18</f>
        <v>0</v>
      </c>
      <c r="Q8" s="477">
        <f t="shared" si="0"/>
        <v>3689.5339724025221</v>
      </c>
    </row>
    <row r="9" spans="1:17" s="483" customFormat="1">
      <c r="A9" s="481" t="s">
        <v>561</v>
      </c>
      <c r="B9" s="482">
        <f>transport!B14</f>
        <v>23.557317722183882</v>
      </c>
      <c r="C9" s="482"/>
      <c r="D9" s="482">
        <f>transport!D14</f>
        <v>75.021759286441878</v>
      </c>
      <c r="E9" s="482">
        <f>transport!E14</f>
        <v>114.61550709840081</v>
      </c>
      <c r="F9" s="482"/>
      <c r="G9" s="482">
        <f>transport!G14</f>
        <v>71774.469467549832</v>
      </c>
      <c r="H9" s="482">
        <f>transport!H14</f>
        <v>8706.2223297805649</v>
      </c>
      <c r="I9" s="482"/>
      <c r="J9" s="482"/>
      <c r="K9" s="482"/>
      <c r="L9" s="482"/>
      <c r="M9" s="482">
        <f>transport!M14</f>
        <v>4451.9280470562026</v>
      </c>
      <c r="N9" s="482"/>
      <c r="O9" s="482"/>
      <c r="P9" s="482"/>
      <c r="Q9" s="481">
        <f>SUM(B9:P9)</f>
        <v>85145.814428493628</v>
      </c>
    </row>
    <row r="10" spans="1:17">
      <c r="A10" s="477" t="s">
        <v>551</v>
      </c>
      <c r="B10" s="478">
        <f>transport!B54</f>
        <v>794.53342552908123</v>
      </c>
      <c r="C10" s="478"/>
      <c r="D10" s="478">
        <f>transport!D54</f>
        <v>0</v>
      </c>
      <c r="E10" s="478"/>
      <c r="F10" s="478"/>
      <c r="G10" s="478">
        <f>transport!G54</f>
        <v>156.66156511912865</v>
      </c>
      <c r="H10" s="478"/>
      <c r="I10" s="478"/>
      <c r="J10" s="478"/>
      <c r="K10" s="478"/>
      <c r="L10" s="478"/>
      <c r="M10" s="478">
        <f>transport!M54</f>
        <v>8.8976853043207633</v>
      </c>
      <c r="N10" s="478"/>
      <c r="O10" s="478"/>
      <c r="P10" s="479"/>
      <c r="Q10" s="477">
        <f t="shared" si="0"/>
        <v>960.09267595253073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55819.938913105267</v>
      </c>
      <c r="C14" s="488">
        <f t="shared" ref="C14:Q14" ca="1" si="1">SUM(C4:C13)</f>
        <v>0</v>
      </c>
      <c r="D14" s="488">
        <f t="shared" ca="1" si="1"/>
        <v>99391.107381441529</v>
      </c>
      <c r="E14" s="488">
        <f t="shared" si="1"/>
        <v>703.05334848159021</v>
      </c>
      <c r="F14" s="488">
        <f t="shared" ca="1" si="1"/>
        <v>7580.1858040602956</v>
      </c>
      <c r="G14" s="488">
        <f t="shared" si="1"/>
        <v>71931.131032668956</v>
      </c>
      <c r="H14" s="488">
        <f t="shared" si="1"/>
        <v>8706.2223297805649</v>
      </c>
      <c r="I14" s="488">
        <f t="shared" si="1"/>
        <v>0</v>
      </c>
      <c r="J14" s="488">
        <f t="shared" si="1"/>
        <v>85.410741522169957</v>
      </c>
      <c r="K14" s="488">
        <f t="shared" si="1"/>
        <v>0</v>
      </c>
      <c r="L14" s="488">
        <f t="shared" ca="1" si="1"/>
        <v>0</v>
      </c>
      <c r="M14" s="488">
        <f t="shared" si="1"/>
        <v>4460.825732360523</v>
      </c>
      <c r="N14" s="488">
        <f t="shared" ca="1" si="1"/>
        <v>2359.6888969733091</v>
      </c>
      <c r="O14" s="488">
        <f t="shared" si="1"/>
        <v>168.84</v>
      </c>
      <c r="P14" s="489">
        <f t="shared" si="1"/>
        <v>152.53333333333333</v>
      </c>
      <c r="Q14" s="489">
        <f t="shared" ca="1" si="1"/>
        <v>251358.93751372758</v>
      </c>
    </row>
    <row r="16" spans="1:17">
      <c r="A16" s="491" t="s">
        <v>556</v>
      </c>
      <c r="B16" s="841">
        <f ca="1">huishoudens!B10</f>
        <v>0.21456661117784212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5037.919703702164</v>
      </c>
      <c r="C21" s="478">
        <f t="shared" ref="C21:C28" ca="1" si="3">C4*$C$16</f>
        <v>0</v>
      </c>
      <c r="D21" s="478">
        <f t="shared" ref="D21:D30" si="4">D4*$D$16</f>
        <v>11473.787109923791</v>
      </c>
      <c r="E21" s="478">
        <f t="shared" ref="E21:E30" si="5">E4*$E$16</f>
        <v>0</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16511.706813625955</v>
      </c>
    </row>
    <row r="22" spans="1:17">
      <c r="A22" s="477" t="s">
        <v>156</v>
      </c>
      <c r="B22" s="478">
        <f t="shared" ca="1" si="2"/>
        <v>6016.2314537206212</v>
      </c>
      <c r="C22" s="478">
        <f t="shared" ca="1" si="3"/>
        <v>0</v>
      </c>
      <c r="D22" s="478">
        <f t="shared" ca="1" si="4"/>
        <v>6584.1894615261172</v>
      </c>
      <c r="E22" s="478">
        <f t="shared" si="5"/>
        <v>90.745511346838796</v>
      </c>
      <c r="F22" s="478">
        <f t="shared" ca="1" si="6"/>
        <v>1243.4905662453189</v>
      </c>
      <c r="G22" s="478">
        <f t="shared" si="7"/>
        <v>0</v>
      </c>
      <c r="H22" s="478">
        <f t="shared" si="8"/>
        <v>0</v>
      </c>
      <c r="I22" s="478">
        <f t="shared" si="9"/>
        <v>0</v>
      </c>
      <c r="J22" s="478">
        <f t="shared" si="10"/>
        <v>1.8355273910725518E-2</v>
      </c>
      <c r="K22" s="478">
        <f t="shared" si="11"/>
        <v>0</v>
      </c>
      <c r="L22" s="478">
        <f t="shared" ca="1" si="12"/>
        <v>0</v>
      </c>
      <c r="M22" s="478">
        <f t="shared" si="13"/>
        <v>0</v>
      </c>
      <c r="N22" s="478">
        <f t="shared" ca="1" si="14"/>
        <v>0</v>
      </c>
      <c r="O22" s="478">
        <f t="shared" si="15"/>
        <v>0</v>
      </c>
      <c r="P22" s="479">
        <f t="shared" si="16"/>
        <v>0</v>
      </c>
      <c r="Q22" s="477">
        <f t="shared" ref="Q22:Q30" ca="1" si="17">SUM(B22:P22)</f>
        <v>13934.675348112805</v>
      </c>
    </row>
    <row r="23" spans="1:17">
      <c r="A23" s="477" t="s">
        <v>194</v>
      </c>
      <c r="B23" s="478">
        <f t="shared" ca="1" si="2"/>
        <v>331.06533815024034</v>
      </c>
      <c r="C23" s="478"/>
      <c r="D23" s="478"/>
      <c r="E23" s="478"/>
      <c r="F23" s="478"/>
      <c r="G23" s="478"/>
      <c r="H23" s="478"/>
      <c r="I23" s="478"/>
      <c r="J23" s="478"/>
      <c r="K23" s="478"/>
      <c r="L23" s="478"/>
      <c r="M23" s="478"/>
      <c r="N23" s="478"/>
      <c r="O23" s="478"/>
      <c r="P23" s="479"/>
      <c r="Q23" s="477">
        <f t="shared" ca="1" si="17"/>
        <v>331.06533815024034</v>
      </c>
    </row>
    <row r="24" spans="1:17">
      <c r="A24" s="477" t="s">
        <v>112</v>
      </c>
      <c r="B24" s="478">
        <f t="shared" ca="1" si="2"/>
        <v>123.86143083189287</v>
      </c>
      <c r="C24" s="478">
        <f t="shared" ca="1" si="3"/>
        <v>0</v>
      </c>
      <c r="D24" s="478">
        <f t="shared" si="4"/>
        <v>1732.4392656815521</v>
      </c>
      <c r="E24" s="478">
        <f t="shared" si="5"/>
        <v>3.851629687122573</v>
      </c>
      <c r="F24" s="478">
        <f t="shared" si="6"/>
        <v>642.09434378609023</v>
      </c>
      <c r="G24" s="478">
        <f t="shared" si="7"/>
        <v>0</v>
      </c>
      <c r="H24" s="478">
        <f t="shared" si="8"/>
        <v>0</v>
      </c>
      <c r="I24" s="478">
        <f t="shared" si="9"/>
        <v>0</v>
      </c>
      <c r="J24" s="478">
        <f t="shared" si="10"/>
        <v>29.60610176542956</v>
      </c>
      <c r="K24" s="478">
        <f t="shared" si="11"/>
        <v>0</v>
      </c>
      <c r="L24" s="478">
        <f t="shared" si="12"/>
        <v>0</v>
      </c>
      <c r="M24" s="478">
        <f t="shared" si="13"/>
        <v>0</v>
      </c>
      <c r="N24" s="478">
        <f t="shared" si="14"/>
        <v>0</v>
      </c>
      <c r="O24" s="478">
        <f t="shared" si="15"/>
        <v>0</v>
      </c>
      <c r="P24" s="479">
        <f t="shared" si="16"/>
        <v>0</v>
      </c>
      <c r="Q24" s="477">
        <f t="shared" ca="1" si="17"/>
        <v>2531.8527717520874</v>
      </c>
    </row>
    <row r="25" spans="1:17">
      <c r="A25" s="477" t="s">
        <v>635</v>
      </c>
      <c r="B25" s="478">
        <f t="shared" ca="1" si="2"/>
        <v>292.48224391885526</v>
      </c>
      <c r="C25" s="478">
        <f t="shared" ca="1" si="3"/>
        <v>0</v>
      </c>
      <c r="D25" s="478">
        <f t="shared" si="4"/>
        <v>271.4334585438707</v>
      </c>
      <c r="E25" s="478">
        <f t="shared" si="5"/>
        <v>38.978248960022626</v>
      </c>
      <c r="F25" s="478">
        <f t="shared" si="6"/>
        <v>138.32469965269004</v>
      </c>
      <c r="G25" s="478">
        <f t="shared" si="7"/>
        <v>0</v>
      </c>
      <c r="H25" s="478">
        <f t="shared" si="8"/>
        <v>0</v>
      </c>
      <c r="I25" s="478">
        <f t="shared" si="9"/>
        <v>0</v>
      </c>
      <c r="J25" s="478">
        <f t="shared" si="10"/>
        <v>0.61094545950787882</v>
      </c>
      <c r="K25" s="478">
        <f t="shared" si="11"/>
        <v>0</v>
      </c>
      <c r="L25" s="478">
        <f t="shared" si="12"/>
        <v>0</v>
      </c>
      <c r="M25" s="478">
        <f t="shared" si="13"/>
        <v>0</v>
      </c>
      <c r="N25" s="478">
        <f t="shared" si="14"/>
        <v>0</v>
      </c>
      <c r="O25" s="478">
        <f t="shared" si="15"/>
        <v>0</v>
      </c>
      <c r="P25" s="479">
        <f t="shared" si="16"/>
        <v>0</v>
      </c>
      <c r="Q25" s="477">
        <f t="shared" ca="1" si="17"/>
        <v>741.8295965349464</v>
      </c>
    </row>
    <row r="26" spans="1:17" s="483" customFormat="1">
      <c r="A26" s="481" t="s">
        <v>561</v>
      </c>
      <c r="B26" s="835">
        <f t="shared" ca="1" si="2"/>
        <v>5.0546138320887186</v>
      </c>
      <c r="C26" s="482"/>
      <c r="D26" s="482">
        <f t="shared" si="4"/>
        <v>15.15439537586126</v>
      </c>
      <c r="E26" s="482">
        <f t="shared" si="5"/>
        <v>26.017720111336985</v>
      </c>
      <c r="F26" s="482"/>
      <c r="G26" s="482">
        <f t="shared" si="7"/>
        <v>19163.783347835808</v>
      </c>
      <c r="H26" s="482">
        <f t="shared" si="8"/>
        <v>2167.8493601153605</v>
      </c>
      <c r="I26" s="482"/>
      <c r="J26" s="482"/>
      <c r="K26" s="482"/>
      <c r="L26" s="482"/>
      <c r="M26" s="482">
        <f t="shared" si="13"/>
        <v>0</v>
      </c>
      <c r="N26" s="482"/>
      <c r="O26" s="482"/>
      <c r="P26" s="493"/>
      <c r="Q26" s="481">
        <f t="shared" ca="1" si="17"/>
        <v>21377.859437270454</v>
      </c>
    </row>
    <row r="27" spans="1:17">
      <c r="A27" s="477" t="s">
        <v>551</v>
      </c>
      <c r="B27" s="478">
        <f t="shared" ca="1" si="2"/>
        <v>170.48034458329735</v>
      </c>
      <c r="C27" s="478"/>
      <c r="D27" s="482">
        <f t="shared" si="4"/>
        <v>0</v>
      </c>
      <c r="E27" s="478"/>
      <c r="F27" s="478"/>
      <c r="G27" s="478">
        <f t="shared" si="7"/>
        <v>41.82863788680735</v>
      </c>
      <c r="H27" s="478"/>
      <c r="I27" s="478"/>
      <c r="J27" s="478"/>
      <c r="K27" s="478"/>
      <c r="L27" s="478"/>
      <c r="M27" s="478">
        <f t="shared" si="13"/>
        <v>0</v>
      </c>
      <c r="N27" s="478"/>
      <c r="O27" s="478"/>
      <c r="P27" s="479"/>
      <c r="Q27" s="477">
        <f t="shared" ca="1" si="17"/>
        <v>212.3089824701047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11977.095128739156</v>
      </c>
      <c r="C31" s="488">
        <f t="shared" ca="1" si="18"/>
        <v>0</v>
      </c>
      <c r="D31" s="488">
        <f t="shared" ca="1" si="18"/>
        <v>20077.003691051192</v>
      </c>
      <c r="E31" s="488">
        <f t="shared" si="18"/>
        <v>159.59311010532099</v>
      </c>
      <c r="F31" s="488">
        <f t="shared" ca="1" si="18"/>
        <v>2023.909609684099</v>
      </c>
      <c r="G31" s="488">
        <f t="shared" si="18"/>
        <v>19205.611985722615</v>
      </c>
      <c r="H31" s="488">
        <f t="shared" si="18"/>
        <v>2167.8493601153605</v>
      </c>
      <c r="I31" s="488">
        <f t="shared" si="18"/>
        <v>0</v>
      </c>
      <c r="J31" s="488">
        <f t="shared" si="18"/>
        <v>30.235402498848163</v>
      </c>
      <c r="K31" s="488">
        <f t="shared" si="18"/>
        <v>0</v>
      </c>
      <c r="L31" s="488">
        <f t="shared" ca="1" si="18"/>
        <v>0</v>
      </c>
      <c r="M31" s="488">
        <f t="shared" si="18"/>
        <v>0</v>
      </c>
      <c r="N31" s="488">
        <f t="shared" ca="1" si="18"/>
        <v>0</v>
      </c>
      <c r="O31" s="488">
        <f t="shared" si="18"/>
        <v>0</v>
      </c>
      <c r="P31" s="489">
        <f t="shared" si="18"/>
        <v>0</v>
      </c>
      <c r="Q31" s="489">
        <f t="shared" ca="1" si="18"/>
        <v>55641.298287916587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0.21456661117784212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0.21456661117784212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0.21456661117784212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5490</v>
      </c>
      <c r="C9" s="342">
        <v>5606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1352.33</v>
      </c>
    </row>
    <row r="15" spans="1:6">
      <c r="A15" s="348" t="s">
        <v>184</v>
      </c>
      <c r="B15" s="334">
        <v>15</v>
      </c>
    </row>
    <row r="16" spans="1:6">
      <c r="A16" s="348" t="s">
        <v>6</v>
      </c>
      <c r="B16" s="334">
        <v>819</v>
      </c>
    </row>
    <row r="17" spans="1:6">
      <c r="A17" s="348" t="s">
        <v>7</v>
      </c>
      <c r="B17" s="334">
        <v>67</v>
      </c>
    </row>
    <row r="18" spans="1:6">
      <c r="A18" s="348" t="s">
        <v>8</v>
      </c>
      <c r="B18" s="334">
        <v>421</v>
      </c>
    </row>
    <row r="19" spans="1:6">
      <c r="A19" s="348" t="s">
        <v>9</v>
      </c>
      <c r="B19" s="334">
        <v>395</v>
      </c>
    </row>
    <row r="20" spans="1:6">
      <c r="A20" s="348" t="s">
        <v>10</v>
      </c>
      <c r="B20" s="334">
        <v>238</v>
      </c>
    </row>
    <row r="21" spans="1:6">
      <c r="A21" s="348" t="s">
        <v>11</v>
      </c>
      <c r="B21" s="334">
        <v>2357</v>
      </c>
    </row>
    <row r="22" spans="1:6">
      <c r="A22" s="348" t="s">
        <v>12</v>
      </c>
      <c r="B22" s="334">
        <v>372</v>
      </c>
    </row>
    <row r="23" spans="1:6">
      <c r="A23" s="348" t="s">
        <v>13</v>
      </c>
      <c r="B23" s="334">
        <v>22</v>
      </c>
    </row>
    <row r="24" spans="1:6">
      <c r="A24" s="348" t="s">
        <v>14</v>
      </c>
      <c r="B24" s="334">
        <v>5</v>
      </c>
    </row>
    <row r="25" spans="1:6">
      <c r="A25" s="348" t="s">
        <v>15</v>
      </c>
      <c r="B25" s="334">
        <v>640</v>
      </c>
    </row>
    <row r="26" spans="1:6">
      <c r="A26" s="348" t="s">
        <v>16</v>
      </c>
      <c r="B26" s="334">
        <v>44</v>
      </c>
    </row>
    <row r="27" spans="1:6">
      <c r="A27" s="348" t="s">
        <v>17</v>
      </c>
      <c r="B27" s="334">
        <v>0</v>
      </c>
    </row>
    <row r="28" spans="1:6" s="356" customFormat="1">
      <c r="A28" s="355" t="s">
        <v>18</v>
      </c>
      <c r="B28" s="355">
        <v>32100</v>
      </c>
    </row>
    <row r="29" spans="1:6">
      <c r="A29" s="355" t="s">
        <v>744</v>
      </c>
      <c r="B29" s="355">
        <v>175</v>
      </c>
      <c r="C29" s="356"/>
      <c r="D29" s="356"/>
      <c r="E29" s="356"/>
      <c r="F29" s="356"/>
    </row>
    <row r="30" spans="1:6">
      <c r="A30" s="341" t="s">
        <v>745</v>
      </c>
      <c r="B30" s="341">
        <v>105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19269.541360144802</v>
      </c>
    </row>
    <row r="37" spans="1:6">
      <c r="A37" s="348" t="s">
        <v>25</v>
      </c>
      <c r="B37" s="348" t="s">
        <v>28</v>
      </c>
      <c r="C37" s="334">
        <v>0</v>
      </c>
      <c r="D37" s="334">
        <v>0</v>
      </c>
      <c r="E37" s="334">
        <v>0</v>
      </c>
      <c r="F37" s="334">
        <v>0</v>
      </c>
    </row>
    <row r="38" spans="1:6">
      <c r="A38" s="348" t="s">
        <v>25</v>
      </c>
      <c r="B38" s="348" t="s">
        <v>29</v>
      </c>
      <c r="C38" s="334">
        <v>2</v>
      </c>
      <c r="D38" s="334">
        <v>532854.69481606002</v>
      </c>
      <c r="E38" s="334">
        <v>0</v>
      </c>
      <c r="F38" s="334">
        <v>0</v>
      </c>
    </row>
    <row r="39" spans="1:6">
      <c r="A39" s="348" t="s">
        <v>30</v>
      </c>
      <c r="B39" s="348" t="s">
        <v>31</v>
      </c>
      <c r="C39" s="334">
        <v>5870</v>
      </c>
      <c r="D39" s="334">
        <v>62961610.1141093</v>
      </c>
      <c r="E39" s="334">
        <v>10452</v>
      </c>
      <c r="F39" s="334">
        <v>22131175.9829784</v>
      </c>
    </row>
    <row r="40" spans="1:6">
      <c r="A40" s="348" t="s">
        <v>30</v>
      </c>
      <c r="B40" s="348" t="s">
        <v>29</v>
      </c>
      <c r="C40" s="334">
        <v>2</v>
      </c>
      <c r="D40" s="334">
        <v>10591.977632865801</v>
      </c>
      <c r="E40" s="334">
        <v>2</v>
      </c>
      <c r="F40" s="334">
        <v>1554.9795423124001</v>
      </c>
    </row>
    <row r="41" spans="1:6">
      <c r="A41" s="348" t="s">
        <v>32</v>
      </c>
      <c r="B41" s="348" t="s">
        <v>33</v>
      </c>
      <c r="C41" s="334">
        <v>75</v>
      </c>
      <c r="D41" s="334">
        <v>673775.94979499001</v>
      </c>
      <c r="E41" s="334">
        <v>139</v>
      </c>
      <c r="F41" s="334">
        <v>490834.23082277598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29613.040423650698</v>
      </c>
      <c r="E44" s="334">
        <v>14</v>
      </c>
      <c r="F44" s="334">
        <v>111036.83144790601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383330.90653925401</v>
      </c>
      <c r="E48" s="334">
        <v>23</v>
      </c>
      <c r="F48" s="334">
        <v>482079.27330117399</v>
      </c>
    </row>
    <row r="49" spans="1:6">
      <c r="A49" s="348" t="s">
        <v>32</v>
      </c>
      <c r="B49" s="348" t="s">
        <v>40</v>
      </c>
      <c r="C49" s="334">
        <v>0</v>
      </c>
      <c r="D49" s="334">
        <v>0</v>
      </c>
      <c r="E49" s="334">
        <v>0</v>
      </c>
      <c r="F49" s="334">
        <v>0</v>
      </c>
    </row>
    <row r="50" spans="1:6">
      <c r="A50" s="348" t="s">
        <v>32</v>
      </c>
      <c r="B50" s="348" t="s">
        <v>41</v>
      </c>
      <c r="C50" s="334">
        <v>8</v>
      </c>
      <c r="D50" s="334">
        <v>403002.93338782497</v>
      </c>
      <c r="E50" s="334">
        <v>14</v>
      </c>
      <c r="F50" s="334">
        <v>279179.94044500898</v>
      </c>
    </row>
    <row r="51" spans="1:6">
      <c r="A51" s="348" t="s">
        <v>42</v>
      </c>
      <c r="B51" s="348" t="s">
        <v>43</v>
      </c>
      <c r="C51" s="334">
        <v>3</v>
      </c>
      <c r="D51" s="334">
        <v>11049.0647839128</v>
      </c>
      <c r="E51" s="334">
        <v>26</v>
      </c>
      <c r="F51" s="334">
        <v>514923.43782931898</v>
      </c>
    </row>
    <row r="52" spans="1:6">
      <c r="A52" s="348" t="s">
        <v>42</v>
      </c>
      <c r="B52" s="348" t="s">
        <v>29</v>
      </c>
      <c r="C52" s="334">
        <v>2</v>
      </c>
      <c r="D52" s="334">
        <v>34835.5063160633</v>
      </c>
      <c r="E52" s="334">
        <v>6</v>
      </c>
      <c r="F52" s="334">
        <v>62339.865869088899</v>
      </c>
    </row>
    <row r="53" spans="1:6">
      <c r="A53" s="348" t="s">
        <v>44</v>
      </c>
      <c r="B53" s="348" t="s">
        <v>45</v>
      </c>
      <c r="C53" s="334">
        <v>995</v>
      </c>
      <c r="D53" s="334">
        <v>9462354.9059781991</v>
      </c>
      <c r="E53" s="334">
        <v>2799</v>
      </c>
      <c r="F53" s="334">
        <v>6217794.1344534401</v>
      </c>
    </row>
    <row r="54" spans="1:6">
      <c r="A54" s="348" t="s">
        <v>46</v>
      </c>
      <c r="B54" s="348" t="s">
        <v>47</v>
      </c>
      <c r="C54" s="334">
        <v>0</v>
      </c>
      <c r="D54" s="334">
        <v>0</v>
      </c>
      <c r="E54" s="334">
        <v>1</v>
      </c>
      <c r="F54" s="334">
        <v>1542949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1403293.4150837399</v>
      </c>
      <c r="E57" s="334">
        <v>99</v>
      </c>
      <c r="F57" s="334">
        <v>1710167.2382538</v>
      </c>
    </row>
    <row r="58" spans="1:6">
      <c r="A58" s="348" t="s">
        <v>49</v>
      </c>
      <c r="B58" s="348" t="s">
        <v>51</v>
      </c>
      <c r="C58" s="334">
        <v>24</v>
      </c>
      <c r="D58" s="334">
        <v>1964536.9597173501</v>
      </c>
      <c r="E58" s="334">
        <v>42</v>
      </c>
      <c r="F58" s="334">
        <v>640861.43481064495</v>
      </c>
    </row>
    <row r="59" spans="1:6">
      <c r="A59" s="348" t="s">
        <v>49</v>
      </c>
      <c r="B59" s="348" t="s">
        <v>52</v>
      </c>
      <c r="C59" s="334">
        <v>181</v>
      </c>
      <c r="D59" s="334">
        <v>3616610.5706700599</v>
      </c>
      <c r="E59" s="334">
        <v>364</v>
      </c>
      <c r="F59" s="334">
        <v>6282893.6272333497</v>
      </c>
    </row>
    <row r="60" spans="1:6">
      <c r="A60" s="348" t="s">
        <v>49</v>
      </c>
      <c r="B60" s="348" t="s">
        <v>53</v>
      </c>
      <c r="C60" s="334">
        <v>182</v>
      </c>
      <c r="D60" s="334">
        <v>10364756.233173801</v>
      </c>
      <c r="E60" s="334">
        <v>237</v>
      </c>
      <c r="F60" s="334">
        <v>6449438.8498528898</v>
      </c>
    </row>
    <row r="61" spans="1:6">
      <c r="A61" s="348" t="s">
        <v>49</v>
      </c>
      <c r="B61" s="348" t="s">
        <v>54</v>
      </c>
      <c r="C61" s="334">
        <v>226</v>
      </c>
      <c r="D61" s="334">
        <v>8382193.0791168902</v>
      </c>
      <c r="E61" s="334">
        <v>925</v>
      </c>
      <c r="F61" s="334">
        <v>6748978.9506907202</v>
      </c>
    </row>
    <row r="62" spans="1:6">
      <c r="A62" s="348" t="s">
        <v>49</v>
      </c>
      <c r="B62" s="348" t="s">
        <v>55</v>
      </c>
      <c r="C62" s="334">
        <v>7</v>
      </c>
      <c r="D62" s="334">
        <v>927850.825668348</v>
      </c>
      <c r="E62" s="334">
        <v>7</v>
      </c>
      <c r="F62" s="334">
        <v>123696.657313273</v>
      </c>
    </row>
    <row r="63" spans="1:6">
      <c r="A63" s="348" t="s">
        <v>49</v>
      </c>
      <c r="B63" s="348" t="s">
        <v>29</v>
      </c>
      <c r="C63" s="334">
        <v>80</v>
      </c>
      <c r="D63" s="334">
        <v>9477119.5975983106</v>
      </c>
      <c r="E63" s="334">
        <v>80</v>
      </c>
      <c r="F63" s="334">
        <v>6082955.0528037697</v>
      </c>
    </row>
    <row r="64" spans="1:6">
      <c r="A64" s="348" t="s">
        <v>56</v>
      </c>
      <c r="B64" s="348" t="s">
        <v>57</v>
      </c>
      <c r="C64" s="334">
        <v>0</v>
      </c>
      <c r="D64" s="334">
        <v>0</v>
      </c>
      <c r="E64" s="334">
        <v>0</v>
      </c>
      <c r="F64" s="334">
        <v>0</v>
      </c>
    </row>
    <row r="65" spans="1:6">
      <c r="A65" s="348" t="s">
        <v>56</v>
      </c>
      <c r="B65" s="348" t="s">
        <v>29</v>
      </c>
      <c r="C65" s="334">
        <v>4</v>
      </c>
      <c r="D65" s="334">
        <v>224867.77929313699</v>
      </c>
      <c r="E65" s="334">
        <v>1</v>
      </c>
      <c r="F65" s="334">
        <v>3013.9689182998</v>
      </c>
    </row>
    <row r="66" spans="1:6">
      <c r="A66" s="348" t="s">
        <v>56</v>
      </c>
      <c r="B66" s="348" t="s">
        <v>58</v>
      </c>
      <c r="C66" s="334">
        <v>0</v>
      </c>
      <c r="D66" s="334">
        <v>0</v>
      </c>
      <c r="E66" s="334">
        <v>23</v>
      </c>
      <c r="F66" s="334">
        <v>135269.93601174399</v>
      </c>
    </row>
    <row r="67" spans="1:6">
      <c r="A67" s="355" t="s">
        <v>56</v>
      </c>
      <c r="B67" s="355" t="s">
        <v>59</v>
      </c>
      <c r="C67" s="334">
        <v>0</v>
      </c>
      <c r="D67" s="334">
        <v>0</v>
      </c>
      <c r="E67" s="334">
        <v>0</v>
      </c>
      <c r="F67" s="334">
        <v>0</v>
      </c>
    </row>
    <row r="68" spans="1:6">
      <c r="A68" s="341" t="s">
        <v>56</v>
      </c>
      <c r="B68" s="341" t="s">
        <v>60</v>
      </c>
      <c r="C68" s="334">
        <v>0</v>
      </c>
      <c r="D68" s="334">
        <v>0</v>
      </c>
      <c r="E68" s="334">
        <v>17</v>
      </c>
      <c r="F68" s="334">
        <v>1369036.9121192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26147444</v>
      </c>
      <c r="E73" s="476">
        <v>28604903.813366547</v>
      </c>
    </row>
    <row r="74" spans="1:6">
      <c r="A74" s="348" t="s">
        <v>64</v>
      </c>
      <c r="B74" s="348" t="s">
        <v>657</v>
      </c>
      <c r="C74" s="1272" t="s">
        <v>659</v>
      </c>
      <c r="D74" s="476">
        <v>2474527.7821669308</v>
      </c>
      <c r="E74" s="476">
        <v>2650486.6197012323</v>
      </c>
    </row>
    <row r="75" spans="1:6">
      <c r="A75" s="348" t="s">
        <v>65</v>
      </c>
      <c r="B75" s="348" t="s">
        <v>656</v>
      </c>
      <c r="C75" s="1272" t="s">
        <v>660</v>
      </c>
      <c r="D75" s="476">
        <v>2929911</v>
      </c>
      <c r="E75" s="476">
        <v>3201941.2313086716</v>
      </c>
    </row>
    <row r="76" spans="1:6">
      <c r="A76" s="348" t="s">
        <v>65</v>
      </c>
      <c r="B76" s="348" t="s">
        <v>657</v>
      </c>
      <c r="C76" s="1272" t="s">
        <v>661</v>
      </c>
      <c r="D76" s="476">
        <v>222099.78216693085</v>
      </c>
      <c r="E76" s="476">
        <v>238849.8283373205</v>
      </c>
    </row>
    <row r="77" spans="1:6">
      <c r="A77" s="348" t="s">
        <v>66</v>
      </c>
      <c r="B77" s="348" t="s">
        <v>656</v>
      </c>
      <c r="C77" s="1272" t="s">
        <v>662</v>
      </c>
      <c r="D77" s="476">
        <v>30803477</v>
      </c>
      <c r="E77" s="476">
        <v>31086774.362650316</v>
      </c>
    </row>
    <row r="78" spans="1:6">
      <c r="A78" s="341" t="s">
        <v>66</v>
      </c>
      <c r="B78" s="341" t="s">
        <v>657</v>
      </c>
      <c r="C78" s="341" t="s">
        <v>663</v>
      </c>
      <c r="D78" s="1273">
        <v>14853032</v>
      </c>
      <c r="E78" s="1273">
        <v>15338532.77496391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44902.435666138299</v>
      </c>
      <c r="C83" s="476">
        <v>44864.855398833752</v>
      </c>
    </row>
    <row r="84" spans="1:6">
      <c r="A84" s="341" t="s">
        <v>337</v>
      </c>
      <c r="B84" s="1273">
        <v>225399.55334158335</v>
      </c>
      <c r="C84" s="1273">
        <v>224685.1376802483</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1346.7828166595796</v>
      </c>
    </row>
    <row r="92" spans="1:6">
      <c r="A92" s="341" t="s">
        <v>69</v>
      </c>
      <c r="B92" s="342">
        <v>278.1555139155704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3072</v>
      </c>
    </row>
    <row r="98" spans="1:6">
      <c r="A98" s="348" t="s">
        <v>72</v>
      </c>
      <c r="B98" s="334">
        <v>3</v>
      </c>
    </row>
    <row r="99" spans="1:6">
      <c r="A99" s="348" t="s">
        <v>73</v>
      </c>
      <c r="B99" s="334">
        <v>28</v>
      </c>
    </row>
    <row r="100" spans="1:6">
      <c r="A100" s="348" t="s">
        <v>74</v>
      </c>
      <c r="B100" s="334">
        <v>564</v>
      </c>
    </row>
    <row r="101" spans="1:6">
      <c r="A101" s="348" t="s">
        <v>75</v>
      </c>
      <c r="B101" s="334">
        <v>30</v>
      </c>
    </row>
    <row r="102" spans="1:6">
      <c r="A102" s="348" t="s">
        <v>76</v>
      </c>
      <c r="B102" s="334">
        <v>111</v>
      </c>
    </row>
    <row r="103" spans="1:6">
      <c r="A103" s="348" t="s">
        <v>77</v>
      </c>
      <c r="B103" s="334">
        <v>65</v>
      </c>
    </row>
    <row r="104" spans="1:6">
      <c r="A104" s="348" t="s">
        <v>78</v>
      </c>
      <c r="B104" s="334">
        <v>657</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25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5</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55819.938913105281</v>
      </c>
      <c r="C3" s="43" t="s">
        <v>170</v>
      </c>
      <c r="D3" s="43"/>
      <c r="E3" s="154"/>
      <c r="F3" s="43"/>
      <c r="G3" s="43"/>
      <c r="H3" s="43"/>
      <c r="I3" s="43"/>
      <c r="J3" s="43"/>
      <c r="K3" s="96"/>
    </row>
    <row r="4" spans="1:11">
      <c r="A4" s="383" t="s">
        <v>171</v>
      </c>
      <c r="B4" s="49">
        <f>IF(ISERROR('SEAP template'!B69),0,'SEAP template'!B69)</f>
        <v>1624.9383305751498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0.21456661117784212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1542.9490000000001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1542.9490000000001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0.21456661117784212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331.06533815024034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22132.730962520713</v>
      </c>
      <c r="C5" s="17">
        <f>IF(ISERROR('Eigen informatie GS &amp; warmtenet'!B57),0,'Eigen informatie GS &amp; warmtenet'!B57)</f>
        <v>0</v>
      </c>
      <c r="D5" s="30">
        <f>(SUM(HH_hh_gas_kWh,HH_rest_gas_kWh)/1000)*0.902</f>
        <v>56800.926286751441</v>
      </c>
      <c r="E5" s="17">
        <f>B46*B57</f>
        <v>0</v>
      </c>
      <c r="F5" s="17">
        <f>B51*B62</f>
        <v>0</v>
      </c>
      <c r="G5" s="18"/>
      <c r="H5" s="17"/>
      <c r="I5" s="17"/>
      <c r="J5" s="17">
        <f>B50*B61+C50*C61</f>
        <v>0</v>
      </c>
      <c r="K5" s="17"/>
      <c r="L5" s="17"/>
      <c r="M5" s="17"/>
      <c r="N5" s="17">
        <f>B48*B59+C48*C59</f>
        <v>0</v>
      </c>
      <c r="O5" s="17">
        <f>B69*B70*B71</f>
        <v>161.02333333333334</v>
      </c>
      <c r="P5" s="17">
        <f>B77*B78*B79/1000-B77*B78*B79/1000/B80</f>
        <v>152.53333333333333</v>
      </c>
    </row>
    <row r="6" spans="1:16">
      <c r="A6" s="16" t="s">
        <v>621</v>
      </c>
      <c r="B6" s="843">
        <f>kWh_PV_kleiner_dan_10kW</f>
        <v>1346.7828166595796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23479.513779180292</v>
      </c>
      <c r="C8" s="21">
        <f>C5</f>
        <v>0</v>
      </c>
      <c r="D8" s="21">
        <f>D5</f>
        <v>56800.926286751441</v>
      </c>
      <c r="E8" s="21">
        <f>E5</f>
        <v>0</v>
      </c>
      <c r="F8" s="21">
        <f>F5</f>
        <v>0</v>
      </c>
      <c r="G8" s="21"/>
      <c r="H8" s="21"/>
      <c r="I8" s="21"/>
      <c r="J8" s="21">
        <f>J5</f>
        <v>0</v>
      </c>
      <c r="K8" s="21"/>
      <c r="L8" s="21">
        <f>L5</f>
        <v>0</v>
      </c>
      <c r="M8" s="21">
        <f>M5</f>
        <v>0</v>
      </c>
      <c r="N8" s="21">
        <f>N5</f>
        <v>0</v>
      </c>
      <c r="O8" s="21">
        <f>O5</f>
        <v>161.02333333333334</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0.21456661117784212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5037.919703702164</v>
      </c>
      <c r="C12" s="23">
        <f ca="1">C10*C8</f>
        <v>0</v>
      </c>
      <c r="D12" s="23">
        <f>D8*D10</f>
        <v>11473.787109923791</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3072</v>
      </c>
      <c r="C18" s="166" t="s">
        <v>111</v>
      </c>
      <c r="D18" s="228"/>
      <c r="E18" s="15"/>
    </row>
    <row r="19" spans="1:7">
      <c r="A19" s="171" t="s">
        <v>72</v>
      </c>
      <c r="B19" s="37">
        <f>aantalw2001_ander</f>
        <v>3</v>
      </c>
      <c r="C19" s="166" t="s">
        <v>111</v>
      </c>
      <c r="D19" s="229"/>
      <c r="E19" s="15"/>
    </row>
    <row r="20" spans="1:7">
      <c r="A20" s="171" t="s">
        <v>73</v>
      </c>
      <c r="B20" s="37">
        <f>aantalw2001_propaan</f>
        <v>28</v>
      </c>
      <c r="C20" s="167">
        <f>IF(ISERROR(B20/SUM($B$20,$B$21,$B$22)*100),0,B20/SUM($B$20,$B$21,$B$22)*100)</f>
        <v>4.501607717041801</v>
      </c>
      <c r="D20" s="229"/>
      <c r="E20" s="15"/>
    </row>
    <row r="21" spans="1:7">
      <c r="A21" s="171" t="s">
        <v>74</v>
      </c>
      <c r="B21" s="37">
        <f>aantalw2001_elektriciteit</f>
        <v>564</v>
      </c>
      <c r="C21" s="167">
        <f>IF(ISERROR(B21/SUM($B$20,$B$21,$B$22)*100),0,B21/SUM($B$20,$B$21,$B$22)*100)</f>
        <v>90.675241157556272</v>
      </c>
      <c r="D21" s="229"/>
      <c r="E21" s="15"/>
    </row>
    <row r="22" spans="1:7">
      <c r="A22" s="171" t="s">
        <v>75</v>
      </c>
      <c r="B22" s="37">
        <f>aantalw2001_hout</f>
        <v>30</v>
      </c>
      <c r="C22" s="167">
        <f>IF(ISERROR(B22/SUM($B$20,$B$21,$B$22)*100),0,B22/SUM($B$20,$B$21,$B$22)*100)</f>
        <v>4.823151125401929</v>
      </c>
      <c r="D22" s="229"/>
      <c r="E22" s="15"/>
    </row>
    <row r="23" spans="1:7">
      <c r="A23" s="171" t="s">
        <v>76</v>
      </c>
      <c r="B23" s="37">
        <f>aantalw2001_niet_gespec</f>
        <v>111</v>
      </c>
      <c r="C23" s="166" t="s">
        <v>111</v>
      </c>
      <c r="D23" s="228"/>
      <c r="E23" s="15"/>
    </row>
    <row r="24" spans="1:7">
      <c r="A24" s="171" t="s">
        <v>77</v>
      </c>
      <c r="B24" s="37">
        <f>aantalw2001_steenkool</f>
        <v>65</v>
      </c>
      <c r="C24" s="166" t="s">
        <v>111</v>
      </c>
      <c r="D24" s="229"/>
      <c r="E24" s="15"/>
    </row>
    <row r="25" spans="1:7">
      <c r="A25" s="171" t="s">
        <v>78</v>
      </c>
      <c r="B25" s="37">
        <f>aantalw2001_stookolie</f>
        <v>657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5490</v>
      </c>
      <c r="C28" s="36"/>
      <c r="D28" s="228"/>
    </row>
    <row r="29" spans="1:7" s="15" customFormat="1">
      <c r="A29" s="230" t="s">
        <v>795</v>
      </c>
      <c r="B29" s="37">
        <f>SUM(HH_hh_gas_aantal,HH_rest_gas_aantal)</f>
        <v>5872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5872</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5872</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28038.991810958451</v>
      </c>
      <c r="C5" s="17">
        <f>IF(ISERROR('Eigen informatie GS &amp; warmtenet'!B58),0,'Eigen informatie GS &amp; warmtenet'!B58)</f>
        <v>0</v>
      </c>
      <c r="D5" s="30">
        <f>SUM(D6:D12)</f>
        <v>32594.997334287706</v>
      </c>
      <c r="E5" s="17">
        <f>SUM(E6:E12)</f>
        <v>399.75996188034713</v>
      </c>
      <c r="F5" s="17">
        <f>SUM(F6:F12)</f>
        <v>4657.2680383719808</v>
      </c>
      <c r="G5" s="18"/>
      <c r="H5" s="17"/>
      <c r="I5" s="17"/>
      <c r="J5" s="17">
        <f>SUM(J6:J12)</f>
        <v>5.1851056244987342E-2</v>
      </c>
      <c r="K5" s="17"/>
      <c r="L5" s="17"/>
      <c r="M5" s="17"/>
      <c r="N5" s="17">
        <f>SUM(N6:N12)</f>
        <v>2068.5214120043756</v>
      </c>
      <c r="O5" s="17">
        <f>B38*B39*B40</f>
        <v>7.8166666666666664</v>
      </c>
      <c r="P5" s="17">
        <f>B46*B47*B48/1000-B46*B47*B48/1000/B49</f>
        <v>0</v>
      </c>
      <c r="R5" s="32"/>
    </row>
    <row r="6" spans="1:18">
      <c r="A6" s="32" t="s">
        <v>54</v>
      </c>
      <c r="B6" s="37">
        <f>B26</f>
        <v>6748.97895069072</v>
      </c>
      <c r="C6" s="33"/>
      <c r="D6" s="37">
        <f>IF(ISERROR(TER_kantoor_gas_kWh/1000),0,TER_kantoor_gas_kWh/1000)*0.902</f>
        <v>7560.7381573634357</v>
      </c>
      <c r="E6" s="33">
        <f>$C$26*'E Balans VL '!I12/100/3.6*1000000</f>
        <v>4.2300355387696442E-2</v>
      </c>
      <c r="F6" s="33">
        <f>$C$26*('E Balans VL '!L12+'E Balans VL '!N12)/100/3.6*1000000</f>
        <v>1014.1829518309237</v>
      </c>
      <c r="G6" s="34"/>
      <c r="H6" s="33"/>
      <c r="I6" s="33"/>
      <c r="J6" s="33">
        <f>$C$26*('E Balans VL '!D12+'E Balans VL '!E12)/100/3.6*1000000</f>
        <v>0</v>
      </c>
      <c r="K6" s="33"/>
      <c r="L6" s="33"/>
      <c r="M6" s="33"/>
      <c r="N6" s="33">
        <f>$C$26*'E Balans VL '!Y12/100/3.6*1000000</f>
        <v>6.454397720391178</v>
      </c>
      <c r="O6" s="33"/>
      <c r="P6" s="33"/>
      <c r="R6" s="32"/>
    </row>
    <row r="7" spans="1:18">
      <c r="A7" s="32" t="s">
        <v>53</v>
      </c>
      <c r="B7" s="37">
        <f t="shared" ref="B7:B12" si="0">B27</f>
        <v>6449.4388498528897</v>
      </c>
      <c r="C7" s="33"/>
      <c r="D7" s="37">
        <f>IF(ISERROR(TER_horeca_gas_kWh/1000),0,TER_horeca_gas_kWh/1000)*0.902</f>
        <v>9349.0101223227684</v>
      </c>
      <c r="E7" s="33">
        <f>$C$27*'E Balans VL '!I9/100/3.6*1000000</f>
        <v>92.354890058457357</v>
      </c>
      <c r="F7" s="33">
        <f>$C$27*('E Balans VL '!L9+'E Balans VL '!N9)/100/3.6*1000000</f>
        <v>816.71166907950692</v>
      </c>
      <c r="G7" s="34"/>
      <c r="H7" s="33"/>
      <c r="I7" s="33"/>
      <c r="J7" s="33">
        <f>$C$27*('E Balans VL '!D9+'E Balans VL '!E9)/100/3.6*1000000</f>
        <v>0</v>
      </c>
      <c r="K7" s="33"/>
      <c r="L7" s="33"/>
      <c r="M7" s="33"/>
      <c r="N7" s="33">
        <f>$C$27*'E Balans VL '!Y9/100/3.6*1000000</f>
        <v>1.8540714714122881</v>
      </c>
      <c r="O7" s="33"/>
      <c r="P7" s="33"/>
      <c r="R7" s="32"/>
    </row>
    <row r="8" spans="1:18">
      <c r="A8" s="6" t="s">
        <v>52</v>
      </c>
      <c r="B8" s="37">
        <f t="shared" si="0"/>
        <v>6282.8936272333494</v>
      </c>
      <c r="C8" s="33"/>
      <c r="D8" s="37">
        <f>IF(ISERROR(TER_handel_gas_kWh/1000),0,TER_handel_gas_kWh/1000)*0.902</f>
        <v>3262.1827347443941</v>
      </c>
      <c r="E8" s="33">
        <f>$C$28*'E Balans VL '!I13/100/3.6*1000000</f>
        <v>227.87977708802242</v>
      </c>
      <c r="F8" s="33">
        <f>$C$28*('E Balans VL '!L13+'E Balans VL '!N13)/100/3.6*1000000</f>
        <v>1210.1489309478466</v>
      </c>
      <c r="G8" s="34"/>
      <c r="H8" s="33"/>
      <c r="I8" s="33"/>
      <c r="J8" s="33">
        <f>$C$28*('E Balans VL '!D13+'E Balans VL '!E13)/100/3.6*1000000</f>
        <v>0</v>
      </c>
      <c r="K8" s="33"/>
      <c r="L8" s="33"/>
      <c r="M8" s="33"/>
      <c r="N8" s="33">
        <f>$C$28*'E Balans VL '!Y13/100/3.6*1000000</f>
        <v>8.7032533030686778</v>
      </c>
      <c r="O8" s="33"/>
      <c r="P8" s="33"/>
      <c r="R8" s="32"/>
    </row>
    <row r="9" spans="1:18">
      <c r="A9" s="32" t="s">
        <v>51</v>
      </c>
      <c r="B9" s="37">
        <f t="shared" si="0"/>
        <v>640.86143481064494</v>
      </c>
      <c r="C9" s="33"/>
      <c r="D9" s="37">
        <f>IF(ISERROR(TER_gezond_gas_kWh/1000),0,TER_gezond_gas_kWh/1000)*0.902</f>
        <v>1772.0123376650499</v>
      </c>
      <c r="E9" s="33">
        <f>$C$29*'E Balans VL '!I10/100/3.6*1000000</f>
        <v>4.0124253182710796E-2</v>
      </c>
      <c r="F9" s="33">
        <f>$C$29*('E Balans VL '!L10+'E Balans VL '!N10)/100/3.6*1000000</f>
        <v>95.201917378364286</v>
      </c>
      <c r="G9" s="34"/>
      <c r="H9" s="33"/>
      <c r="I9" s="33"/>
      <c r="J9" s="33">
        <f>$C$29*('E Balans VL '!D10+'E Balans VL '!E10)/100/3.6*1000000</f>
        <v>0</v>
      </c>
      <c r="K9" s="33"/>
      <c r="L9" s="33"/>
      <c r="M9" s="33"/>
      <c r="N9" s="33">
        <f>$C$29*'E Balans VL '!Y10/100/3.6*1000000</f>
        <v>9.9129065114936061</v>
      </c>
      <c r="O9" s="33"/>
      <c r="P9" s="33"/>
      <c r="R9" s="32"/>
    </row>
    <row r="10" spans="1:18">
      <c r="A10" s="32" t="s">
        <v>50</v>
      </c>
      <c r="B10" s="37">
        <f t="shared" si="0"/>
        <v>1710.1672382538</v>
      </c>
      <c r="C10" s="33"/>
      <c r="D10" s="37">
        <f>IF(ISERROR(TER_ander_gas_kWh/1000),0,TER_ander_gas_kWh/1000)*0.902</f>
        <v>1265.7706604055336</v>
      </c>
      <c r="E10" s="33">
        <f>$C$30*'E Balans VL '!I14/100/3.6*1000000</f>
        <v>2.0384582369473869</v>
      </c>
      <c r="F10" s="33">
        <f>$C$30*('E Balans VL '!L14+'E Balans VL '!N14)/100/3.6*1000000</f>
        <v>447.45577759112376</v>
      </c>
      <c r="G10" s="34"/>
      <c r="H10" s="33"/>
      <c r="I10" s="33"/>
      <c r="J10" s="33">
        <f>$C$30*('E Balans VL '!D14+'E Balans VL '!E14)/100/3.6*1000000</f>
        <v>3.7121027072017518E-2</v>
      </c>
      <c r="K10" s="33"/>
      <c r="L10" s="33"/>
      <c r="M10" s="33"/>
      <c r="N10" s="33">
        <f>$C$30*'E Balans VL '!Y14/100/3.6*1000000</f>
        <v>1452.2321715218482</v>
      </c>
      <c r="O10" s="33"/>
      <c r="P10" s="33"/>
      <c r="R10" s="32"/>
    </row>
    <row r="11" spans="1:18">
      <c r="A11" s="32" t="s">
        <v>55</v>
      </c>
      <c r="B11" s="37">
        <f t="shared" si="0"/>
        <v>123.69665731327299</v>
      </c>
      <c r="C11" s="33"/>
      <c r="D11" s="37">
        <f>IF(ISERROR(TER_onderwijs_gas_kWh/1000),0,TER_onderwijs_gas_kWh/1000)*0.902</f>
        <v>836.92144475284988</v>
      </c>
      <c r="E11" s="33">
        <f>$C$31*'E Balans VL '!I11/100/3.6*1000000</f>
        <v>1.8663833264457375</v>
      </c>
      <c r="F11" s="33">
        <f>$C$31*('E Balans VL '!L11+'E Balans VL '!N11)/100/3.6*1000000</f>
        <v>21.673630474174711</v>
      </c>
      <c r="G11" s="34"/>
      <c r="H11" s="33"/>
      <c r="I11" s="33"/>
      <c r="J11" s="33">
        <f>$C$31*('E Balans VL '!D11+'E Balans VL '!E11)/100/3.6*1000000</f>
        <v>0</v>
      </c>
      <c r="K11" s="33"/>
      <c r="L11" s="33"/>
      <c r="M11" s="33"/>
      <c r="N11" s="33">
        <f>$C$31*'E Balans VL '!Y11/100/3.6*1000000</f>
        <v>0.34809179745755264</v>
      </c>
      <c r="O11" s="33"/>
      <c r="P11" s="33"/>
      <c r="R11" s="32"/>
    </row>
    <row r="12" spans="1:18">
      <c r="A12" s="32" t="s">
        <v>260</v>
      </c>
      <c r="B12" s="37">
        <f t="shared" si="0"/>
        <v>6082.9550528037698</v>
      </c>
      <c r="C12" s="33"/>
      <c r="D12" s="37">
        <f>IF(ISERROR(TER_rest_gas_kWh/1000),0,TER_rest_gas_kWh/1000)*0.902</f>
        <v>8548.3618770336761</v>
      </c>
      <c r="E12" s="33">
        <f>$C$32*'E Balans VL '!I8/100/3.6*1000000</f>
        <v>75.538028561903857</v>
      </c>
      <c r="F12" s="33">
        <f>$C$32*('E Balans VL '!L8+'E Balans VL '!N8)/100/3.6*1000000</f>
        <v>1051.8931610700406</v>
      </c>
      <c r="G12" s="34"/>
      <c r="H12" s="33"/>
      <c r="I12" s="33"/>
      <c r="J12" s="33">
        <f>$C$32*('E Balans VL '!D8+'E Balans VL '!E8)/100/3.6*1000000</f>
        <v>1.4730029172969823E-2</v>
      </c>
      <c r="K12" s="33"/>
      <c r="L12" s="33"/>
      <c r="M12" s="33"/>
      <c r="N12" s="33">
        <f>$C$32*'E Balans VL '!Y8/100/3.6*1000000</f>
        <v>589.01651967870453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28038.991810958451</v>
      </c>
      <c r="C16" s="21">
        <f t="shared" ca="1" si="1"/>
        <v>0</v>
      </c>
      <c r="D16" s="21">
        <f t="shared" ca="1" si="1"/>
        <v>32594.997334287706</v>
      </c>
      <c r="E16" s="21">
        <f t="shared" si="1"/>
        <v>399.75996188034713</v>
      </c>
      <c r="F16" s="21">
        <f t="shared" ca="1" si="1"/>
        <v>4657.2680383719808</v>
      </c>
      <c r="G16" s="21">
        <f t="shared" si="1"/>
        <v>0</v>
      </c>
      <c r="H16" s="21">
        <f t="shared" si="1"/>
        <v>0</v>
      </c>
      <c r="I16" s="21">
        <f t="shared" si="1"/>
        <v>0</v>
      </c>
      <c r="J16" s="21">
        <f t="shared" si="1"/>
        <v>5.1851056244987342E-2</v>
      </c>
      <c r="K16" s="21">
        <f t="shared" si="1"/>
        <v>0</v>
      </c>
      <c r="L16" s="21">
        <f t="shared" ca="1" si="1"/>
        <v>0</v>
      </c>
      <c r="M16" s="21">
        <f t="shared" si="1"/>
        <v>0</v>
      </c>
      <c r="N16" s="21">
        <f t="shared" ca="1" si="1"/>
        <v>2068.5214120043756</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0.21456661117784212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6016.2314537206212</v>
      </c>
      <c r="C20" s="23">
        <f t="shared" ref="C20:P20" ca="1" si="2">C16*C18</f>
        <v>0</v>
      </c>
      <c r="D20" s="23">
        <f t="shared" ca="1" si="2"/>
        <v>6584.1894615261172</v>
      </c>
      <c r="E20" s="23">
        <f t="shared" si="2"/>
        <v>90.745511346838796</v>
      </c>
      <c r="F20" s="23">
        <f t="shared" ca="1" si="2"/>
        <v>1243.4905662453189</v>
      </c>
      <c r="G20" s="23">
        <f t="shared" si="2"/>
        <v>0</v>
      </c>
      <c r="H20" s="23">
        <f t="shared" si="2"/>
        <v>0</v>
      </c>
      <c r="I20" s="23">
        <f t="shared" si="2"/>
        <v>0</v>
      </c>
      <c r="J20" s="23">
        <f t="shared" si="2"/>
        <v>1.8355273910725518E-2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6748.97895069072</v>
      </c>
      <c r="C26" s="39">
        <f>IF(ISERROR(B26*3.6/1000000/'E Balans VL '!Z12*100),0,B26*3.6/1000000/'E Balans VL '!Z12*100)</f>
        <v>0.14266272377135777</v>
      </c>
      <c r="D26" s="237" t="s">
        <v>754</v>
      </c>
      <c r="F26" s="6"/>
    </row>
    <row r="27" spans="1:18">
      <c r="A27" s="231" t="s">
        <v>53</v>
      </c>
      <c r="B27" s="33">
        <f>IF(ISERROR(TER_horeca_ele_kWh/1000),0,TER_horeca_ele_kWh/1000)</f>
        <v>6449.4388498528897</v>
      </c>
      <c r="C27" s="39">
        <f>IF(ISERROR(B27*3.6/1000000/'E Balans VL '!Z9*100),0,B27*3.6/1000000/'E Balans VL '!Z9*100)</f>
        <v>0.50840686070532404</v>
      </c>
      <c r="D27" s="237" t="s">
        <v>754</v>
      </c>
      <c r="F27" s="6"/>
    </row>
    <row r="28" spans="1:18">
      <c r="A28" s="171" t="s">
        <v>52</v>
      </c>
      <c r="B28" s="33">
        <f>IF(ISERROR(TER_handel_ele_kWh/1000),0,TER_handel_ele_kWh/1000)</f>
        <v>6282.8936272333494</v>
      </c>
      <c r="C28" s="39">
        <f>IF(ISERROR(B28*3.6/1000000/'E Balans VL '!Z13*100),0,B28*3.6/1000000/'E Balans VL '!Z13*100)</f>
        <v>0.18235495879719238</v>
      </c>
      <c r="D28" s="237" t="s">
        <v>754</v>
      </c>
      <c r="F28" s="6"/>
    </row>
    <row r="29" spans="1:18">
      <c r="A29" s="231" t="s">
        <v>51</v>
      </c>
      <c r="B29" s="33">
        <f>IF(ISERROR(TER_gezond_ele_kWh/1000),0,TER_gezond_ele_kWh/1000)</f>
        <v>640.86143481064494</v>
      </c>
      <c r="C29" s="39">
        <f>IF(ISERROR(B29*3.6/1000000/'E Balans VL '!Z10*100),0,B29*3.6/1000000/'E Balans VL '!Z10*100)</f>
        <v>6.7493232308092899E-2</v>
      </c>
      <c r="D29" s="237" t="s">
        <v>754</v>
      </c>
      <c r="F29" s="6"/>
    </row>
    <row r="30" spans="1:18">
      <c r="A30" s="231" t="s">
        <v>50</v>
      </c>
      <c r="B30" s="33">
        <f>IF(ISERROR(TER_ander_ele_kWh/1000),0,TER_ander_ele_kWh/1000)</f>
        <v>1710.1672382538</v>
      </c>
      <c r="C30" s="39">
        <f>IF(ISERROR(B30*3.6/1000000/'E Balans VL '!Z14*100),0,B30*3.6/1000000/'E Balans VL '!Z14*100)</f>
        <v>0.12614230694007672</v>
      </c>
      <c r="D30" s="237" t="s">
        <v>754</v>
      </c>
      <c r="F30" s="6"/>
    </row>
    <row r="31" spans="1:18">
      <c r="A31" s="231" t="s">
        <v>55</v>
      </c>
      <c r="B31" s="33">
        <f>IF(ISERROR(TER_onderwijs_ele_kWh/1000),0,TER_onderwijs_ele_kWh/1000)</f>
        <v>123.69665731327299</v>
      </c>
      <c r="C31" s="39">
        <f>IF(ISERROR(B31*3.6/1000000/'E Balans VL '!Z11*100),0,B31*3.6/1000000/'E Balans VL '!Z11*100)</f>
        <v>3.0719674303552068E-2</v>
      </c>
      <c r="D31" s="237" t="s">
        <v>754</v>
      </c>
    </row>
    <row r="32" spans="1:18">
      <c r="A32" s="231" t="s">
        <v>260</v>
      </c>
      <c r="B32" s="33">
        <f>IF(ISERROR(TER_rest_ele_kWh/1000),0,TER_rest_ele_kWh/1000)</f>
        <v>6082.9550528037698</v>
      </c>
      <c r="C32" s="39">
        <f>IF(ISERROR(B32*3.6/1000000/'E Balans VL '!Z8*100),0,B32*3.6/1000000/'E Balans VL '!Z8*100)</f>
        <v>5.0054645782516539E-2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1363.1302760168649</v>
      </c>
      <c r="C5" s="17">
        <f>IF(ISERROR('Eigen informatie GS &amp; warmtenet'!B59),0,'Eigen informatie GS &amp; warmtenet'!B59)</f>
        <v>0</v>
      </c>
      <c r="D5" s="30">
        <f>SUM(D6:D15)</f>
        <v>1343.7299927914391</v>
      </c>
      <c r="E5" s="17">
        <f>SUM(E6:E15)</f>
        <v>171.71034784150936</v>
      </c>
      <c r="F5" s="17">
        <f>SUM(F6:F15)</f>
        <v>518.07003615239717</v>
      </c>
      <c r="G5" s="18"/>
      <c r="H5" s="17"/>
      <c r="I5" s="17"/>
      <c r="J5" s="17">
        <f>SUM(J6:J15)</f>
        <v>1.7258346313781889</v>
      </c>
      <c r="K5" s="17"/>
      <c r="L5" s="17"/>
      <c r="M5" s="17"/>
      <c r="N5" s="17">
        <f>SUM(N6:N15)</f>
        <v>291.16748496893331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111.03683144790601</v>
      </c>
      <c r="C8" s="33"/>
      <c r="D8" s="37">
        <f>IF( ISERROR(IND_metaal_Gas_kWH/1000),0,IND_metaal_Gas_kWH/1000)*0.902</f>
        <v>26.71096246213293</v>
      </c>
      <c r="E8" s="33">
        <f>C30*'E Balans VL '!I18/100/3.6*1000000</f>
        <v>1.0208764247718241</v>
      </c>
      <c r="F8" s="33">
        <f>C30*'E Balans VL '!L18/100/3.6*1000000+C30*'E Balans VL '!N18/100/3.6*1000000</f>
        <v>10.411557999488618</v>
      </c>
      <c r="G8" s="34"/>
      <c r="H8" s="33"/>
      <c r="I8" s="33"/>
      <c r="J8" s="40">
        <f>C30*'E Balans VL '!D18/100/3.6*1000000+C30*'E Balans VL '!E18/100/3.6*1000000</f>
        <v>0</v>
      </c>
      <c r="K8" s="33"/>
      <c r="L8" s="33"/>
      <c r="M8" s="33"/>
      <c r="N8" s="33">
        <f>C30*'E Balans VL '!Y18/100/3.6*1000000</f>
        <v>1.5841238966955593</v>
      </c>
      <c r="O8" s="33"/>
      <c r="P8" s="33"/>
      <c r="R8" s="32"/>
    </row>
    <row r="9" spans="1:18">
      <c r="A9" s="6" t="s">
        <v>33</v>
      </c>
      <c r="B9" s="37">
        <f t="shared" si="0"/>
        <v>490.83423082277596</v>
      </c>
      <c r="C9" s="33"/>
      <c r="D9" s="37">
        <f>IF( ISERROR(IND_andere_gas_kWh/1000),0,IND_andere_gas_kWh/1000)*0.902</f>
        <v>607.74590671508099</v>
      </c>
      <c r="E9" s="33">
        <f>C31*'E Balans VL '!I19/100/3.6*1000000</f>
        <v>143.48040108491679</v>
      </c>
      <c r="F9" s="33">
        <f>C31*'E Balans VL '!L19/100/3.6*1000000+C31*'E Balans VL '!N19/100/3.6*1000000</f>
        <v>394.42245720356027</v>
      </c>
      <c r="G9" s="34"/>
      <c r="H9" s="33"/>
      <c r="I9" s="33"/>
      <c r="J9" s="40">
        <f>C31*'E Balans VL '!D19/100/3.6*1000000+C31*'E Balans VL '!E19/100/3.6*1000000</f>
        <v>0</v>
      </c>
      <c r="K9" s="33"/>
      <c r="L9" s="33"/>
      <c r="M9" s="33"/>
      <c r="N9" s="33">
        <f>C31*'E Balans VL '!Y19/100/3.6*1000000</f>
        <v>162.17924216305281</v>
      </c>
      <c r="O9" s="33"/>
      <c r="P9" s="33"/>
      <c r="R9" s="32"/>
    </row>
    <row r="10" spans="1:18">
      <c r="A10" s="6" t="s">
        <v>41</v>
      </c>
      <c r="B10" s="37">
        <f t="shared" si="0"/>
        <v>279.17994044500898</v>
      </c>
      <c r="C10" s="33"/>
      <c r="D10" s="37">
        <f>IF( ISERROR(IND_voed_gas_kWh/1000),0,IND_voed_gas_kWh/1000)*0.902</f>
        <v>363.50864591581814</v>
      </c>
      <c r="E10" s="33">
        <f>C32*'E Balans VL '!I20/100/3.6*1000000</f>
        <v>0.59060949274766206</v>
      </c>
      <c r="F10" s="33">
        <f>C32*'E Balans VL '!L20/100/3.6*1000000+C32*'E Balans VL '!N20/100/3.6*1000000</f>
        <v>17.750545787440238</v>
      </c>
      <c r="G10" s="34"/>
      <c r="H10" s="33"/>
      <c r="I10" s="33"/>
      <c r="J10" s="40">
        <f>C32*'E Balans VL '!D20/100/3.6*1000000+C32*'E Balans VL '!E20/100/3.6*1000000</f>
        <v>0</v>
      </c>
      <c r="K10" s="33"/>
      <c r="L10" s="33"/>
      <c r="M10" s="33"/>
      <c r="N10" s="33">
        <f>C32*'E Balans VL '!Y20/100/3.6*1000000</f>
        <v>19.266170905675569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482.079273301174</v>
      </c>
      <c r="C15" s="33"/>
      <c r="D15" s="37">
        <f>IF( ISERROR(IND_rest_gas_kWh/1000),0,IND_rest_gas_kWh/1000)*0.902</f>
        <v>345.76447769840712</v>
      </c>
      <c r="E15" s="33">
        <f>C37*'E Balans VL '!I15/100/3.6*1000000</f>
        <v>26.618460839073087</v>
      </c>
      <c r="F15" s="33">
        <f>C37*'E Balans VL '!L15/100/3.6*1000000+C37*'E Balans VL '!N15/100/3.6*1000000</f>
        <v>95.485475161908042</v>
      </c>
      <c r="G15" s="34"/>
      <c r="H15" s="33"/>
      <c r="I15" s="33"/>
      <c r="J15" s="40">
        <f>C37*'E Balans VL '!D15/100/3.6*1000000+C37*'E Balans VL '!E15/100/3.6*1000000</f>
        <v>1.7258346313781889</v>
      </c>
      <c r="K15" s="33"/>
      <c r="L15" s="33"/>
      <c r="M15" s="33"/>
      <c r="N15" s="33">
        <f>C37*'E Balans VL '!Y15/100/3.6*1000000</f>
        <v>108.13794800350935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1363.1302760168649</v>
      </c>
      <c r="C18" s="21">
        <f>C5+C16</f>
        <v>0</v>
      </c>
      <c r="D18" s="21">
        <f>MAX((D5+D16),0)</f>
        <v>1343.7299927914391</v>
      </c>
      <c r="E18" s="21">
        <f>MAX((E5+E16),0)</f>
        <v>171.71034784150936</v>
      </c>
      <c r="F18" s="21">
        <f>MAX((F5+F16),0)</f>
        <v>518.07003615239717</v>
      </c>
      <c r="G18" s="21"/>
      <c r="H18" s="21"/>
      <c r="I18" s="21"/>
      <c r="J18" s="21">
        <f>MAX((J5+J16),0)</f>
        <v>1.7258346313781889</v>
      </c>
      <c r="K18" s="21"/>
      <c r="L18" s="21">
        <f>MAX((L5+L16),0)</f>
        <v>0</v>
      </c>
      <c r="M18" s="21"/>
      <c r="N18" s="21">
        <f>MAX((N5+N16),0)</f>
        <v>291.16748496893331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0.21456661117784212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292.48224391885526</v>
      </c>
      <c r="C22" s="23">
        <f ca="1">C18*C20</f>
        <v>0</v>
      </c>
      <c r="D22" s="23">
        <f>D18*D20</f>
        <v>271.4334585438707</v>
      </c>
      <c r="E22" s="23">
        <f>E18*E20</f>
        <v>38.978248960022626</v>
      </c>
      <c r="F22" s="23">
        <f>F18*F20</f>
        <v>138.32469965269004</v>
      </c>
      <c r="G22" s="23"/>
      <c r="H22" s="23"/>
      <c r="I22" s="23"/>
      <c r="J22" s="23">
        <f>J18*J20</f>
        <v>0.61094545950787882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111.03683144790601</v>
      </c>
      <c r="C30" s="39">
        <f>IF(ISERROR(B30*3.6/1000000/'E Balans VL '!Z18*100),0,B30*3.6/1000000/'E Balans VL '!Z18*100)</f>
        <v>6.2927419552105393E-3</v>
      </c>
      <c r="D30" s="237" t="s">
        <v>754</v>
      </c>
    </row>
    <row r="31" spans="1:18">
      <c r="A31" s="6" t="s">
        <v>33</v>
      </c>
      <c r="B31" s="37">
        <f>IF( ISERROR(IND_ander_ele_kWh/1000),0,IND_ander_ele_kWh/1000)</f>
        <v>490.83423082277596</v>
      </c>
      <c r="C31" s="39">
        <f>IF(ISERROR(B31*3.6/1000000/'E Balans VL '!Z19*100),0,B31*3.6/1000000/'E Balans VL '!Z19*100)</f>
        <v>2.2262196911955655E-2</v>
      </c>
      <c r="D31" s="237" t="s">
        <v>754</v>
      </c>
    </row>
    <row r="32" spans="1:18">
      <c r="A32" s="171" t="s">
        <v>41</v>
      </c>
      <c r="B32" s="37">
        <f>IF( ISERROR(IND_voed_ele_kWh/1000),0,IND_voed_ele_kWh/1000)</f>
        <v>279.17994044500898</v>
      </c>
      <c r="C32" s="39">
        <f>IF(ISERROR(B32*3.6/1000000/'E Balans VL '!Z20*100),0,B32*3.6/1000000/'E Balans VL '!Z20*100)</f>
        <v>8.6363029278827431E-3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482.079273301174</v>
      </c>
      <c r="C37" s="39">
        <f>IF(ISERROR(B37*3.6/1000000/'E Balans VL '!Z15*100),0,B37*3.6/1000000/'E Balans VL '!Z15*100)</f>
        <v>3.8210702905661902E-3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577.26330369840787</v>
      </c>
      <c r="C5" s="17">
        <f>'Eigen informatie GS &amp; warmtenet'!B60</f>
        <v>0</v>
      </c>
      <c r="D5" s="30">
        <f>IF(ISERROR(SUM(LB_lb_gas_kWh,LB_rest_gas_kWh,onbekend_gas_kWh)/1000),0,SUM(LB_lb_gas_kWh,LB_rest_gas_kWh,onbekend_gas_kWh)/1000)*0.902</f>
        <v>8576.4320083245148</v>
      </c>
      <c r="E5" s="17">
        <f>B17*'E Balans VL '!I25/3.6*1000000/100</f>
        <v>16.96753166133292</v>
      </c>
      <c r="F5" s="17">
        <f>B17*('E Balans VL '!L25/3.6*1000000+'E Balans VL '!N25/3.6*1000000)/100</f>
        <v>2404.8477295359185</v>
      </c>
      <c r="G5" s="18"/>
      <c r="H5" s="17"/>
      <c r="I5" s="17"/>
      <c r="J5" s="17">
        <f>('E Balans VL '!D25+'E Balans VL '!E25)/3.6*1000000*landbouw!B17/100</f>
        <v>83.633055834546781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577.26330369840787</v>
      </c>
      <c r="C8" s="21">
        <f>C5+C6</f>
        <v>0</v>
      </c>
      <c r="D8" s="21">
        <f>MAX((D5+D6),0)</f>
        <v>8576.4320083245148</v>
      </c>
      <c r="E8" s="21">
        <f>MAX((E5+E6),0)</f>
        <v>16.96753166133292</v>
      </c>
      <c r="F8" s="21">
        <f>MAX((F5+F6),0)</f>
        <v>2404.8477295359185</v>
      </c>
      <c r="G8" s="21"/>
      <c r="H8" s="21"/>
      <c r="I8" s="21"/>
      <c r="J8" s="21">
        <f>MAX((J5+J6),0)</f>
        <v>83.633055834546781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0.21456661117784212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123.86143083189287</v>
      </c>
      <c r="C12" s="23">
        <f ca="1">C8*C10</f>
        <v>0</v>
      </c>
      <c r="D12" s="23">
        <f>D8*D10</f>
        <v>1732.4392656815521</v>
      </c>
      <c r="E12" s="23">
        <f>E8*E10</f>
        <v>3.851629687122573</v>
      </c>
      <c r="F12" s="23">
        <f>F8*F10</f>
        <v>642.09434378609023</v>
      </c>
      <c r="G12" s="23"/>
      <c r="H12" s="23"/>
      <c r="I12" s="23"/>
      <c r="J12" s="23">
        <f>J8*J10</f>
        <v>29.60610176542956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8.1915473903186251E-2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181.79751420025997</v>
      </c>
      <c r="C26" s="247">
        <f>B26*'GWP N2O_CH4'!B5</f>
        <v>3817.7477982054593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48.738633163659493</v>
      </c>
      <c r="C27" s="247">
        <f>B27*'GWP N2O_CH4'!B5</f>
        <v>1023.5112964368493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1.9320111885923759</v>
      </c>
      <c r="C28" s="247">
        <f>B28*'GWP N2O_CH4'!B4</f>
        <v>598.92346846363648</v>
      </c>
      <c r="D28" s="50"/>
    </row>
    <row r="29" spans="1:4">
      <c r="A29" s="41" t="s">
        <v>277</v>
      </c>
      <c r="B29" s="247">
        <f>B34*'ha_N2O bodem landbouw'!B4</f>
        <v>8.7985840598730825</v>
      </c>
      <c r="C29" s="247">
        <f>B29*'GWP N2O_CH4'!B4</f>
        <v>2727.5610585606555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2.0078065611934624E-3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8.480634379986198E-5</v>
      </c>
      <c r="C5" s="463" t="s">
        <v>211</v>
      </c>
      <c r="D5" s="448">
        <f>SUM(D6:D11)</f>
        <v>2.7007833343119074E-4</v>
      </c>
      <c r="E5" s="448">
        <f>SUM(E6:E11)</f>
        <v>4.1261582555424293E-4</v>
      </c>
      <c r="F5" s="461" t="s">
        <v>211</v>
      </c>
      <c r="G5" s="448">
        <f>SUM(G6:G11)</f>
        <v>0.25838809008317942</v>
      </c>
      <c r="H5" s="448">
        <f>SUM(H6:H11)</f>
        <v>3.1342400387210034E-2</v>
      </c>
      <c r="I5" s="463" t="s">
        <v>211</v>
      </c>
      <c r="J5" s="463" t="s">
        <v>211</v>
      </c>
      <c r="K5" s="463" t="s">
        <v>211</v>
      </c>
      <c r="L5" s="463" t="s">
        <v>211</v>
      </c>
      <c r="M5" s="448">
        <f>SUM(M6:M11)</f>
        <v>1.6026940969402329E-2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3.7031367990204916E-5</v>
      </c>
      <c r="C6" s="449"/>
      <c r="D6" s="962">
        <f>vkm_2011_GW_PW*SUMIFS(TableVerdeelsleutelVkm[CNG],TableVerdeelsleutelVkm[Voertuigtype],"Lichte voertuigen")*SUMIFS(TableECFTransport[EnergieConsumptieFactor (PJ per km)],TableECFTransport[Index],CONCATENATE($A6,"_CNG_CNG"))</f>
        <v>1.1107284989867972E-4</v>
      </c>
      <c r="E6" s="962">
        <f>vkm_2011_GW_PW*SUMIFS(TableVerdeelsleutelVkm[LPG],TableVerdeelsleutelVkm[Voertuigtype],"Lichte voertuigen")*SUMIFS(TableECFTransport[EnergieConsumptieFactor (PJ per km)],TableECFTransport[Index],CONCATENATE($A6,"_LPG_LPG"))</f>
        <v>1.5174146779019452E-4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3.9233387633546862E-2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1.2631048975613492E-2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2.6670798618350206E-3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2.3221090176446253E-2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7.0760785635349828E-6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1.3569634042674573E-3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4.1494921040675822E-6</v>
      </c>
      <c r="C8" s="449"/>
      <c r="D8" s="451">
        <f>vkm_2011_NGW_PW*SUMIFS(TableVerdeelsleutelVkm[CNG],TableVerdeelsleutelVkm[Voertuigtype],"Lichte voertuigen")*SUMIFS(TableECFTransport[EnergieConsumptieFactor (PJ per km)],TableECFTransport[Index],CONCATENATE($A8,"_CNG_CNG"))</f>
        <v>2.2129295838439335E-5</v>
      </c>
      <c r="E8" s="451">
        <f>vkm_2011_NGW_PW*SUMIFS(TableVerdeelsleutelVkm[LPG],TableVerdeelsleutelVkm[Voertuigtype],"Lichte voertuigen")*SUMIFS(TableECFTransport[EnergieConsumptieFactor (PJ per km)],TableECFTransport[Index],CONCATENATE($A8,"_LPG_LPG"))</f>
        <v>2.799807438417032E-5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6.7459993698870601E-3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2.4454990002073748E-3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4.6671124222946167E-4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2.6724462366724145E-3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7.6665411290806515E-7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1.5616746862503385E-4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4.3625483705589481E-5</v>
      </c>
      <c r="C10" s="449"/>
      <c r="D10" s="451">
        <f>vkm_2011_SW_PW*SUMIFS(TableVerdeelsleutelVkm[CNG],TableVerdeelsleutelVkm[Voertuigtype],"Lichte voertuigen")*SUMIFS(TableECFTransport[EnergieConsumptieFactor (PJ per km)],TableECFTransport[Index],CONCATENATE($A10,"_CNG_CNG"))</f>
        <v>1.3687618769407168E-4</v>
      </c>
      <c r="E10" s="451">
        <f>vkm_2011_SW_PW*SUMIFS(TableVerdeelsleutelVkm[LPG],TableVerdeelsleutelVkm[Voertuigtype],"Lichte voertuigen")*SUMIFS(TableECFTransport[EnergieConsumptieFactor (PJ per km)],TableECFTransport[Index],CONCATENATE($A10,"_LPG_LPG"))</f>
        <v>2.328762833798781E-4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5.3678510946295298E-2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1.6214296991888609E-2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3.6173899672477506E-3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0.13283665572033157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4.3712686824115503E-5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7.7626290251976053E-3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23.557317722183882</v>
      </c>
      <c r="C14" s="21"/>
      <c r="D14" s="21">
        <f t="shared" ref="D14:M14" si="0">((D5)*10^9/3600)+D12</f>
        <v>75.021759286441878</v>
      </c>
      <c r="E14" s="21">
        <f t="shared" si="0"/>
        <v>114.61550709840081</v>
      </c>
      <c r="F14" s="21"/>
      <c r="G14" s="21">
        <f t="shared" si="0"/>
        <v>71774.469467549832</v>
      </c>
      <c r="H14" s="21">
        <f t="shared" si="0"/>
        <v>8706.2223297805649</v>
      </c>
      <c r="I14" s="21"/>
      <c r="J14" s="21"/>
      <c r="K14" s="21"/>
      <c r="L14" s="21"/>
      <c r="M14" s="21">
        <f t="shared" si="0"/>
        <v>4451.9280470562026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0.21456661117784212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5.0546138320887186</v>
      </c>
      <c r="C18" s="23"/>
      <c r="D18" s="23">
        <f t="shared" ref="D18:M18" si="1">D14*D16</f>
        <v>15.15439537586126</v>
      </c>
      <c r="E18" s="23">
        <f t="shared" si="1"/>
        <v>26.017720111336985</v>
      </c>
      <c r="F18" s="23"/>
      <c r="G18" s="23">
        <f t="shared" si="1"/>
        <v>19163.783347835808</v>
      </c>
      <c r="H18" s="23">
        <f t="shared" si="1"/>
        <v>2167.8493601153605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2.8603203319046925E-3</v>
      </c>
      <c r="C50" s="321">
        <f t="shared" ref="C50:P50" si="2">SUM(C51:C52)</f>
        <v>0</v>
      </c>
      <c r="D50" s="321">
        <f t="shared" si="2"/>
        <v>0</v>
      </c>
      <c r="E50" s="321">
        <f t="shared" si="2"/>
        <v>0</v>
      </c>
      <c r="F50" s="321">
        <f t="shared" si="2"/>
        <v>0</v>
      </c>
      <c r="G50" s="321">
        <f t="shared" si="2"/>
        <v>5.6398163442886314E-4</v>
      </c>
      <c r="H50" s="321">
        <f t="shared" si="2"/>
        <v>0</v>
      </c>
      <c r="I50" s="321">
        <f t="shared" si="2"/>
        <v>0</v>
      </c>
      <c r="J50" s="321">
        <f t="shared" si="2"/>
        <v>0</v>
      </c>
      <c r="K50" s="321">
        <f t="shared" si="2"/>
        <v>0</v>
      </c>
      <c r="L50" s="321">
        <f t="shared" si="2"/>
        <v>0</v>
      </c>
      <c r="M50" s="321">
        <f t="shared" si="2"/>
        <v>3.2031667095554746E-5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5.6398163442886314E-4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3.2031667095554746E-5</v>
      </c>
      <c r="N51" s="323"/>
      <c r="O51" s="323"/>
      <c r="P51" s="326"/>
    </row>
    <row r="52" spans="1:18">
      <c r="A52" s="4" t="s">
        <v>330</v>
      </c>
      <c r="B52" s="963">
        <f>vkm_2011_tram*SUMIFS(TableECFTransport[EnergieConsumptieFactor (PJ per km)],TableECFTransport[Index],"Tram_gemiddeld_Electric_Electric")</f>
        <v>2.8603203319046925E-3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794.53342552908123</v>
      </c>
      <c r="C54" s="21">
        <f t="shared" ref="C54:P54" si="3">(C50)*10^9/3600</f>
        <v>0</v>
      </c>
      <c r="D54" s="21">
        <f t="shared" si="3"/>
        <v>0</v>
      </c>
      <c r="E54" s="21">
        <f t="shared" si="3"/>
        <v>0</v>
      </c>
      <c r="F54" s="21">
        <f t="shared" si="3"/>
        <v>0</v>
      </c>
      <c r="G54" s="21">
        <f t="shared" si="3"/>
        <v>156.66156511912865</v>
      </c>
      <c r="H54" s="21">
        <f t="shared" si="3"/>
        <v>0</v>
      </c>
      <c r="I54" s="21">
        <f t="shared" si="3"/>
        <v>0</v>
      </c>
      <c r="J54" s="21">
        <f t="shared" si="3"/>
        <v>0</v>
      </c>
      <c r="K54" s="21">
        <f t="shared" si="3"/>
        <v>0</v>
      </c>
      <c r="L54" s="21">
        <f t="shared" si="3"/>
        <v>0</v>
      </c>
      <c r="M54" s="21">
        <f t="shared" si="3"/>
        <v>8.8976853043207633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0.21456661117784212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170.48034458329735</v>
      </c>
      <c r="C58" s="23">
        <f t="shared" ref="C58:P58" ca="1" si="4">C54*C56</f>
        <v>0</v>
      </c>
      <c r="D58" s="23">
        <f t="shared" si="4"/>
        <v>0</v>
      </c>
      <c r="E58" s="23">
        <f t="shared" si="4"/>
        <v>0</v>
      </c>
      <c r="F58" s="23">
        <f t="shared" si="4"/>
        <v>0</v>
      </c>
      <c r="G58" s="23">
        <f t="shared" si="4"/>
        <v>41.82863788680735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1624.9383305751498</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1624.9383305751498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2019-01-01T21:20:10Z</dcterms:modified>
</cp:coreProperties>
</file>