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C13" i="15"/>
  <c r="C16" s="1"/>
  <c r="D10" i="14" s="1"/>
  <c r="L6" i="17"/>
  <c r="L5" s="1"/>
  <c r="O4" i="48"/>
  <c r="E16"/>
  <c r="I16"/>
  <c r="F16"/>
  <c r="J16"/>
  <c r="K16"/>
  <c r="D16"/>
  <c r="D27" s="1"/>
  <c r="H16"/>
  <c r="H21" s="1"/>
  <c r="L16" i="16"/>
  <c r="L18" s="1"/>
  <c r="L22" s="1"/>
  <c r="M39" i="14"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28" i="48" l="1"/>
  <c r="D30"/>
  <c r="E28"/>
  <c r="H25"/>
  <c r="H24"/>
  <c r="D21"/>
  <c r="F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H18"/>
  <c r="O22" i="16"/>
  <c r="P39" i="14" s="1"/>
  <c r="M10" i="48"/>
  <c r="M27" s="1"/>
  <c r="F22" i="14"/>
  <c r="C13"/>
  <c r="E12" i="13"/>
  <c r="F37" i="14" s="1"/>
  <c r="D22" i="16"/>
  <c r="E39" i="14" s="1"/>
  <c r="N4" i="48"/>
  <c r="N21" s="1"/>
  <c r="D20" i="15"/>
  <c r="E36" i="14" s="1"/>
  <c r="E41" s="1"/>
  <c r="G14" i="22"/>
  <c r="O8" i="48"/>
  <c r="O25" s="1"/>
  <c r="E7"/>
  <c r="E24" s="1"/>
  <c r="P31"/>
  <c r="N7"/>
  <c r="N24" s="1"/>
  <c r="J16" i="15"/>
  <c r="E16"/>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O14" i="48" l="1"/>
  <c r="F10" i="14"/>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R10" i="14"/>
  <c r="C16" i="48" l="1"/>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14" l="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<sst xmlns="http://schemas.openxmlformats.org/spreadsheetml/2006/main" count="2099" uniqueCount="844">
  <si>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</si>
  <si>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</si>
  <si>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</si>
  <si>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</si>
  <si>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</si>
  <si>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</si>
  <si>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</si>
  <si>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</si>
  <si>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</si>
  <si>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</si>
  <si>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</si>
  <si>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</si>
  <si>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</si>
  <si>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</si>
  <si>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</si>
  <si>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</si>
  <si>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</si>
  <si>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</si>
  <si>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</si>
  <si>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</si>
  <si>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</si>
  <si>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</si>
  <si>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</si>
  <si>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</si>
  <si>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</si>
  <si>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</si>
  <si>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</si>
  <si>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</si>
  <si>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</si>
  <si>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</si>
  <si>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</si>
  <si>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</si>
  <si>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</si>
  <si>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</si>
  <si>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</si>
  <si>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</si>
  <si>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</si>
  <si>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</si>
  <si>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</si>
  <si>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</si>
  <si>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</si>
  <si>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</si>
  <si>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</si>
  <si>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</si>
  <si>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</si>
  <si>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</si>
  <si>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</si>
  <si>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</si>
  <si>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</si>
  <si>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</si>
  <si>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</si>
  <si>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</si>
  <si>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</si>
  <si>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</si>
  <si>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</si>
  <si>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</si>
  <si>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</si>
  <si>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</si>
  <si>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</si>
  <si>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</si>
  <si>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</si>
  <si>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</si>
  <si>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</si>
  <si>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</si>
  <si>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</si>
  <si>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</si>
  <si>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</si>
  <si>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</si>
  <si>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</si>
  <si>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</si>
  <si>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</si>
  <si>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</si>
  <si>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</si>
  <si>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</si>
  <si>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</si>
  <si>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</si>
  <si>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</si>
  <si>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</si>
  <si>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</si>
  <si>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</si>
  <si>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</si>
  <si>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</si>
  <si>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</si>
  <si>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</si>
  <si>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</si>
  <si>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</si>
  <si>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</si>
  <si>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</si>
  <si>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</si>
  <si>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</si>
  <si>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</si>
  <si>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</si>
  <si>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</si>
  <si>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</si>
  <si>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</si>
  <si>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</si>
  <si>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</si>
  <si>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</si>
  <si>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</si>
  <si>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</si>
  <si>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</si>
  <si>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</si>
  <si>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</si>
  <si>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</si>
  <si>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</si>
  <si>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</si>
  <si>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</si>
  <si>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</si>
  <si>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</si>
  <si>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</si>
  <si>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</si>
  <si>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</si>
  <si>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</si>
  <si>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</si>
  <si>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</si>
  <si>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</si>
  <si>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</si>
  <si>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</si>
  <si>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</si>
  <si>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</si>
  <si>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</si>
  <si>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</si>
  <si>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</si>
  <si>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</si>
  <si>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</si>
  <si>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</si>
  <si>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</si>
  <si>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</si>
  <si>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</si>
  <si>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</si>
  <si>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</si>
  <si>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</si>
  <si>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</si>
  <si>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</si>
  <si>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</si>
  <si>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</si>
  <si>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</si>
  <si>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</si>
  <si>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</si>
  <si>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</si>
  <si>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</si>
  <si>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</si>
  <si>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</si>
  <si>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</si>
  <si>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</si>
  <si>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</si>
  <si>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</si>
  <si>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</si>
  <si>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</si>
  <si>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</si>
  <si>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</si>
  <si>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</si>
  <si>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</si>
  <si>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</si>
  <si>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</si>
  <si>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</si>
  <si>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</si>
  <si>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</si>
  <si>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</si>
  <si>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</si>
  <si>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</si>
  <si>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</si>
  <si>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</si>
  <si>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</si>
  <si>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</si>
  <si>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</si>
  <si>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</si>
  <si>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</si>
  <si>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</si>
  <si>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</si>
  <si>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</si>
  <si>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</si>
  <si>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</si>
  <si>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</si>
  <si>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</si>
  <si>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</si>
  <si>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</si>
  <si>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</si>
  <si>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</si>
  <si>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</si>
  <si>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</si>
  <si>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</si>
  <si>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</si>
  <si>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</si>
  <si>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</si>
  <si>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</si>
  <si>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</si>
  <si>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</si>
  <si>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</si>
  <si>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</si>
  <si>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</si>
  <si>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</si>
  <si>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</si>
  <si>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</si>
  <si>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</si>
  <si>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</si>
  <si>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</si>
  <si>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</si>
  <si>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</si>
  <si>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</si>
  <si>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</si>
  <si>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</si>
  <si>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</si>
  <si>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</si>
  <si>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</si>
  <si>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</si>
  <si>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</si>
  <si>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</si>
  <si>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</si>
  <si>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</si>
  <si>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</si>
  <si>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</si>
  <si>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</si>
  <si>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</si>
  <si>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</si>
  <si>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</si>
  <si>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</si>
  <si>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</si>
  <si>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</si>
  <si>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</si>
  <si>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</si>
  <si>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</si>
  <si>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</si>
  <si>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</si>
  <si>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</si>
  <si>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</si>
  <si>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</si>
  <si>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</si>
  <si>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</si>
  <si>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</si>
  <si>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</si>
  <si>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</si>
  <si>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</si>
  <si>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</si>
  <si>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</si>
  <si>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</si>
  <si>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</si>
  <si>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</si>
  <si>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</si>
  <si>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</si>
  <si>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</si>
  <si>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</si>
  <si>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</si>
  <si>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</si>
  <si>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</si>
  <si>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</si>
  <si>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</si>
  <si>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</si>
  <si>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</si>
  <si>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</si>
  <si>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</si>
  <si>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</si>
  <si>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</si>
  <si>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</si>
  <si>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</si>
  <si>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</si>
  <si>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</si>
  <si>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</si>
  <si>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</si>
  <si>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</si>
  <si>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</si>
  <si>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</si>
  <si>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</si>
  <si>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</si>
  <si>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</si>
  <si>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</si>
  <si>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</si>
  <si>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</si>
  <si>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</si>
  <si>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</si>
  <si>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</si>
  <si>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</si>
  <si>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</si>
  <si>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</si>
  <si>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</si>
  <si>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</si>
  <si>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</si>
  <si>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</si>
  <si>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</si>
  <si>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</si>
  <si>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</si>
  <si>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</si>
  <si>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</si>
  <si>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</si>
  <si>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</si>
  <si>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</si>
  <si>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</si>
  <si>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</si>
  <si>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</si>
  <si>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</si>
  <si>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</si>
  <si>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</si>
  <si>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</si>
  <si>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</si>
  <si>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</si>
  <si>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</si>
  <si>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</si>
  <si>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</si>
  <si>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</si>
  <si>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</si>
  <si>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</si>
  <si>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</si>
  <si>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</si>
  <si>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</si>
  <si>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</si>
  <si>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</si>
  <si>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</si>
  <si>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</si>
  <si>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</si>
  <si>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</si>
  <si>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</si>
  <si>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</si>
  <si>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</si>
  <si>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</si>
  <si>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</si>
  <si>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</si>
  <si>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</si>
  <si>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</si>
  <si>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</si>
  <si>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</si>
  <si>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</si>
  <si>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</si>
  <si>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</si>
  <si>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</si>
  <si>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</si>
  <si>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</si>
  <si>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</si>
  <si>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</si>
  <si>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</si>
  <si>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</si>
  <si>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</si>
  <si>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</si>
  <si>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</si>
  <si>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</si>
  <si>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</si>
  <si>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</si>
  <si>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</si>
  <si>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</si>
  <si>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</si>
  <si>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</si>
  <si>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</si>
  <si>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</si>
  <si>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</si>
  <si>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</si>
  <si>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</si>
  <si>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</si>
  <si>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</si>
  <si>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</si>
  <si>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</si>
  <si>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</si>
  <si>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</si>
  <si>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</si>
  <si>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</si>
  <si>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</si>
  <si>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</si>
  <si>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</si>
  <si>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</si>
  <si>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</si>
  <si>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</si>
  <si>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</si>
  <si>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</si>
  <si>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</si>
  <si>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</si>
  <si>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</si>
  <si>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</si>
  <si>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</si>
  <si>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</si>
  <si>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</si>
  <si>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</si>
  <si>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</si>
  <si>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</si>
  <si>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</si>
  <si>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</si>
  <si>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</si>
  <si>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</si>
  <si>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</si>
  <si>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</si>
  <si>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</si>
  <si>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</si>
  <si>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</si>
  <si>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</si>
  <si>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</si>
  <si>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</si>
  <si>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</si>
  <si>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</si>
  <si>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</si>
  <si>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</si>
  <si>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</si>
  <si>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</si>
  <si>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</si>
  <si>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</si>
  <si>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</si>
  <si>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</si>
  <si>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</si>
  <si>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</si>
  <si>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</si>
  <si>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</si>
  <si>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</si>
  <si>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</si>
  <si>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</si>
  <si>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</si>
  <si>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</si>
  <si>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</si>
  <si>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</si>
  <si>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</si>
  <si>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</si>
  <si>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</si>
  <si>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</si>
  <si>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</si>
  <si>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</si>
  <si>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</si>
  <si>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</si>
  <si>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</si>
  <si>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</si>
  <si>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</si>
  <si>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</si>
  <si>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</si>
  <si>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</si>
  <si>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</si>
  <si>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</si>
  <si>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</si>
  <si>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</si>
  <si>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</si>
  <si>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</si>
  <si>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</si>
  <si>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</si>
  <si>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</si>
  <si>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</si>
  <si>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</si>
  <si>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</si>
  <si>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</si>
  <si>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</si>
  <si>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</si>
  <si>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</si>
  <si>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</si>
  <si>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</si>
  <si>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</si>
  <si>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</si>
  <si>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</si>
  <si>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</si>
  <si>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</si>
  <si>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</si>
  <si>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</si>
  <si>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</si>
  <si>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</si>
  <si>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</si>
  <si>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</si>
  <si>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</si>
  <si>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</si>
  <si>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</si>
  <si>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</si>
  <si>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</si>
  <si>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</si>
  <si>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</si>
  <si>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</si>
  <si>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</si>
  <si>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</si>
  <si>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</si>
  <si>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</si>
  <si>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</si>
  <si>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</si>
  <si>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</si>
  <si>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</si>
  <si>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</si>
  <si>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</si>
  <si>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</si>
  <si>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</si>
  <si>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</si>
  <si>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</si>
  <si>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</si>
  <si>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</si>
  <si>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</si>
  <si>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</si>
  <si>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</si>
  <si>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</si>
  <si>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</si>
  <si>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</si>
  <si>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</si>
  <si>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</si>
  <si>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</si>
  <si>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</si>
  <si>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</si>
  <si>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</si>
  <si>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</si>
  <si>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</si>
  <si>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</si>
  <si>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</si>
  <si>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</si>
  <si>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</si>
  <si>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</si>
  <si>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</si>
  <si>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</si>
  <si>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</si>
  <si>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</si>
  <si>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</si>
  <si>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</si>
  <si>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</si>
  <si>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</si>
  <si>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</si>
  <si>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</si>
  <si>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</si>
  <si>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</si>
  <si>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</si>
  <si>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</si>
  <si>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</si>
  <si>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</si>
  <si>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</si>
  <si>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</si>
  <si>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</si>
  <si>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</si>
  <si>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</si>
  <si>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</si>
  <si>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</si>
  <si>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</si>
  <si>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</si>
  <si>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</si>
  <si>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</si>
  <si>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</si>
  <si>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</si>
  <si>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</si>
  <si>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</si>
  <si>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</si>
  <si>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</si>
  <si>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</si>
  <si>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</si>
  <si>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</si>
  <si>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</si>
  <si>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</si>
  <si>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</si>
  <si>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</si>
  <si>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</si>
  <si>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</si>
  <si>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</si>
  <si>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</si>
  <si>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</si>
  <si>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</si>
  <si>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</si>
  <si>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</si>
  <si>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</si>
  <si>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</si>
  <si>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</si>
  <si>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</si>
  <si>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</si>
  <si>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</si>
  <si>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</si>
  <si>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</si>
  <si>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</si>
  <si>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</si>
  <si>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</si>
  <si>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</si>
  <si>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</si>
  <si>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</si>
  <si>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</si>
  <si>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</si>
  <si>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</si>
  <si>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</si>
  <si>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</si>
  <si>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</si>
  <si>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</si>
  <si>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</si>
  <si>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</si>
  <si>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</si>
  <si>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</si>
  <si>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</si>
  <si>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</si>
  <si>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</si>
  <si>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</si>
  <si>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</si>
  <si>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</si>
  <si>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</si>
  <si>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</si>
  <si>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</si>
  <si>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</si>
  <si>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</si>
  <si>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</si>
  <si>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</si>
  <si>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</si>
  <si>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</si>
  <si>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</si>
  <si>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</si>
  <si>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</si>
  <si>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</si>
  <si>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</si>
  <si>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</si>
  <si>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</si>
  <si>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</si>
  <si>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</si>
  <si>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</si>
  <si>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</si>
  <si>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</si>
  <si>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</si>
  <si>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</si>
  <si>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</si>
  <si>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</si>
  <si>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</si>
  <si>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</si>
  <si>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</si>
  <si>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</si>
  <si>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</si>
  <si>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</si>
  <si>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</si>
  <si>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</si>
  <si>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</si>
  <si>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</si>
  <si>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</si>
  <si>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</si>
  <si>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</si>
  <si>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</si>
  <si>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</si>
  <si>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</si>
  <si>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</si>
  <si>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</si>
  <si>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</si>
  <si>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</si>
  <si>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</si>
  <si>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</si>
  <si>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</si>
  <si>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</si>
  <si>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</si>
  <si>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</si>
  <si>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</si>
  <si>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</si>
  <si>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</si>
  <si>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</si>
  <si>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</si>
  <si>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</si>
  <si>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</si>
  <si>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</si>
  <si>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</si>
  <si>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</si>
  <si>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</si>
  <si>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</si>
  <si>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</si>
  <si>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</si>
  <si>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</si>
  <si>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</si>
  <si>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</si>
  <si>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</si>
  <si>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</si>
  <si>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</si>
  <si>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</si>
  <si>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</si>
  <si>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</si>
  <si>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</si>
  <si>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</si>
  <si>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</si>
  <si>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</si>
  <si>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</si>
  <si>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</si>
  <si>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</si>
  <si>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</si>
  <si>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</si>
  <si>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</si>
  <si>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</si>
  <si>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</si>
  <si>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</si>
  <si>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</si>
  <si>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</si>
  <si>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</si>
  <si>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</si>
  <si>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</si>
  <si>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</si>
  <si>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</si>
  <si>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</si>
  <si>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</si>
  <si>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</si>
  <si>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</si>
  <si>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</si>
  <si>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</si>
  <si>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</si>
  <si>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</si>
  <si>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</si>
  <si>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</si>
  <si>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</si>
  <si>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</si>
  <si>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</si>
  <si>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</si>
  <si>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</si>
  <si>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</si>
  <si>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</si>
  <si>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</si>
  <si>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</si>
  <si>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</si>
  <si>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</si>
  <si>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</si>
  <si>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</si>
  <si>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</si>
  <si>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</si>
  <si>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</si>
  <si>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</si>
  <si>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</si>
  <si>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</si>
  <si>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</si>
  <si>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</si>
  <si>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</si>
  <si>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</si>
  <si>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</si>
  <si>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</si>
  <si>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</si>
  <si>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</si>
  <si>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</si>
  <si>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</si>
  <si>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</si>
  <si>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</si>
  <si>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</si>
  <si>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</si>
  <si>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</si>
  <si>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</si>
  <si>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</si>
  <si>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</si>
  <si>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</si>
  <si>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</si>
  <si>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</si>
  <si>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</si>
  <si>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</si>
  <si>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</si>
  <si>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</si>
  <si>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</si>
  <si>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</si>
  <si>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</si>
  <si>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</si>
  <si>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</si>
  <si>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</si>
  <si>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</si>
  <si>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</si>
  <si>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</si>
  <si>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</si>
  <si>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</si>
  <si>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</si>
  <si>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</si>
  <si>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</si>
  <si>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</si>
  <si>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</si>
  <si>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</si>
  <si>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</si>
  <si>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</si>
  <si>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</si>
  <si>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</si>
  <si>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</si>
  <si>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</si>
  <si>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</si>
  <si>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</si>
  <si>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</si>
  <si>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</si>
  <si>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</si>
  <si>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</si>
  <si>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</si>
  <si>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</si>
  <si>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</si>
  <si>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</si>
  <si>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</si>
  <si>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</si>
  <si>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</si>
  <si>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</si>
  <si>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</si>
  <si>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</si>
  <si>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</si>
  <si>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</si>
  <si>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</si>
  <si>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</si>
  <si>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</si>
  <si>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</si>
  <si>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</si>
  <si>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</si>
  <si>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</si>
  <si>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</si>
  <si>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</si>
  <si>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</si>
  <si>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</si>
  <si>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</si>
  <si>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</si>
  <si>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</si>
  <si>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</si>
  <si>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</si>
  <si>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</si>
  <si>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</si>
  <si>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</si>
  <si>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</si>
  <si>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</si>
  <si>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</si>
  <si>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</si>
  <si>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</si>
  <si>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</si>
  <si>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</si>
  <si>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</si>
  <si>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</si>
  <si>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</si>
  <si>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</si>
  <si>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</si>
  <si>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</si>
  <si>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</si>
  <si>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</si>
  <si>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</si>
  <si>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</si>
  <si>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</si>
  <si>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</si>
  <si>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</si>
  <si>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</si>
  <si>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</si>
  <si>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</si>
  <si>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</si>
  <si>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</si>
  <si>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</si>
  <si>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</si>
  <si>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</si>
  <si>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</si>
  <si>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</si>
  <si>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</si>
  <si>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</si>
  <si>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</si>
  <si>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</si>
  <si>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</si>
  <si>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</si>
  <si>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</si>
  <si>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</si>
  <si>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</si>
  <si>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</si>
  <si>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</si>
  <si>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</si>
  <si>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</si>
  <si>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</si>
  <si>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</si>
  <si>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</si>
  <si>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</si>
  <si>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</si>
  <si>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</si>
  <si>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</si>
  <si>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</si>
  <si>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</si>
  <si>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</si>
  <si>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</si>
  <si>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</si>
  <si>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</si>
  <si>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</si>
  <si>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</si>
  <si>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</si>
  <si>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37018</t>
  </si>
  <si>
    <t>WINGENE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</si>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</sst>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133814.98199367354</c:v>
                </c:pt>
                <c:pt idx="1">
                  <c:v>32940.303674819108</c:v>
                </c:pt>
                <c:pt idx="2">
                  <c:v>968.005</c:v>
                </c:pt>
                <c:pt idx="3">
                  <c:v>55951.74396016285</c:v>
                </c:pt>
                <c:pt idx="4">
                  <c:v>90570.084021691058</c:v>
                </c:pt>
                <c:pt idx="5">
                  <c:v>72295.799534881648</c:v>
                </c:pt>
                <c:pt idx="6">
                  <c:v>671.78727611950126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96064"/>
        <c:axId val="183551104"/>
      </c:barChart>
      <c:catAx>
        <c:axId val="183496064"/>
        <c:scaling>
          <c:orientation val="minMax"/>
        </c:scaling>
        <c:axPos val="b"/>
        <c:numFmt formatCode="General" sourceLinked="0"/>
        <c:tickLblPos val="nextTo"/>
        <c:crossAx val="183551104"/>
        <c:crosses val="autoZero"/>
        <c:auto val="1"/>
        <c:lblAlgn val="ctr"/>
        <c:lblOffset val="100"/>
      </c:catAx>
      <c:valAx>
        <c:axId val="183551104"/>
        <c:scaling>
          <c:orientation val="minMax"/>
        </c:scaling>
        <c:axPos val="l"/>
        <c:majorGridlines>
          <c:spPr>
            <a:ln>
              <a:noFill/>
            </a:ln>
          </c:spPr>
        </c:majorGridlines>
        <c:numFmt formatCode="#,##0" sourceLinked="1"/>
        <c:tickLblPos val="nextTo"/>
        <c:crossAx val="1834960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133814.98199367354</c:v>
                </c:pt>
                <c:pt idx="1">
                  <c:v>32940.303674819108</c:v>
                </c:pt>
                <c:pt idx="2">
                  <c:v>968.005</c:v>
                </c:pt>
                <c:pt idx="3">
                  <c:v>55951.74396016285</c:v>
                </c:pt>
                <c:pt idx="4">
                  <c:v>90570.084021691058</c:v>
                </c:pt>
                <c:pt idx="5">
                  <c:v>72295.799534881648</c:v>
                </c:pt>
                <c:pt idx="6">
                  <c:v>671.78727611950126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22720.887585245342</c:v>
                </c:pt>
                <c:pt idx="1">
                  <c:v>6335.2430001514213</c:v>
                </c:pt>
                <c:pt idx="2">
                  <c:v>192.15464889677483</c:v>
                </c:pt>
                <c:pt idx="3">
                  <c:v>14012.352390758075</c:v>
                </c:pt>
                <c:pt idx="4">
                  <c:v>17320.450001830803</c:v>
                </c:pt>
                <c:pt idx="5">
                  <c:v>18097.740309491008</c:v>
                </c:pt>
                <c:pt idx="6">
                  <c:v>169.7274337610028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18816"/>
        <c:axId val="184020352"/>
      </c:barChart>
      <c:catAx>
        <c:axId val="184018816"/>
        <c:scaling>
          <c:orientation val="minMax"/>
        </c:scaling>
        <c:axPos val="b"/>
        <c:numFmt formatCode="General" sourceLinked="0"/>
        <c:tickLblPos val="nextTo"/>
        <c:crossAx val="184020352"/>
        <c:crosses val="autoZero"/>
        <c:auto val="1"/>
        <c:lblAlgn val="ctr"/>
        <c:lblOffset val="100"/>
      </c:catAx>
      <c:valAx>
        <c:axId val="184020352"/>
        <c:scaling>
          <c:orientation val="minMax"/>
        </c:scaling>
        <c:axPos val="l"/>
        <c:majorGridlines>
          <c:spPr>
            <a:ln>
              <a:noFill/>
            </a:ln>
          </c:spPr>
        </c:majorGridlines>
        <c:numFmt formatCode="#,##0" sourceLinked="1"/>
        <c:tickLblPos val="nextTo"/>
        <c:crossAx val="1840188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22720.887585245342</c:v>
                </c:pt>
                <c:pt idx="1">
                  <c:v>6335.2430001514213</c:v>
                </c:pt>
                <c:pt idx="2">
                  <c:v>192.15464889677483</c:v>
                </c:pt>
                <c:pt idx="3">
                  <c:v>14012.352390758075</c:v>
                </c:pt>
                <c:pt idx="4">
                  <c:v>17320.450001830803</c:v>
                </c:pt>
                <c:pt idx="5">
                  <c:v>18097.740309491008</c:v>
                </c:pt>
                <c:pt idx="6">
                  <c:v>169.7274337610028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37018</v>
      </c>
      <c r="B6" s="415"/>
      <c r="C6" s="416"/>
    </row>
    <row r="7" spans="1:7" s="413" customFormat="1" ht="15.75" customHeight="1">
      <c r="A7" s="417" t="str">
        <f>txtMunicipality</f>
        <v>WINGENE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37018</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5696</v>
      </c>
      <c r="C9" s="342">
        <v>5956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4718.59</v>
      </c>
    </row>
    <row r="15" spans="1:6">
      <c r="A15" s="348" t="s">
        <v>184</v>
      </c>
      <c r="B15" s="334">
        <v>691</v>
      </c>
    </row>
    <row r="16" spans="1:6">
      <c r="A16" s="348" t="s">
        <v>6</v>
      </c>
      <c r="B16" s="334">
        <v>3235</v>
      </c>
    </row>
    <row r="17" spans="1:6">
      <c r="A17" s="348" t="s">
        <v>7</v>
      </c>
      <c r="B17" s="334">
        <v>2536</v>
      </c>
    </row>
    <row r="18" spans="1:6">
      <c r="A18" s="348" t="s">
        <v>8</v>
      </c>
      <c r="B18" s="334">
        <v>3537</v>
      </c>
    </row>
    <row r="19" spans="1:6">
      <c r="A19" s="348" t="s">
        <v>9</v>
      </c>
      <c r="B19" s="334">
        <v>3206</v>
      </c>
    </row>
    <row r="20" spans="1:6">
      <c r="A20" s="348" t="s">
        <v>10</v>
      </c>
      <c r="B20" s="334">
        <v>2060</v>
      </c>
    </row>
    <row r="21" spans="1:6">
      <c r="A21" s="348" t="s">
        <v>11</v>
      </c>
      <c r="B21" s="334">
        <v>33278</v>
      </c>
    </row>
    <row r="22" spans="1:6">
      <c r="A22" s="348" t="s">
        <v>12</v>
      </c>
      <c r="B22" s="334">
        <v>123020</v>
      </c>
    </row>
    <row r="23" spans="1:6">
      <c r="A23" s="348" t="s">
        <v>13</v>
      </c>
      <c r="B23" s="334">
        <v>3457</v>
      </c>
    </row>
    <row r="24" spans="1:6">
      <c r="A24" s="348" t="s">
        <v>14</v>
      </c>
      <c r="B24" s="334">
        <v>74</v>
      </c>
    </row>
    <row r="25" spans="1:6">
      <c r="A25" s="348" t="s">
        <v>15</v>
      </c>
      <c r="B25" s="334">
        <v>10549</v>
      </c>
    </row>
    <row r="26" spans="1:6">
      <c r="A26" s="348" t="s">
        <v>16</v>
      </c>
      <c r="B26" s="334">
        <v>169</v>
      </c>
    </row>
    <row r="27" spans="1:6">
      <c r="A27" s="348" t="s">
        <v>17</v>
      </c>
      <c r="B27" s="334">
        <v>1</v>
      </c>
    </row>
    <row r="28" spans="1:6" s="356" customFormat="1">
      <c r="A28" s="355" t="s">
        <v>18</v>
      </c>
      <c r="B28" s="355">
        <v>957797</v>
      </c>
    </row>
    <row r="29" spans="1:6">
      <c r="A29" s="355" t="s">
        <v>744</v>
      </c>
      <c r="B29" s="355">
        <v>167</v>
      </c>
      <c r="C29" s="356"/>
      <c r="D29" s="356"/>
      <c r="E29" s="356"/>
      <c r="F29" s="356"/>
    </row>
    <row r="30" spans="1:6">
      <c r="A30" s="341" t="s">
        <v>745</v>
      </c>
      <c r="B30" s="341">
        <v>25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326536.29278154299</v>
      </c>
      <c r="E38" s="334">
        <v>1</v>
      </c>
      <c r="F38" s="334">
        <v>2773</v>
      </c>
    </row>
    <row r="39" spans="1:6">
      <c r="A39" s="348" t="s">
        <v>30</v>
      </c>
      <c r="B39" s="348" t="s">
        <v>31</v>
      </c>
      <c r="C39" s="334">
        <v>3020</v>
      </c>
      <c r="D39" s="334">
        <v>48230300.666740164</v>
      </c>
      <c r="E39" s="334">
        <v>5119</v>
      </c>
      <c r="F39" s="334">
        <v>20691172.84482133</v>
      </c>
    </row>
    <row r="40" spans="1:6">
      <c r="A40" s="348" t="s">
        <v>30</v>
      </c>
      <c r="B40" s="348" t="s">
        <v>29</v>
      </c>
      <c r="C40" s="334">
        <v>0</v>
      </c>
      <c r="D40" s="334">
        <v>0</v>
      </c>
      <c r="E40" s="334">
        <v>0</v>
      </c>
      <c r="F40" s="334">
        <v>0</v>
      </c>
    </row>
    <row r="41" spans="1:6">
      <c r="A41" s="348" t="s">
        <v>32</v>
      </c>
      <c r="B41" s="348" t="s">
        <v>33</v>
      </c>
      <c r="C41" s="334">
        <v>95</v>
      </c>
      <c r="D41" s="334">
        <v>2770523.75519307</v>
      </c>
      <c r="E41" s="334">
        <v>264</v>
      </c>
      <c r="F41" s="334">
        <v>3491067.1102996999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6608158.6785042696</v>
      </c>
      <c r="E44" s="334">
        <v>56</v>
      </c>
      <c r="F44" s="334">
        <v>9527187.3955518492</v>
      </c>
    </row>
    <row r="45" spans="1:6">
      <c r="A45" s="348" t="s">
        <v>32</v>
      </c>
      <c r="B45" s="348" t="s">
        <v>37</v>
      </c>
      <c r="C45" s="334">
        <v>0</v>
      </c>
      <c r="D45" s="334">
        <v>0</v>
      </c>
      <c r="E45" s="334">
        <v>3</v>
      </c>
      <c r="F45" s="334">
        <v>86436.334336683096</v>
      </c>
    </row>
    <row r="46" spans="1:6">
      <c r="A46" s="348" t="s">
        <v>32</v>
      </c>
      <c r="B46" s="348" t="s">
        <v>38</v>
      </c>
      <c r="C46" s="334">
        <v>0</v>
      </c>
      <c r="D46" s="334">
        <v>0</v>
      </c>
      <c r="E46" s="334">
        <v>0</v>
      </c>
      <c r="F46" s="334">
        <v>0</v>
      </c>
    </row>
    <row r="47" spans="1:6">
      <c r="A47" s="348" t="s">
        <v>32</v>
      </c>
      <c r="B47" s="348" t="s">
        <v>39</v>
      </c>
      <c r="C47" s="334">
        <v>0</v>
      </c>
      <c r="D47" s="334">
        <v>0</v>
      </c>
      <c r="E47" s="334">
        <v>6</v>
      </c>
      <c r="F47" s="334">
        <v>694166.81293957704</v>
      </c>
    </row>
    <row r="48" spans="1:6">
      <c r="A48" s="348" t="s">
        <v>32</v>
      </c>
      <c r="B48" s="348" t="s">
        <v>29</v>
      </c>
      <c r="C48" s="334">
        <v>22</v>
      </c>
      <c r="D48" s="334">
        <v>37804747.986305602</v>
      </c>
      <c r="E48" s="334">
        <v>35</v>
      </c>
      <c r="F48" s="334">
        <v>13910315.4154379</v>
      </c>
    </row>
    <row r="49" spans="1:6">
      <c r="A49" s="348" t="s">
        <v>32</v>
      </c>
      <c r="B49" s="348" t="s">
        <v>40</v>
      </c>
      <c r="C49" s="334">
        <v>0</v>
      </c>
      <c r="D49" s="334">
        <v>0</v>
      </c>
      <c r="E49" s="334">
        <v>0</v>
      </c>
      <c r="F49" s="334">
        <v>0</v>
      </c>
    </row>
    <row r="50" spans="1:6">
      <c r="A50" s="348" t="s">
        <v>32</v>
      </c>
      <c r="B50" s="348" t="s">
        <v>41</v>
      </c>
      <c r="C50" s="334">
        <v>12</v>
      </c>
      <c r="D50" s="334">
        <v>996508.34473799495</v>
      </c>
      <c r="E50" s="334">
        <v>20</v>
      </c>
      <c r="F50" s="334">
        <v>3988624.5905460501</v>
      </c>
    </row>
    <row r="51" spans="1:6">
      <c r="A51" s="348" t="s">
        <v>42</v>
      </c>
      <c r="B51" s="348" t="s">
        <v>43</v>
      </c>
      <c r="C51" s="334">
        <v>16</v>
      </c>
      <c r="D51" s="334">
        <v>2538281.2094195699</v>
      </c>
      <c r="E51" s="334">
        <v>318</v>
      </c>
      <c r="F51" s="334">
        <v>9211369.6669243798</v>
      </c>
    </row>
    <row r="52" spans="1:6">
      <c r="A52" s="348" t="s">
        <v>42</v>
      </c>
      <c r="B52" s="348" t="s">
        <v>29</v>
      </c>
      <c r="C52" s="334">
        <v>5</v>
      </c>
      <c r="D52" s="334">
        <v>1605558.7591300199</v>
      </c>
      <c r="E52" s="334">
        <v>5</v>
      </c>
      <c r="F52" s="334">
        <v>132234.27145921701</v>
      </c>
    </row>
    <row r="53" spans="1:6">
      <c r="A53" s="348" t="s">
        <v>44</v>
      </c>
      <c r="B53" s="348" t="s">
        <v>45</v>
      </c>
      <c r="C53" s="334">
        <v>89</v>
      </c>
      <c r="D53" s="334">
        <v>2568872.1195203401</v>
      </c>
      <c r="E53" s="334">
        <v>203</v>
      </c>
      <c r="F53" s="334">
        <v>813070.02634985396</v>
      </c>
    </row>
    <row r="54" spans="1:6">
      <c r="A54" s="348" t="s">
        <v>46</v>
      </c>
      <c r="B54" s="348" t="s">
        <v>47</v>
      </c>
      <c r="C54" s="334">
        <v>0</v>
      </c>
      <c r="D54" s="334">
        <v>0</v>
      </c>
      <c r="E54" s="334">
        <v>1</v>
      </c>
      <c r="F54" s="334">
        <v>968005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48</v>
      </c>
      <c r="D57" s="334">
        <v>3900216.46749915</v>
      </c>
      <c r="E57" s="334">
        <v>132</v>
      </c>
      <c r="F57" s="334">
        <v>2366702.9112385302</v>
      </c>
    </row>
    <row r="58" spans="1:6">
      <c r="A58" s="348" t="s">
        <v>49</v>
      </c>
      <c r="B58" s="348" t="s">
        <v>51</v>
      </c>
      <c r="C58" s="334">
        <v>16</v>
      </c>
      <c r="D58" s="334">
        <v>608350.12909910502</v>
      </c>
      <c r="E58" s="334">
        <v>45</v>
      </c>
      <c r="F58" s="334">
        <v>457957.234393452</v>
      </c>
    </row>
    <row r="59" spans="1:6">
      <c r="A59" s="348" t="s">
        <v>49</v>
      </c>
      <c r="B59" s="348" t="s">
        <v>52</v>
      </c>
      <c r="C59" s="334">
        <v>54</v>
      </c>
      <c r="D59" s="334">
        <v>1612319.5693651901</v>
      </c>
      <c r="E59" s="334">
        <v>189</v>
      </c>
      <c r="F59" s="334">
        <v>5246796.1670650598</v>
      </c>
    </row>
    <row r="60" spans="1:6">
      <c r="A60" s="348" t="s">
        <v>49</v>
      </c>
      <c r="B60" s="348" t="s">
        <v>53</v>
      </c>
      <c r="C60" s="334">
        <v>36</v>
      </c>
      <c r="D60" s="334">
        <v>1399833.3197971701</v>
      </c>
      <c r="E60" s="334">
        <v>63</v>
      </c>
      <c r="F60" s="334">
        <v>1175478.08399007</v>
      </c>
    </row>
    <row r="61" spans="1:6">
      <c r="A61" s="348" t="s">
        <v>49</v>
      </c>
      <c r="B61" s="348" t="s">
        <v>54</v>
      </c>
      <c r="C61" s="334">
        <v>69</v>
      </c>
      <c r="D61" s="334">
        <v>2818958.9533971399</v>
      </c>
      <c r="E61" s="334">
        <v>198</v>
      </c>
      <c r="F61" s="334">
        <v>3399750.3412688798</v>
      </c>
    </row>
    <row r="62" spans="1:6">
      <c r="A62" s="348" t="s">
        <v>49</v>
      </c>
      <c r="B62" s="348" t="s">
        <v>55</v>
      </c>
      <c r="C62" s="334">
        <v>8</v>
      </c>
      <c r="D62" s="334">
        <v>442973.96989805601</v>
      </c>
      <c r="E62" s="334">
        <v>14</v>
      </c>
      <c r="F62" s="334">
        <v>130976.893144092</v>
      </c>
    </row>
    <row r="63" spans="1:6">
      <c r="A63" s="348" t="s">
        <v>49</v>
      </c>
      <c r="B63" s="348" t="s">
        <v>29</v>
      </c>
      <c r="C63" s="334">
        <v>96</v>
      </c>
      <c r="D63" s="334">
        <v>3578627.3640720998</v>
      </c>
      <c r="E63" s="334">
        <v>88</v>
      </c>
      <c r="F63" s="334">
        <v>2013673.9475648501</v>
      </c>
    </row>
    <row r="64" spans="1:6">
      <c r="A64" s="348" t="s">
        <v>56</v>
      </c>
      <c r="B64" s="348" t="s">
        <v>57</v>
      </c>
      <c r="C64" s="334">
        <v>0</v>
      </c>
      <c r="D64" s="334">
        <v>0</v>
      </c>
      <c r="E64" s="334">
        <v>0</v>
      </c>
      <c r="F64" s="334">
        <v>0</v>
      </c>
    </row>
    <row r="65" spans="1:6">
      <c r="A65" s="348" t="s">
        <v>56</v>
      </c>
      <c r="B65" s="348" t="s">
        <v>29</v>
      </c>
      <c r="C65" s="334">
        <v>2</v>
      </c>
      <c r="D65" s="334">
        <v>48619.004686104803</v>
      </c>
      <c r="E65" s="334">
        <v>3</v>
      </c>
      <c r="F65" s="334">
        <v>28972.334193311399</v>
      </c>
    </row>
    <row r="66" spans="1:6">
      <c r="A66" s="348" t="s">
        <v>56</v>
      </c>
      <c r="B66" s="348" t="s">
        <v>58</v>
      </c>
      <c r="C66" s="334">
        <v>0</v>
      </c>
      <c r="D66" s="334">
        <v>0</v>
      </c>
      <c r="E66" s="334">
        <v>6</v>
      </c>
      <c r="F66" s="334">
        <v>40722.942674432401</v>
      </c>
    </row>
    <row r="67" spans="1:6">
      <c r="A67" s="355" t="s">
        <v>56</v>
      </c>
      <c r="B67" s="355" t="s">
        <v>59</v>
      </c>
      <c r="C67" s="334">
        <v>0</v>
      </c>
      <c r="D67" s="334">
        <v>0</v>
      </c>
      <c r="E67" s="334">
        <v>0</v>
      </c>
      <c r="F67" s="334">
        <v>0</v>
      </c>
    </row>
    <row r="68" spans="1:6">
      <c r="A68" s="341" t="s">
        <v>56</v>
      </c>
      <c r="B68" s="341" t="s">
        <v>60</v>
      </c>
      <c r="C68" s="334">
        <v>8</v>
      </c>
      <c r="D68" s="334">
        <v>166389.150692397</v>
      </c>
      <c r="E68" s="334">
        <v>26</v>
      </c>
      <c r="F68" s="334">
        <v>1222376.1479623599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39112766</v>
      </c>
      <c r="E73" s="476">
        <v>29344811.037241381</v>
      </c>
    </row>
    <row r="74" spans="1:6">
      <c r="A74" s="348" t="s">
        <v>64</v>
      </c>
      <c r="B74" s="348" t="s">
        <v>657</v>
      </c>
      <c r="C74" s="1272" t="s">
        <v>659</v>
      </c>
      <c r="D74" s="476">
        <v>4846786.0316498969</v>
      </c>
      <c r="E74" s="476">
        <v>3449740.3156009056</v>
      </c>
    </row>
    <row r="75" spans="1:6">
      <c r="A75" s="348" t="s">
        <v>65</v>
      </c>
      <c r="B75" s="348" t="s">
        <v>656</v>
      </c>
      <c r="C75" s="1272" t="s">
        <v>660</v>
      </c>
      <c r="D75" s="476">
        <v>22554904</v>
      </c>
      <c r="E75" s="476">
        <v>16663800.225597074</v>
      </c>
    </row>
    <row r="76" spans="1:6">
      <c r="A76" s="348" t="s">
        <v>65</v>
      </c>
      <c r="B76" s="348" t="s">
        <v>657</v>
      </c>
      <c r="C76" s="1272" t="s">
        <v>661</v>
      </c>
      <c r="D76" s="476">
        <v>1287142.0316498964</v>
      </c>
      <c r="E76" s="476">
        <v>859627.1125818732</v>
      </c>
    </row>
    <row r="77" spans="1:6">
      <c r="A77" s="348" t="s">
        <v>66</v>
      </c>
      <c r="B77" s="348" t="s">
        <v>656</v>
      </c>
      <c r="C77" s="1272" t="s">
        <v>662</v>
      </c>
      <c r="D77" s="476">
        <v>10486238</v>
      </c>
      <c r="E77" s="476">
        <v>11333190.172223361</v>
      </c>
    </row>
    <row r="78" spans="1:6">
      <c r="A78" s="341" t="s">
        <v>66</v>
      </c>
      <c r="B78" s="341" t="s">
        <v>657</v>
      </c>
      <c r="C78" s="341" t="s">
        <v>663</v>
      </c>
      <c r="D78" s="1273">
        <v>1453189</v>
      </c>
      <c r="E78" s="1273">
        <v>1523444.6295141554</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182199.93670020698</v>
      </c>
      <c r="C83" s="476">
        <v>182047.44781575142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4764.1738838778328</v>
      </c>
    </row>
    <row r="92" spans="1:6">
      <c r="A92" s="341" t="s">
        <v>69</v>
      </c>
      <c r="B92" s="342">
        <v>3611.0290965150257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1717</v>
      </c>
    </row>
    <row r="98" spans="1:6">
      <c r="A98" s="348" t="s">
        <v>72</v>
      </c>
      <c r="B98" s="334">
        <v>0</v>
      </c>
    </row>
    <row r="99" spans="1:6">
      <c r="A99" s="348" t="s">
        <v>73</v>
      </c>
      <c r="B99" s="334">
        <v>325</v>
      </c>
    </row>
    <row r="100" spans="1:6">
      <c r="A100" s="348" t="s">
        <v>74</v>
      </c>
      <c r="B100" s="334">
        <v>430</v>
      </c>
    </row>
    <row r="101" spans="1:6">
      <c r="A101" s="348" t="s">
        <v>75</v>
      </c>
      <c r="B101" s="334">
        <v>213</v>
      </c>
    </row>
    <row r="102" spans="1:6">
      <c r="A102" s="348" t="s">
        <v>76</v>
      </c>
      <c r="B102" s="334">
        <v>98</v>
      </c>
    </row>
    <row r="103" spans="1:6">
      <c r="A103" s="348" t="s">
        <v>77</v>
      </c>
      <c r="B103" s="334">
        <v>235</v>
      </c>
    </row>
    <row r="104" spans="1:6">
      <c r="A104" s="348" t="s">
        <v>78</v>
      </c>
      <c r="B104" s="334">
        <v>1832</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37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164</v>
      </c>
    </row>
    <row r="130" spans="1:6">
      <c r="A130" s="348" t="s">
        <v>295</v>
      </c>
      <c r="B130" s="334">
        <v>4</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82284.474491346511</v>
      </c>
      <c r="C3" s="43" t="s">
        <v>170</v>
      </c>
      <c r="D3" s="43"/>
      <c r="E3" s="154"/>
      <c r="F3" s="43"/>
      <c r="G3" s="43"/>
      <c r="H3" s="43"/>
      <c r="I3" s="43"/>
      <c r="J3" s="43"/>
      <c r="K3" s="96"/>
    </row>
    <row r="4" spans="1:11">
      <c r="A4" s="383" t="s">
        <v>171</v>
      </c>
      <c r="B4" s="49">
        <f>IF(ISERROR('SEAP template'!B69),0,'SEAP template'!B69)</f>
        <v>8375.2029803928581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0.19850584335491533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968.005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968.005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0.19850584335491533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192.15464889677483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20691.172844821329</v>
      </c>
      <c r="C5" s="17">
        <f>IF(ISERROR('Eigen informatie GS &amp; warmtenet'!B57),0,'Eigen informatie GS &amp; warmtenet'!B57)</f>
        <v>0</v>
      </c>
      <c r="D5" s="30">
        <f>(SUM(HH_hh_gas_kWh,HH_rest_gas_kWh)/1000)*0.902</f>
        <v>43503.731201399627</v>
      </c>
      <c r="E5" s="17">
        <f>B46*B57</f>
        <v>13286.439446872591</v>
      </c>
      <c r="F5" s="17">
        <f>B51*B62</f>
        <v>17068.147382736825</v>
      </c>
      <c r="G5" s="18"/>
      <c r="H5" s="17"/>
      <c r="I5" s="17"/>
      <c r="J5" s="17">
        <f>B50*B61+C50*C61</f>
        <v>3691.7562335016828</v>
      </c>
      <c r="K5" s="17"/>
      <c r="L5" s="17"/>
      <c r="M5" s="17"/>
      <c r="N5" s="17">
        <f>B48*B59+C48*C59</f>
        <v>29675.464333796965</v>
      </c>
      <c r="O5" s="17">
        <f>B69*B70*B71</f>
        <v>314.23</v>
      </c>
      <c r="P5" s="17">
        <f>B77*B78*B79/1000-B77*B78*B79/1000/B80</f>
        <v>819.86666666666667</v>
      </c>
    </row>
    <row r="6" spans="1:16">
      <c r="A6" s="16" t="s">
        <v>621</v>
      </c>
      <c r="B6" s="843">
        <f>kWh_PV_kleiner_dan_10kW</f>
        <v>4764.1738838778328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25455.346728699162</v>
      </c>
      <c r="C8" s="21">
        <f>C5</f>
        <v>0</v>
      </c>
      <c r="D8" s="21">
        <f>D5</f>
        <v>43503.731201399627</v>
      </c>
      <c r="E8" s="21">
        <f>E5</f>
        <v>13286.439446872591</v>
      </c>
      <c r="F8" s="21">
        <f>F5</f>
        <v>17068.147382736825</v>
      </c>
      <c r="G8" s="21"/>
      <c r="H8" s="21"/>
      <c r="I8" s="21"/>
      <c r="J8" s="21">
        <f>J5</f>
        <v>3691.7562335016828</v>
      </c>
      <c r="K8" s="21"/>
      <c r="L8" s="21">
        <f>L5</f>
        <v>0</v>
      </c>
      <c r="M8" s="21">
        <f>M5</f>
        <v>0</v>
      </c>
      <c r="N8" s="21">
        <f>N5</f>
        <v>29675.464333796965</v>
      </c>
      <c r="O8" s="21">
        <f>O5</f>
        <v>314.23</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0.19850584335491533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5053.0350702722126</v>
      </c>
      <c r="C12" s="23">
        <f ca="1">C10*C8</f>
        <v>0</v>
      </c>
      <c r="D12" s="23">
        <f>D8*D10</f>
        <v>8787.7537026827249</v>
      </c>
      <c r="E12" s="23">
        <f>E10*E8</f>
        <v>3016.0217544400784</v>
      </c>
      <c r="F12" s="23">
        <f>F10*F8</f>
        <v>4557.1953511907323</v>
      </c>
      <c r="G12" s="23"/>
      <c r="H12" s="23"/>
      <c r="I12" s="23"/>
      <c r="J12" s="23">
        <f>J10*J8</f>
        <v>1306.8817066595957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1717</v>
      </c>
      <c r="C18" s="166" t="s">
        <v>111</v>
      </c>
      <c r="D18" s="228"/>
      <c r="E18" s="15"/>
    </row>
    <row r="19" spans="1:7">
      <c r="A19" s="171" t="s">
        <v>72</v>
      </c>
      <c r="B19" s="37">
        <f>aantalw2001_ander</f>
        <v>0</v>
      </c>
      <c r="C19" s="166" t="s">
        <v>111</v>
      </c>
      <c r="D19" s="229"/>
      <c r="E19" s="15"/>
    </row>
    <row r="20" spans="1:7">
      <c r="A20" s="171" t="s">
        <v>73</v>
      </c>
      <c r="B20" s="37">
        <f>aantalw2001_propaan</f>
        <v>325</v>
      </c>
      <c r="C20" s="167">
        <f>IF(ISERROR(B20/SUM($B$20,$B$21,$B$22)*100),0,B20/SUM($B$20,$B$21,$B$22)*100)</f>
        <v>33.574380165289256</v>
      </c>
      <c r="D20" s="229"/>
      <c r="E20" s="15"/>
    </row>
    <row r="21" spans="1:7">
      <c r="A21" s="171" t="s">
        <v>74</v>
      </c>
      <c r="B21" s="37">
        <f>aantalw2001_elektriciteit</f>
        <v>430</v>
      </c>
      <c r="C21" s="167">
        <f>IF(ISERROR(B21/SUM($B$20,$B$21,$B$22)*100),0,B21/SUM($B$20,$B$21,$B$22)*100)</f>
        <v>44.421487603305785</v>
      </c>
      <c r="D21" s="229"/>
      <c r="E21" s="15"/>
    </row>
    <row r="22" spans="1:7">
      <c r="A22" s="171" t="s">
        <v>75</v>
      </c>
      <c r="B22" s="37">
        <f>aantalw2001_hout</f>
        <v>213</v>
      </c>
      <c r="C22" s="167">
        <f>IF(ISERROR(B22/SUM($B$20,$B$21,$B$22)*100),0,B22/SUM($B$20,$B$21,$B$22)*100)</f>
        <v>22.004132231404956</v>
      </c>
      <c r="D22" s="229"/>
      <c r="E22" s="15"/>
    </row>
    <row r="23" spans="1:7">
      <c r="A23" s="171" t="s">
        <v>76</v>
      </c>
      <c r="B23" s="37">
        <f>aantalw2001_niet_gespec</f>
        <v>98</v>
      </c>
      <c r="C23" s="166" t="s">
        <v>111</v>
      </c>
      <c r="D23" s="228"/>
      <c r="E23" s="15"/>
    </row>
    <row r="24" spans="1:7">
      <c r="A24" s="171" t="s">
        <v>77</v>
      </c>
      <c r="B24" s="37">
        <f>aantalw2001_steenkool</f>
        <v>235</v>
      </c>
      <c r="C24" s="166" t="s">
        <v>111</v>
      </c>
      <c r="D24" s="229"/>
      <c r="E24" s="15"/>
    </row>
    <row r="25" spans="1:7">
      <c r="A25" s="171" t="s">
        <v>78</v>
      </c>
      <c r="B25" s="37">
        <f>aantalw2001_stookolie</f>
        <v>1832</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5696</v>
      </c>
      <c r="C28" s="36"/>
      <c r="D28" s="228"/>
    </row>
    <row r="29" spans="1:7" s="15" customFormat="1">
      <c r="A29" s="230" t="s">
        <v>795</v>
      </c>
      <c r="B29" s="37">
        <f>SUM(HH_hh_gas_aantal,HH_rest_gas_aantal)</f>
        <v>3020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3020</v>
      </c>
      <c r="C32" s="167">
        <f>IF(ISERROR(B32/SUM($B$32,$B$34,$B$35,$B$36,$B$38,$B$39)*100),0,B32/SUM($B$32,$B$34,$B$35,$B$36,$B$38,$B$39)*100)</f>
        <v>53.422961259508227</v>
      </c>
      <c r="D32" s="233"/>
      <c r="G32" s="15"/>
    </row>
    <row r="33" spans="1:7">
      <c r="A33" s="171" t="s">
        <v>72</v>
      </c>
      <c r="B33" s="34" t="s">
        <v>111</v>
      </c>
      <c r="C33" s="167"/>
      <c r="D33" s="233"/>
      <c r="G33" s="15"/>
    </row>
    <row r="34" spans="1:7">
      <c r="A34" s="171" t="s">
        <v>73</v>
      </c>
      <c r="B34" s="33">
        <f>IF((($B$28-$B$32-$B$39-$B$77-$B$38)*C20/100)&lt;0,0,($B$28-$B$32-$B$39-$B$77-$B$38)*C20/100)</f>
        <v>627.50516528925618</v>
      </c>
      <c r="C34" s="167">
        <f>IF(ISERROR(B34/SUM($B$32,$B$34,$B$35,$B$36,$B$38,$B$39)*100),0,B34/SUM($B$32,$B$34,$B$35,$B$36,$B$38,$B$39)*100)</f>
        <v>11.100392097811005</v>
      </c>
      <c r="D34" s="233"/>
      <c r="G34" s="15"/>
    </row>
    <row r="35" spans="1:7">
      <c r="A35" s="171" t="s">
        <v>74</v>
      </c>
      <c r="B35" s="33">
        <f>IF((($B$28-$B$32-$B$39-$B$77-$B$38)*C21/100)&lt;0,0,($B$28-$B$32-$B$39-$B$77-$B$38)*C21/100)</f>
        <v>830.23760330578511</v>
      </c>
      <c r="C35" s="167">
        <f>IF(ISERROR(B35/SUM($B$32,$B$34,$B$35,$B$36,$B$38,$B$39)*100),0,B35/SUM($B$32,$B$34,$B$35,$B$36,$B$38,$B$39)*100)</f>
        <v>14.686672621719177</v>
      </c>
      <c r="D35" s="233"/>
      <c r="G35" s="15"/>
    </row>
    <row r="36" spans="1:7">
      <c r="A36" s="171" t="s">
        <v>75</v>
      </c>
      <c r="B36" s="33">
        <f>IF((($B$28-$B$32-$B$39-$B$77-$B$38)*C22/100)&lt;0,0,($B$28-$B$32-$B$39-$B$77-$B$38)*C22/100)</f>
        <v>411.25723140495865</v>
      </c>
      <c r="C36" s="167">
        <f>IF(ISERROR(B36/SUM($B$32,$B$34,$B$35,$B$36,$B$38,$B$39)*100),0,B36/SUM($B$32,$B$34,$B$35,$B$36,$B$38,$B$39)*100)</f>
        <v>7.2750262056422903</v>
      </c>
      <c r="D36" s="233"/>
      <c r="G36" s="15"/>
    </row>
    <row r="37" spans="1:7">
      <c r="A37" s="171" t="s">
        <v>76</v>
      </c>
      <c r="B37" s="34" t="s">
        <v>111</v>
      </c>
      <c r="C37" s="167"/>
      <c r="D37" s="173"/>
      <c r="G37" s="15"/>
    </row>
    <row r="38" spans="1:7">
      <c r="A38" s="171" t="s">
        <v>77</v>
      </c>
      <c r="B38" s="33">
        <f>IF((B24-(B29-B18)*0.1)&lt;0,0,B24-(B29-B18)*0.1)</f>
        <v>104.69999999999999</v>
      </c>
      <c r="C38" s="167">
        <f>IF(ISERROR(B38/SUM($B$32,$B$34,$B$35,$B$36,$B$38,$B$39)*100),0,B38/SUM($B$32,$B$34,$B$35,$B$36,$B$38,$B$39)*100)</f>
        <v>1.8521139218114273</v>
      </c>
      <c r="D38" s="234"/>
      <c r="G38" s="15"/>
    </row>
    <row r="39" spans="1:7">
      <c r="A39" s="171" t="s">
        <v>78</v>
      </c>
      <c r="B39" s="33">
        <f>IF((B25-(B29-B18))&lt;0,0,B25-(B29-B18)*0.9)</f>
        <v>659.3</v>
      </c>
      <c r="C39" s="167">
        <f>IF(ISERROR(B39/SUM($B$32,$B$34,$B$35,$B$36,$B$38,$B$39)*100),0,B39/SUM($B$32,$B$34,$B$35,$B$36,$B$38,$B$39)*100)</f>
        <v>11.662833893507871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3020</v>
      </c>
      <c r="C44" s="34" t="s">
        <v>111</v>
      </c>
      <c r="D44" s="174"/>
    </row>
    <row r="45" spans="1:7">
      <c r="A45" s="171" t="s">
        <v>72</v>
      </c>
      <c r="B45" s="33" t="str">
        <f t="shared" si="0"/>
        <v>-</v>
      </c>
      <c r="C45" s="34" t="s">
        <v>111</v>
      </c>
      <c r="D45" s="174"/>
    </row>
    <row r="46" spans="1:7">
      <c r="A46" s="171" t="s">
        <v>73</v>
      </c>
      <c r="B46" s="33">
        <f t="shared" si="0"/>
        <v>627.50516528925618</v>
      </c>
      <c r="C46" s="34" t="s">
        <v>111</v>
      </c>
      <c r="D46" s="174"/>
    </row>
    <row r="47" spans="1:7">
      <c r="A47" s="171" t="s">
        <v>74</v>
      </c>
      <c r="B47" s="33">
        <f t="shared" si="0"/>
        <v>830.23760330578511</v>
      </c>
      <c r="C47" s="34" t="s">
        <v>111</v>
      </c>
      <c r="D47" s="174"/>
    </row>
    <row r="48" spans="1:7">
      <c r="A48" s="171" t="s">
        <v>75</v>
      </c>
      <c r="B48" s="33">
        <f t="shared" si="0"/>
        <v>411.25723140495865</v>
      </c>
      <c r="C48" s="33">
        <f>B48*10</f>
        <v>4112.5723140495866</v>
      </c>
      <c r="D48" s="234"/>
    </row>
    <row r="49" spans="1:6">
      <c r="A49" s="171" t="s">
        <v>76</v>
      </c>
      <c r="B49" s="33" t="str">
        <f t="shared" si="0"/>
        <v>-</v>
      </c>
      <c r="C49" s="34" t="s">
        <v>111</v>
      </c>
      <c r="D49" s="234"/>
    </row>
    <row r="50" spans="1:6">
      <c r="A50" s="171" t="s">
        <v>77</v>
      </c>
      <c r="B50" s="33">
        <f t="shared" si="0"/>
        <v>104.69999999999999</v>
      </c>
      <c r="C50" s="33">
        <f>B50*2</f>
        <v>209.39999999999998</v>
      </c>
      <c r="D50" s="234"/>
    </row>
    <row r="51" spans="1:6">
      <c r="A51" s="171" t="s">
        <v>78</v>
      </c>
      <c r="B51" s="33">
        <f t="shared" si="0"/>
        <v>659.3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14791.335578664935</v>
      </c>
      <c r="C5" s="17">
        <f>IF(ISERROR('Eigen informatie GS &amp; warmtenet'!B58),0,'Eigen informatie GS &amp; warmtenet'!B58)</f>
        <v>0</v>
      </c>
      <c r="D5" s="30">
        <f>SUM(D6:D12)</f>
        <v>12953.874355361375</v>
      </c>
      <c r="E5" s="17">
        <f>SUM(E6:E12)</f>
        <v>236.98630471161727</v>
      </c>
      <c r="F5" s="17">
        <f>SUM(F6:F12)</f>
        <v>2728.7566817100192</v>
      </c>
      <c r="G5" s="18"/>
      <c r="H5" s="17"/>
      <c r="I5" s="17"/>
      <c r="J5" s="17">
        <f>SUM(J6:J12)</f>
        <v>5.6248005265886018E-2</v>
      </c>
      <c r="K5" s="17"/>
      <c r="L5" s="17"/>
      <c r="M5" s="17"/>
      <c r="N5" s="17">
        <f>SUM(N6:N12)</f>
        <v>2223.0411730325659</v>
      </c>
      <c r="O5" s="17">
        <f>B38*B39*B40</f>
        <v>6.2533333333333339</v>
      </c>
      <c r="P5" s="17">
        <f>B46*B47*B48/1000-B46*B47*B48/1000/B49</f>
        <v>0</v>
      </c>
      <c r="R5" s="32"/>
    </row>
    <row r="6" spans="1:18">
      <c r="A6" s="32" t="s">
        <v>54</v>
      </c>
      <c r="B6" s="37">
        <f>B26</f>
        <v>3399.7503412688798</v>
      </c>
      <c r="C6" s="33"/>
      <c r="D6" s="37">
        <f>IF(ISERROR(TER_kantoor_gas_kWh/1000),0,TER_kantoor_gas_kWh/1000)*0.902</f>
        <v>2542.7009759642201</v>
      </c>
      <c r="E6" s="33">
        <f>$C$26*'E Balans VL '!I12/100/3.6*1000000</f>
        <v>2.1308504399824461E-2</v>
      </c>
      <c r="F6" s="33">
        <f>$C$26*('E Balans VL '!L12+'E Balans VL '!N12)/100/3.6*1000000</f>
        <v>510.88747820785289</v>
      </c>
      <c r="G6" s="34"/>
      <c r="H6" s="33"/>
      <c r="I6" s="33"/>
      <c r="J6" s="33">
        <f>$C$26*('E Balans VL '!D12+'E Balans VL '!E12)/100/3.6*1000000</f>
        <v>0</v>
      </c>
      <c r="K6" s="33"/>
      <c r="L6" s="33"/>
      <c r="M6" s="33"/>
      <c r="N6" s="33">
        <f>$C$26*'E Balans VL '!Y12/100/3.6*1000000</f>
        <v>3.2513571331170352</v>
      </c>
      <c r="O6" s="33"/>
      <c r="P6" s="33"/>
      <c r="R6" s="32"/>
    </row>
    <row r="7" spans="1:18">
      <c r="A7" s="32" t="s">
        <v>53</v>
      </c>
      <c r="B7" s="37">
        <f t="shared" ref="B7:B12" si="0">B27</f>
        <v>1175.47808399007</v>
      </c>
      <c r="C7" s="33"/>
      <c r="D7" s="37">
        <f>IF(ISERROR(TER_horeca_gas_kWh/1000),0,TER_horeca_gas_kWh/1000)*0.902</f>
        <v>1262.6496544570475</v>
      </c>
      <c r="E7" s="33">
        <f>$C$27*'E Balans VL '!I9/100/3.6*1000000</f>
        <v>16.832650365466339</v>
      </c>
      <c r="F7" s="33">
        <f>$C$27*('E Balans VL '!L9+'E Balans VL '!N9)/100/3.6*1000000</f>
        <v>148.85429419395288</v>
      </c>
      <c r="G7" s="34"/>
      <c r="H7" s="33"/>
      <c r="I7" s="33"/>
      <c r="J7" s="33">
        <f>$C$27*('E Balans VL '!D9+'E Balans VL '!E9)/100/3.6*1000000</f>
        <v>0</v>
      </c>
      <c r="K7" s="33"/>
      <c r="L7" s="33"/>
      <c r="M7" s="33"/>
      <c r="N7" s="33">
        <f>$C$27*'E Balans VL '!Y9/100/3.6*1000000</f>
        <v>0.33792403208010557</v>
      </c>
      <c r="O7" s="33"/>
      <c r="P7" s="33"/>
      <c r="R7" s="32"/>
    </row>
    <row r="8" spans="1:18">
      <c r="A8" s="6" t="s">
        <v>52</v>
      </c>
      <c r="B8" s="37">
        <f t="shared" si="0"/>
        <v>5246.7961670650602</v>
      </c>
      <c r="C8" s="33"/>
      <c r="D8" s="37">
        <f>IF(ISERROR(TER_handel_gas_kWh/1000),0,TER_handel_gas_kWh/1000)*0.902</f>
        <v>1454.3122515674015</v>
      </c>
      <c r="E8" s="33">
        <f>$C$28*'E Balans VL '!I13/100/3.6*1000000</f>
        <v>190.30064997353324</v>
      </c>
      <c r="F8" s="33">
        <f>$C$28*('E Balans VL '!L13+'E Balans VL '!N13)/100/3.6*1000000</f>
        <v>1010.5860689656432</v>
      </c>
      <c r="G8" s="34"/>
      <c r="H8" s="33"/>
      <c r="I8" s="33"/>
      <c r="J8" s="33">
        <f>$C$28*('E Balans VL '!D13+'E Balans VL '!E13)/100/3.6*1000000</f>
        <v>0</v>
      </c>
      <c r="K8" s="33"/>
      <c r="L8" s="33"/>
      <c r="M8" s="33"/>
      <c r="N8" s="33">
        <f>$C$28*'E Balans VL '!Y13/100/3.6*1000000</f>
        <v>7.268019925342128</v>
      </c>
      <c r="O8" s="33"/>
      <c r="P8" s="33"/>
      <c r="R8" s="32"/>
    </row>
    <row r="9" spans="1:18">
      <c r="A9" s="32" t="s">
        <v>51</v>
      </c>
      <c r="B9" s="37">
        <f t="shared" si="0"/>
        <v>457.95723439345198</v>
      </c>
      <c r="C9" s="33"/>
      <c r="D9" s="37">
        <f>IF(ISERROR(TER_gezond_gas_kWh/1000),0,TER_gezond_gas_kWh/1000)*0.902</f>
        <v>548.73181644739282</v>
      </c>
      <c r="E9" s="33">
        <f>$C$29*'E Balans VL '!I10/100/3.6*1000000</f>
        <v>2.8672644383861565E-2</v>
      </c>
      <c r="F9" s="33">
        <f>$C$29*('E Balans VL '!L10+'E Balans VL '!N10)/100/3.6*1000000</f>
        <v>68.030941516135442</v>
      </c>
      <c r="G9" s="34"/>
      <c r="H9" s="33"/>
      <c r="I9" s="33"/>
      <c r="J9" s="33">
        <f>$C$29*('E Balans VL '!D10+'E Balans VL '!E10)/100/3.6*1000000</f>
        <v>0</v>
      </c>
      <c r="K9" s="33"/>
      <c r="L9" s="33"/>
      <c r="M9" s="33"/>
      <c r="N9" s="33">
        <f>$C$29*'E Balans VL '!Y10/100/3.6*1000000</f>
        <v>7.0837266906937435</v>
      </c>
      <c r="O9" s="33"/>
      <c r="P9" s="33"/>
      <c r="R9" s="32"/>
    </row>
    <row r="10" spans="1:18">
      <c r="A10" s="32" t="s">
        <v>50</v>
      </c>
      <c r="B10" s="37">
        <f t="shared" si="0"/>
        <v>2366.7029112385303</v>
      </c>
      <c r="C10" s="33"/>
      <c r="D10" s="37">
        <f>IF(ISERROR(TER_ander_gas_kWh/1000),0,TER_ander_gas_kWh/1000)*0.902</f>
        <v>3517.9952536842334</v>
      </c>
      <c r="E10" s="33">
        <f>$C$30*'E Balans VL '!I14/100/3.6*1000000</f>
        <v>2.8210252985243818</v>
      </c>
      <c r="F10" s="33">
        <f>$C$30*('E Balans VL '!L14+'E Balans VL '!N14)/100/3.6*1000000</f>
        <v>619.23469692748915</v>
      </c>
      <c r="G10" s="34"/>
      <c r="H10" s="33"/>
      <c r="I10" s="33"/>
      <c r="J10" s="33">
        <f>$C$30*('E Balans VL '!D14+'E Balans VL '!E14)/100/3.6*1000000</f>
        <v>5.137184298373864E-2</v>
      </c>
      <c r="K10" s="33"/>
      <c r="L10" s="33"/>
      <c r="M10" s="33"/>
      <c r="N10" s="33">
        <f>$C$30*'E Balans VL '!Y14/100/3.6*1000000</f>
        <v>2009.7461998186968</v>
      </c>
      <c r="O10" s="33"/>
      <c r="P10" s="33"/>
      <c r="R10" s="32"/>
    </row>
    <row r="11" spans="1:18">
      <c r="A11" s="32" t="s">
        <v>55</v>
      </c>
      <c r="B11" s="37">
        <f t="shared" si="0"/>
        <v>130.976893144092</v>
      </c>
      <c r="C11" s="33"/>
      <c r="D11" s="37">
        <f>IF(ISERROR(TER_onderwijs_gas_kWh/1000),0,TER_onderwijs_gas_kWh/1000)*0.902</f>
        <v>399.56252084804652</v>
      </c>
      <c r="E11" s="33">
        <f>$C$31*'E Balans VL '!I11/100/3.6*1000000</f>
        <v>1.9762303591979749</v>
      </c>
      <c r="F11" s="33">
        <f>$C$31*('E Balans VL '!L11+'E Balans VL '!N11)/100/3.6*1000000</f>
        <v>22.949244096961635</v>
      </c>
      <c r="G11" s="34"/>
      <c r="H11" s="33"/>
      <c r="I11" s="33"/>
      <c r="J11" s="33">
        <f>$C$31*('E Balans VL '!D11+'E Balans VL '!E11)/100/3.6*1000000</f>
        <v>0</v>
      </c>
      <c r="K11" s="33"/>
      <c r="L11" s="33"/>
      <c r="M11" s="33"/>
      <c r="N11" s="33">
        <f>$C$31*'E Balans VL '!Y11/100/3.6*1000000</f>
        <v>0.36857893455008212</v>
      </c>
      <c r="O11" s="33"/>
      <c r="P11" s="33"/>
      <c r="R11" s="32"/>
    </row>
    <row r="12" spans="1:18">
      <c r="A12" s="32" t="s">
        <v>260</v>
      </c>
      <c r="B12" s="37">
        <f t="shared" si="0"/>
        <v>2013.6739475648501</v>
      </c>
      <c r="C12" s="33"/>
      <c r="D12" s="37">
        <f>IF(ISERROR(TER_rest_gas_kWh/1000),0,TER_rest_gas_kWh/1000)*0.902</f>
        <v>3227.9218823930341</v>
      </c>
      <c r="E12" s="33">
        <f>$C$32*'E Balans VL '!I8/100/3.6*1000000</f>
        <v>25.005767566111622</v>
      </c>
      <c r="F12" s="33">
        <f>$C$32*('E Balans VL '!L8+'E Balans VL '!N8)/100/3.6*1000000</f>
        <v>348.21395780198407</v>
      </c>
      <c r="G12" s="34"/>
      <c r="H12" s="33"/>
      <c r="I12" s="33"/>
      <c r="J12" s="33">
        <f>$C$32*('E Balans VL '!D8+'E Balans VL '!E8)/100/3.6*1000000</f>
        <v>4.8761622821473765E-3</v>
      </c>
      <c r="K12" s="33"/>
      <c r="L12" s="33"/>
      <c r="M12" s="33"/>
      <c r="N12" s="33">
        <f>$C$32*'E Balans VL '!Y8/100/3.6*1000000</f>
        <v>194.98536649808585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14791.335578664935</v>
      </c>
      <c r="C16" s="21">
        <f t="shared" ca="1" si="1"/>
        <v>0</v>
      </c>
      <c r="D16" s="21">
        <f t="shared" ca="1" si="1"/>
        <v>12953.874355361375</v>
      </c>
      <c r="E16" s="21">
        <f t="shared" si="1"/>
        <v>236.98630471161727</v>
      </c>
      <c r="F16" s="21">
        <f t="shared" ca="1" si="1"/>
        <v>2728.7566817100192</v>
      </c>
      <c r="G16" s="21">
        <f t="shared" si="1"/>
        <v>0</v>
      </c>
      <c r="H16" s="21">
        <f t="shared" si="1"/>
        <v>0</v>
      </c>
      <c r="I16" s="21">
        <f t="shared" si="1"/>
        <v>0</v>
      </c>
      <c r="J16" s="21">
        <f t="shared" si="1"/>
        <v>5.6248005265886018E-2</v>
      </c>
      <c r="K16" s="21">
        <f t="shared" si="1"/>
        <v>0</v>
      </c>
      <c r="L16" s="21">
        <f t="shared" ca="1" si="1"/>
        <v>0</v>
      </c>
      <c r="M16" s="21">
        <f t="shared" si="1"/>
        <v>0</v>
      </c>
      <c r="N16" s="21">
        <f t="shared" ca="1" si="1"/>
        <v>2223.0411730325659</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0.19850584335491533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2936.1665433884477</v>
      </c>
      <c r="C20" s="23">
        <f t="shared" ref="C20:P20" ca="1" si="2">C16*C18</f>
        <v>0</v>
      </c>
      <c r="D20" s="23">
        <f t="shared" ca="1" si="2"/>
        <v>2616.6826197829978</v>
      </c>
      <c r="E20" s="23">
        <f t="shared" si="2"/>
        <v>53.795891169537121</v>
      </c>
      <c r="F20" s="23">
        <f t="shared" ca="1" si="2"/>
        <v>728.5780340165752</v>
      </c>
      <c r="G20" s="23">
        <f t="shared" si="2"/>
        <v>0</v>
      </c>
      <c r="H20" s="23">
        <f t="shared" si="2"/>
        <v>0</v>
      </c>
      <c r="I20" s="23">
        <f t="shared" si="2"/>
        <v>0</v>
      </c>
      <c r="J20" s="23">
        <f t="shared" si="2"/>
        <v>1.9911793864123648E-2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3399.7503412688798</v>
      </c>
      <c r="C26" s="39">
        <f>IF(ISERROR(B26*3.6/1000000/'E Balans VL '!Z12*100),0,B26*3.6/1000000/'E Balans VL '!Z12*100)</f>
        <v>7.1865336574858149E-2</v>
      </c>
      <c r="D26" s="237" t="s">
        <v>754</v>
      </c>
      <c r="F26" s="6"/>
    </row>
    <row r="27" spans="1:18">
      <c r="A27" s="231" t="s">
        <v>53</v>
      </c>
      <c r="B27" s="33">
        <f>IF(ISERROR(TER_horeca_ele_kWh/1000),0,TER_horeca_ele_kWh/1000)</f>
        <v>1175.47808399007</v>
      </c>
      <c r="C27" s="39">
        <f>IF(ISERROR(B27*3.6/1000000/'E Balans VL '!Z9*100),0,B27*3.6/1000000/'E Balans VL '!Z9*100)</f>
        <v>9.2662499237888329E-2</v>
      </c>
      <c r="D27" s="237" t="s">
        <v>754</v>
      </c>
      <c r="F27" s="6"/>
    </row>
    <row r="28" spans="1:18">
      <c r="A28" s="171" t="s">
        <v>52</v>
      </c>
      <c r="B28" s="33">
        <f>IF(ISERROR(TER_handel_ele_kWh/1000),0,TER_handel_ele_kWh/1000)</f>
        <v>5246.7961670650602</v>
      </c>
      <c r="C28" s="39">
        <f>IF(ISERROR(B28*3.6/1000000/'E Balans VL '!Z13*100),0,B28*3.6/1000000/'E Balans VL '!Z13*100)</f>
        <v>0.15228322420026874</v>
      </c>
      <c r="D28" s="237" t="s">
        <v>754</v>
      </c>
      <c r="F28" s="6"/>
    </row>
    <row r="29" spans="1:18">
      <c r="A29" s="231" t="s">
        <v>51</v>
      </c>
      <c r="B29" s="33">
        <f>IF(ISERROR(TER_gezond_ele_kWh/1000),0,TER_gezond_ele_kWh/1000)</f>
        <v>457.95723439345198</v>
      </c>
      <c r="C29" s="39">
        <f>IF(ISERROR(B29*3.6/1000000/'E Balans VL '!Z10*100),0,B29*3.6/1000000/'E Balans VL '!Z10*100)</f>
        <v>4.8230416637914372E-2</v>
      </c>
      <c r="D29" s="237" t="s">
        <v>754</v>
      </c>
      <c r="F29" s="6"/>
    </row>
    <row r="30" spans="1:18">
      <c r="A30" s="231" t="s">
        <v>50</v>
      </c>
      <c r="B30" s="33">
        <f>IF(ISERROR(TER_ander_ele_kWh/1000),0,TER_ander_ele_kWh/1000)</f>
        <v>2366.7029112385303</v>
      </c>
      <c r="C30" s="39">
        <f>IF(ISERROR(B30*3.6/1000000/'E Balans VL '!Z14*100),0,B30*3.6/1000000/'E Balans VL '!Z14*100)</f>
        <v>0.17456852077826926</v>
      </c>
      <c r="D30" s="237" t="s">
        <v>754</v>
      </c>
      <c r="F30" s="6"/>
    </row>
    <row r="31" spans="1:18">
      <c r="A31" s="231" t="s">
        <v>55</v>
      </c>
      <c r="B31" s="33">
        <f>IF(ISERROR(TER_onderwijs_ele_kWh/1000),0,TER_onderwijs_ele_kWh/1000)</f>
        <v>130.976893144092</v>
      </c>
      <c r="C31" s="39">
        <f>IF(ISERROR(B31*3.6/1000000/'E Balans VL '!Z11*100),0,B31*3.6/1000000/'E Balans VL '!Z11*100)</f>
        <v>3.2527697886674485E-2</v>
      </c>
      <c r="D31" s="237" t="s">
        <v>754</v>
      </c>
    </row>
    <row r="32" spans="1:18">
      <c r="A32" s="231" t="s">
        <v>260</v>
      </c>
      <c r="B32" s="33">
        <f>IF(ISERROR(TER_rest_ele_kWh/1000),0,TER_rest_ele_kWh/1000)</f>
        <v>2013.6739475648501</v>
      </c>
      <c r="C32" s="39">
        <f>IF(ISERROR(B32*3.6/1000000/'E Balans VL '!Z8*100),0,B32*3.6/1000000/'E Balans VL '!Z8*100)</f>
        <v>1.6569863707998674E-2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31697.797659111755</v>
      </c>
      <c r="C5" s="17">
        <f>IF(ISERROR('Eigen informatie GS &amp; warmtenet'!B59),0,'Eigen informatie GS &amp; warmtenet'!B59)</f>
        <v>0</v>
      </c>
      <c r="D5" s="30">
        <f>SUM(D6:D15)</f>
        <v>43458.304765796318</v>
      </c>
      <c r="E5" s="17">
        <f>SUM(E6:E15)</f>
        <v>1888.0996195323528</v>
      </c>
      <c r="F5" s="17">
        <f>SUM(F6:F15)</f>
        <v>6754.1526354639936</v>
      </c>
      <c r="G5" s="18"/>
      <c r="H5" s="17"/>
      <c r="I5" s="17"/>
      <c r="J5" s="17">
        <f>SUM(J6:J15)</f>
        <v>50.048065033259931</v>
      </c>
      <c r="K5" s="17"/>
      <c r="L5" s="17"/>
      <c r="M5" s="17"/>
      <c r="N5" s="17">
        <f>SUM(N6:N15)</f>
        <v>6721.6812767533684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9527.1873955518495</v>
      </c>
      <c r="C8" s="33"/>
      <c r="D8" s="37">
        <f>IF( ISERROR(IND_metaal_Gas_kWH/1000),0,IND_metaal_Gas_kWH/1000)*0.902</f>
        <v>5960.5591280108511</v>
      </c>
      <c r="E8" s="33">
        <f>C30*'E Balans VL '!I18/100/3.6*1000000</f>
        <v>87.593286657006615</v>
      </c>
      <c r="F8" s="33">
        <f>C30*'E Balans VL '!L18/100/3.6*1000000+C30*'E Balans VL '!N18/100/3.6*1000000</f>
        <v>893.3329855267192</v>
      </c>
      <c r="G8" s="34"/>
      <c r="H8" s="33"/>
      <c r="I8" s="33"/>
      <c r="J8" s="40">
        <f>C30*'E Balans VL '!D18/100/3.6*1000000+C30*'E Balans VL '!E18/100/3.6*1000000</f>
        <v>0</v>
      </c>
      <c r="K8" s="33"/>
      <c r="L8" s="33"/>
      <c r="M8" s="33"/>
      <c r="N8" s="33">
        <f>C30*'E Balans VL '!Y18/100/3.6*1000000</f>
        <v>135.92107253772895</v>
      </c>
      <c r="O8" s="33"/>
      <c r="P8" s="33"/>
      <c r="R8" s="32"/>
    </row>
    <row r="9" spans="1:18">
      <c r="A9" s="6" t="s">
        <v>33</v>
      </c>
      <c r="B9" s="37">
        <f t="shared" si="0"/>
        <v>3491.0671102996998</v>
      </c>
      <c r="C9" s="33"/>
      <c r="D9" s="37">
        <f>IF( ISERROR(IND_andere_gas_kWh/1000),0,IND_andere_gas_kWh/1000)*0.902</f>
        <v>2499.0124271841491</v>
      </c>
      <c r="E9" s="33">
        <f>C31*'E Balans VL '!I19/100/3.6*1000000</f>
        <v>1020.5068794010431</v>
      </c>
      <c r="F9" s="33">
        <f>C31*'E Balans VL '!L19/100/3.6*1000000+C31*'E Balans VL '!N19/100/3.6*1000000</f>
        <v>2805.3366726252493</v>
      </c>
      <c r="G9" s="34"/>
      <c r="H9" s="33"/>
      <c r="I9" s="33"/>
      <c r="J9" s="40">
        <f>C31*'E Balans VL '!D19/100/3.6*1000000+C31*'E Balans VL '!E19/100/3.6*1000000</f>
        <v>0</v>
      </c>
      <c r="K9" s="33"/>
      <c r="L9" s="33"/>
      <c r="M9" s="33"/>
      <c r="N9" s="33">
        <f>C31*'E Balans VL '!Y19/100/3.6*1000000</f>
        <v>1153.5027158551873</v>
      </c>
      <c r="O9" s="33"/>
      <c r="P9" s="33"/>
      <c r="R9" s="32"/>
    </row>
    <row r="10" spans="1:18">
      <c r="A10" s="6" t="s">
        <v>41</v>
      </c>
      <c r="B10" s="37">
        <f t="shared" si="0"/>
        <v>3988.6245905460501</v>
      </c>
      <c r="C10" s="33"/>
      <c r="D10" s="37">
        <f>IF( ISERROR(IND_voed_gas_kWh/1000),0,IND_voed_gas_kWh/1000)*0.902</f>
        <v>898.85052695367153</v>
      </c>
      <c r="E10" s="33">
        <f>C32*'E Balans VL '!I20/100/3.6*1000000</f>
        <v>8.4379971656569221</v>
      </c>
      <c r="F10" s="33">
        <f>C32*'E Balans VL '!L20/100/3.6*1000000+C32*'E Balans VL '!N20/100/3.6*1000000</f>
        <v>253.60082572746123</v>
      </c>
      <c r="G10" s="34"/>
      <c r="H10" s="33"/>
      <c r="I10" s="33"/>
      <c r="J10" s="40">
        <f>C32*'E Balans VL '!D20/100/3.6*1000000+C32*'E Balans VL '!E20/100/3.6*1000000</f>
        <v>0</v>
      </c>
      <c r="K10" s="33"/>
      <c r="L10" s="33"/>
      <c r="M10" s="33"/>
      <c r="N10" s="33">
        <f>C32*'E Balans VL '!Y20/100/3.6*1000000</f>
        <v>275.25445745689944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86.436334336683089</v>
      </c>
      <c r="C12" s="33"/>
      <c r="D12" s="37">
        <f>IF( ISERROR(IND_min_gas_kWh/1000),0,IND_min_gas_kWh/1000)*0.902</f>
        <v>0</v>
      </c>
      <c r="E12" s="33">
        <f>C34*'E Balans VL '!I22/100/3.6*1000000</f>
        <v>2.5054334166269268</v>
      </c>
      <c r="F12" s="33">
        <f>C34*'E Balans VL '!L22/100/3.6*1000000+C34*'E Balans VL '!N22/100/3.6*1000000</f>
        <v>29.717788497298621</v>
      </c>
      <c r="G12" s="34"/>
      <c r="H12" s="33"/>
      <c r="I12" s="33"/>
      <c r="J12" s="40">
        <f>C34*'E Balans VL '!D22/100/3.6*1000000+C34*'E Balans VL '!E22/100/3.6*1000000</f>
        <v>0.14204094451599444</v>
      </c>
      <c r="K12" s="33"/>
      <c r="L12" s="33"/>
      <c r="M12" s="33"/>
      <c r="N12" s="33">
        <f>C34*'E Balans VL '!Y22/100/3.6*1000000</f>
        <v>18.922334019759653</v>
      </c>
      <c r="O12" s="33"/>
      <c r="P12" s="33"/>
      <c r="R12" s="32"/>
    </row>
    <row r="13" spans="1:18">
      <c r="A13" s="6" t="s">
        <v>39</v>
      </c>
      <c r="B13" s="37">
        <f t="shared" si="0"/>
        <v>694.16681293957708</v>
      </c>
      <c r="C13" s="33"/>
      <c r="D13" s="37">
        <f>IF( ISERROR(IND_papier_gas_kWh/1000),0,IND_papier_gas_kWh/1000)*0.902</f>
        <v>0</v>
      </c>
      <c r="E13" s="33">
        <f>C35*'E Balans VL '!I23/100/3.6*1000000</f>
        <v>0.98486395284355033</v>
      </c>
      <c r="F13" s="33">
        <f>C35*'E Balans VL '!L23/100/3.6*1000000+C35*'E Balans VL '!N23/100/3.6*1000000</f>
        <v>16.94722213936512</v>
      </c>
      <c r="G13" s="34"/>
      <c r="H13" s="33"/>
      <c r="I13" s="33"/>
      <c r="J13" s="40">
        <f>C35*'E Balans VL '!D23/100/3.6*1000000+C35*'E Balans VL '!E23/100/3.6*1000000</f>
        <v>0.10735941485628919</v>
      </c>
      <c r="K13" s="33"/>
      <c r="L13" s="33"/>
      <c r="M13" s="33"/>
      <c r="N13" s="33">
        <f>C35*'E Balans VL '!Y23/100/3.6*1000000</f>
        <v>2017.7786046441131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13910.315415437899</v>
      </c>
      <c r="C15" s="33"/>
      <c r="D15" s="37">
        <f>IF( ISERROR(IND_rest_gas_kWh/1000),0,IND_rest_gas_kWh/1000)*0.902</f>
        <v>34099.882683647651</v>
      </c>
      <c r="E15" s="33">
        <f>C37*'E Balans VL '!I15/100/3.6*1000000</f>
        <v>768.0711589391758</v>
      </c>
      <c r="F15" s="33">
        <f>C37*'E Balans VL '!L15/100/3.6*1000000+C37*'E Balans VL '!N15/100/3.6*1000000</f>
        <v>2755.2171409479001</v>
      </c>
      <c r="G15" s="34"/>
      <c r="H15" s="33"/>
      <c r="I15" s="33"/>
      <c r="J15" s="40">
        <f>C37*'E Balans VL '!D15/100/3.6*1000000+C37*'E Balans VL '!E15/100/3.6*1000000</f>
        <v>49.79866467388765</v>
      </c>
      <c r="K15" s="33"/>
      <c r="L15" s="33"/>
      <c r="M15" s="33"/>
      <c r="N15" s="33">
        <f>C37*'E Balans VL '!Y15/100/3.6*1000000</f>
        <v>3120.30209223968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31697.797659111755</v>
      </c>
      <c r="C18" s="21">
        <f>C5+C16</f>
        <v>0</v>
      </c>
      <c r="D18" s="21">
        <f>MAX((D5+D16),0)</f>
        <v>43458.304765796318</v>
      </c>
      <c r="E18" s="21">
        <f>MAX((E5+E16),0)</f>
        <v>1888.0996195323528</v>
      </c>
      <c r="F18" s="21">
        <f>MAX((F5+F16),0)</f>
        <v>6754.1526354639936</v>
      </c>
      <c r="G18" s="21"/>
      <c r="H18" s="21"/>
      <c r="I18" s="21"/>
      <c r="J18" s="21">
        <f>MAX((J5+J16),0)</f>
        <v>50.048065033259931</v>
      </c>
      <c r="K18" s="21"/>
      <c r="L18" s="21">
        <f>MAX((L5+L16),0)</f>
        <v>0</v>
      </c>
      <c r="M18" s="21"/>
      <c r="N18" s="21">
        <f>MAX((N5+N16),0)</f>
        <v>6721.6812767533684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0.19850584335491533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6292.1980568154404</v>
      </c>
      <c r="C22" s="23">
        <f ca="1">C18*C20</f>
        <v>0</v>
      </c>
      <c r="D22" s="23">
        <f>D18*D20</f>
        <v>8778.5775626908562</v>
      </c>
      <c r="E22" s="23">
        <f>E18*E20</f>
        <v>428.59861363384408</v>
      </c>
      <c r="F22" s="23">
        <f>F18*F20</f>
        <v>1803.3587536688865</v>
      </c>
      <c r="G22" s="23"/>
      <c r="H22" s="23"/>
      <c r="I22" s="23"/>
      <c r="J22" s="23">
        <f>J18*J20</f>
        <v>17.717015021774014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9527.1873955518495</v>
      </c>
      <c r="C30" s="39">
        <f>IF(ISERROR(B30*3.6/1000000/'E Balans VL '!Z18*100),0,B30*3.6/1000000/'E Balans VL '!Z18*100)</f>
        <v>0.53993013901220033</v>
      </c>
      <c r="D30" s="237" t="s">
        <v>754</v>
      </c>
    </row>
    <row r="31" spans="1:18">
      <c r="A31" s="6" t="s">
        <v>33</v>
      </c>
      <c r="B31" s="37">
        <f>IF( ISERROR(IND_ander_ele_kWh/1000),0,IND_ander_ele_kWh/1000)</f>
        <v>3491.0671102996998</v>
      </c>
      <c r="C31" s="39">
        <f>IF(ISERROR(B31*3.6/1000000/'E Balans VL '!Z19*100),0,B31*3.6/1000000/'E Balans VL '!Z19*100)</f>
        <v>0.1583402675727513</v>
      </c>
      <c r="D31" s="237" t="s">
        <v>754</v>
      </c>
    </row>
    <row r="32" spans="1:18">
      <c r="A32" s="171" t="s">
        <v>41</v>
      </c>
      <c r="B32" s="37">
        <f>IF( ISERROR(IND_voed_ele_kWh/1000),0,IND_voed_ele_kWh/1000)</f>
        <v>3988.6245905460501</v>
      </c>
      <c r="C32" s="39">
        <f>IF(ISERROR(B32*3.6/1000000/'E Balans VL '!Z20*100),0,B32*3.6/1000000/'E Balans VL '!Z20*100)</f>
        <v>0.12338626541237155</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86.436334336683089</v>
      </c>
      <c r="C34" s="39">
        <f>IF(ISERROR(B34*3.6/1000000/'E Balans VL '!Z22*100),0,B34*3.6/1000000/'E Balans VL '!Z22*100)</f>
        <v>1.5547199764596599E-2</v>
      </c>
      <c r="D34" s="237" t="s">
        <v>754</v>
      </c>
    </row>
    <row r="35" spans="1:5">
      <c r="A35" s="171" t="s">
        <v>39</v>
      </c>
      <c r="B35" s="37">
        <f>IF( ISERROR(IND_papier_ele_kWh/1000),0,IND_papier_ele_kWh/1000)</f>
        <v>694.16681293957708</v>
      </c>
      <c r="C35" s="39">
        <f>IF(ISERROR(B35*3.6/1000000/'E Balans VL '!Z22*100),0,B35*3.6/1000000/'E Balans VL '!Z22*100)</f>
        <v>0.12485895189269675</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13910.315415437899</v>
      </c>
      <c r="C37" s="39">
        <f>IF(ISERROR(B37*3.6/1000000/'E Balans VL '!Z15*100),0,B37*3.6/1000000/'E Balans VL '!Z15*100)</f>
        <v>0.11025633315939784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9343.603938383596</v>
      </c>
      <c r="C5" s="17">
        <f>'Eigen informatie GS &amp; warmtenet'!B60</f>
        <v>0</v>
      </c>
      <c r="D5" s="30">
        <f>IF(ISERROR(SUM(LB_lb_gas_kWh,LB_rest_gas_kWh,onbekend_gas_kWh)/1000),0,SUM(LB_lb_gas_kWh,LB_rest_gas_kWh,onbekend_gas_kWh)/1000)*0.902</f>
        <v>6054.8663034390765</v>
      </c>
      <c r="E5" s="17">
        <f>B17*'E Balans VL '!I25/3.6*1000000/100</f>
        <v>274.63705840949666</v>
      </c>
      <c r="F5" s="17">
        <f>B17*('E Balans VL '!L25/3.6*1000000+'E Balans VL '!N25/3.6*1000000)/100</f>
        <v>38924.94910545036</v>
      </c>
      <c r="G5" s="18"/>
      <c r="H5" s="17"/>
      <c r="I5" s="17"/>
      <c r="J5" s="17">
        <f>('E Balans VL '!D25+'E Balans VL '!E25)/3.6*1000000*landbouw!B17/100</f>
        <v>1353.6875544803177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9343.603938383596</v>
      </c>
      <c r="C8" s="21">
        <f>C5+C6</f>
        <v>0</v>
      </c>
      <c r="D8" s="21">
        <f>MAX((D5+D6),0)</f>
        <v>6054.8663034390765</v>
      </c>
      <c r="E8" s="21">
        <f>MAX((E5+E6),0)</f>
        <v>274.63705840949666</v>
      </c>
      <c r="F8" s="21">
        <f>MAX((F5+F6),0)</f>
        <v>38924.94910545036</v>
      </c>
      <c r="G8" s="21"/>
      <c r="H8" s="21"/>
      <c r="I8" s="21"/>
      <c r="J8" s="21">
        <f>MAX((J5+J6),0)</f>
        <v>1353.6875544803177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0.19850584335491533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1854.7599797631442</v>
      </c>
      <c r="C12" s="23">
        <f ca="1">C8*C10</f>
        <v>0</v>
      </c>
      <c r="D12" s="23">
        <f>D8*D10</f>
        <v>1223.0829932946936</v>
      </c>
      <c r="E12" s="23">
        <f>E8*E10</f>
        <v>62.342612258955747</v>
      </c>
      <c r="F12" s="23">
        <f>F8*F10</f>
        <v>10392.961411155247</v>
      </c>
      <c r="G12" s="23"/>
      <c r="H12" s="23"/>
      <c r="I12" s="23"/>
      <c r="J12" s="23">
        <f>J8*J10</f>
        <v>479.2053942860324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1.325886713519983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1348.7750086574154</v>
      </c>
      <c r="C26" s="247">
        <f>B26*'GWP N2O_CH4'!B5</f>
        <v>28324.275181805722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980.09570225833431</v>
      </c>
      <c r="C27" s="247">
        <f>B27*'GWP N2O_CH4'!B5</f>
        <v>20582.009747425021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19.82805788060573</v>
      </c>
      <c r="C28" s="247">
        <f>B28*'GWP N2O_CH4'!B4</f>
        <v>6146.6979429877765</v>
      </c>
      <c r="D28" s="50"/>
    </row>
    <row r="29" spans="1:4">
      <c r="A29" s="41" t="s">
        <v>277</v>
      </c>
      <c r="B29" s="247">
        <f>B34*'ha_N2O bodem landbouw'!B4</f>
        <v>30.700280818347988</v>
      </c>
      <c r="C29" s="247">
        <f>B29*'GWP N2O_CH4'!B4</f>
        <v>9517.0870536878756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7.0056982848726726E-3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1.0218811135342293E-4</v>
      </c>
      <c r="C5" s="463" t="s">
        <v>211</v>
      </c>
      <c r="D5" s="448">
        <f>SUM(D6:D11)</f>
        <v>3.8309942711730878E-4</v>
      </c>
      <c r="E5" s="448">
        <f>SUM(E6:E11)</f>
        <v>5.2179323153059103E-4</v>
      </c>
      <c r="F5" s="461" t="s">
        <v>211</v>
      </c>
      <c r="G5" s="448">
        <f>SUM(G6:G11)</f>
        <v>0.20285926021345915</v>
      </c>
      <c r="H5" s="448">
        <f>SUM(H6:H11)</f>
        <v>4.3262347598850719E-2</v>
      </c>
      <c r="I5" s="463" t="s">
        <v>211</v>
      </c>
      <c r="J5" s="463" t="s">
        <v>211</v>
      </c>
      <c r="K5" s="463" t="s">
        <v>211</v>
      </c>
      <c r="L5" s="463" t="s">
        <v>211</v>
      </c>
      <c r="M5" s="448">
        <f>SUM(M6:M11)</f>
        <v>1.3136189743262704E-2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5.5393530276258555E-5</v>
      </c>
      <c r="C6" s="449"/>
      <c r="D6" s="962">
        <f>vkm_2011_GW_PW*SUMIFS(TableVerdeelsleutelVkm[CNG],TableVerdeelsleutelVkm[Voertuigtype],"Lichte voertuigen")*SUMIFS(TableECFTransport[EnergieConsumptieFactor (PJ per km)],TableECFTransport[Index],CONCATENATE($A6,"_CNG_CNG"))</f>
        <v>1.6614879783431925E-4</v>
      </c>
      <c r="E6" s="962">
        <f>vkm_2011_GW_PW*SUMIFS(TableVerdeelsleutelVkm[LPG],TableVerdeelsleutelVkm[Voertuigtype],"Lichte voertuigen")*SUMIFS(TableECFTransport[EnergieConsumptieFactor (PJ per km)],TableECFTransport[Index],CONCATENATE($A6,"_LPG_LPG"))</f>
        <v>2.2698312394031381E-4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5.8687430782841034E-2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1.8894208662143426E-2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3.9895628245447427E-3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4.5482478038021842E-2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1.3859710522451919E-5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2.6578449919459936E-3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3.1943426287010874E-5</v>
      </c>
      <c r="C8" s="449"/>
      <c r="D8" s="451">
        <f>vkm_2011_NGW_PW*SUMIFS(TableVerdeelsleutelVkm[CNG],TableVerdeelsleutelVkm[Voertuigtype],"Lichte voertuigen")*SUMIFS(TableECFTransport[EnergieConsumptieFactor (PJ per km)],TableECFTransport[Index],CONCATENATE($A8,"_CNG_CNG"))</f>
        <v>1.7035471153342157E-4</v>
      </c>
      <c r="E8" s="451">
        <f>vkm_2011_NGW_PW*SUMIFS(TableVerdeelsleutelVkm[LPG],TableVerdeelsleutelVkm[Voertuigtype],"Lichte voertuigen")*SUMIFS(TableECFTransport[EnergieConsumptieFactor (PJ per km)],TableECFTransport[Index],CONCATENATE($A8,"_LPG_LPG"))</f>
        <v>2.1553346839539518E-4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5.1931737234292494E-2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1.8825826170751715E-2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3.5928146842024401E-3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1.5487713877901394E-2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4.4430153097564038E-6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9.0504236826566547E-4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1.4851154790153499E-5</v>
      </c>
      <c r="C10" s="449"/>
      <c r="D10" s="451">
        <f>vkm_2011_SW_PW*SUMIFS(TableVerdeelsleutelVkm[CNG],TableVerdeelsleutelVkm[Voertuigtype],"Lichte voertuigen")*SUMIFS(TableECFTransport[EnergieConsumptieFactor (PJ per km)],TableECFTransport[Index],CONCATENATE($A10,"_CNG_CNG"))</f>
        <v>4.6595917749567907E-5</v>
      </c>
      <c r="E10" s="451">
        <f>vkm_2011_SW_PW*SUMIFS(TableVerdeelsleutelVkm[LPG],TableVerdeelsleutelVkm[Voertuigtype],"Lichte voertuigen")*SUMIFS(TableECFTransport[EnergieConsumptieFactor (PJ per km)],TableECFTransport[Index],CONCATENATE($A10,"_LPG_LPG"))</f>
        <v>7.9276639194882006E-5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1.8273444951310454E-2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5.5197332839934934E-3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1.2314457921543114E-3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1.2996455329091926E-2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4.2767561298763495E-6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7.5947908214954918E-4</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28.385586487061929</v>
      </c>
      <c r="C14" s="21"/>
      <c r="D14" s="21">
        <f t="shared" ref="D14:M14" si="0">((D5)*10^9/3600)+D12</f>
        <v>106.41650753258577</v>
      </c>
      <c r="E14" s="21">
        <f t="shared" si="0"/>
        <v>144.94256431405307</v>
      </c>
      <c r="F14" s="21"/>
      <c r="G14" s="21">
        <f t="shared" si="0"/>
        <v>56349.79450373866</v>
      </c>
      <c r="H14" s="21">
        <f t="shared" si="0"/>
        <v>12017.318777458533</v>
      </c>
      <c r="I14" s="21"/>
      <c r="J14" s="21"/>
      <c r="K14" s="21"/>
      <c r="L14" s="21"/>
      <c r="M14" s="21">
        <f t="shared" si="0"/>
        <v>3648.9415953507514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0.19850584335491533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5.6347047847381164</v>
      </c>
      <c r="C18" s="23"/>
      <c r="D18" s="23">
        <f t="shared" ref="D18:M18" si="1">D14*D16</f>
        <v>21.496134521582327</v>
      </c>
      <c r="E18" s="23">
        <f t="shared" si="1"/>
        <v>32.901962099290046</v>
      </c>
      <c r="F18" s="23"/>
      <c r="G18" s="23">
        <f t="shared" si="1"/>
        <v>15045.395132498223</v>
      </c>
      <c r="H18" s="23">
        <f t="shared" si="1"/>
        <v>2992.3123755871748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2.2884597810472287E-3</v>
      </c>
      <c r="H50" s="321">
        <f t="shared" si="2"/>
        <v>0</v>
      </c>
      <c r="I50" s="321">
        <f t="shared" si="2"/>
        <v>0</v>
      </c>
      <c r="J50" s="321">
        <f t="shared" si="2"/>
        <v>0</v>
      </c>
      <c r="K50" s="321">
        <f t="shared" si="2"/>
        <v>0</v>
      </c>
      <c r="L50" s="321">
        <f t="shared" si="2"/>
        <v>0</v>
      </c>
      <c r="M50" s="321">
        <f t="shared" si="2"/>
        <v>1.2997441298297614E-4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2.2884597810472287E-3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1.2997441298297614E-4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635.68327251311905</v>
      </c>
      <c r="H54" s="21">
        <f t="shared" si="3"/>
        <v>0</v>
      </c>
      <c r="I54" s="21">
        <f t="shared" si="3"/>
        <v>0</v>
      </c>
      <c r="J54" s="21">
        <f t="shared" si="3"/>
        <v>0</v>
      </c>
      <c r="K54" s="21">
        <f t="shared" si="3"/>
        <v>0</v>
      </c>
      <c r="L54" s="21">
        <f t="shared" si="3"/>
        <v>0</v>
      </c>
      <c r="M54" s="21">
        <f t="shared" si="3"/>
        <v>36.104003606382264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0.19850584335491533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169.7274337610028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8375.2029803928581</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8375.2029803928581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15759.340578664935</v>
      </c>
      <c r="D10" s="718">
        <f ca="1">tertiair!C16</f>
        <v>0</v>
      </c>
      <c r="E10" s="718">
        <f ca="1">tertiair!D16</f>
        <v>12953.874355361375</v>
      </c>
      <c r="F10" s="718">
        <f>tertiair!E16</f>
        <v>236.98630471161727</v>
      </c>
      <c r="G10" s="718">
        <f ca="1">tertiair!F16</f>
        <v>2728.7566817100192</v>
      </c>
      <c r="H10" s="718">
        <f>tertiair!G16</f>
        <v>0</v>
      </c>
      <c r="I10" s="718">
        <f>tertiair!H16</f>
        <v>0</v>
      </c>
      <c r="J10" s="718">
        <f>tertiair!I16</f>
        <v>0</v>
      </c>
      <c r="K10" s="718">
        <f>tertiair!J16</f>
        <v>5.6248005265886018E-2</v>
      </c>
      <c r="L10" s="718">
        <f>tertiair!K16</f>
        <v>0</v>
      </c>
      <c r="M10" s="718">
        <f ca="1">tertiair!L16</f>
        <v>0</v>
      </c>
      <c r="N10" s="718">
        <f>tertiair!M16</f>
        <v>0</v>
      </c>
      <c r="O10" s="718">
        <f ca="1">tertiair!N16</f>
        <v>2223.0411730325659</v>
      </c>
      <c r="P10" s="718">
        <f>tertiair!O16</f>
        <v>6.2533333333333339</v>
      </c>
      <c r="Q10" s="719">
        <f>tertiair!P16</f>
        <v>0</v>
      </c>
      <c r="R10" s="721">
        <f ca="1">SUM(C10:Q10)</f>
        <v>33908.308674819113</v>
      </c>
      <c r="S10" s="67"/>
    </row>
    <row r="11" spans="1:19" s="474" customFormat="1">
      <c r="A11" s="870" t="s">
        <v>225</v>
      </c>
      <c r="B11" s="875"/>
      <c r="C11" s="718">
        <f>huishoudens!B8</f>
        <v>25455.346728699162</v>
      </c>
      <c r="D11" s="718">
        <f>huishoudens!C8</f>
        <v>0</v>
      </c>
      <c r="E11" s="718">
        <f>huishoudens!D8</f>
        <v>43503.731201399627</v>
      </c>
      <c r="F11" s="718">
        <f>huishoudens!E8</f>
        <v>13286.439446872591</v>
      </c>
      <c r="G11" s="718">
        <f>huishoudens!F8</f>
        <v>17068.147382736825</v>
      </c>
      <c r="H11" s="718">
        <f>huishoudens!G8</f>
        <v>0</v>
      </c>
      <c r="I11" s="718">
        <f>huishoudens!H8</f>
        <v>0</v>
      </c>
      <c r="J11" s="718">
        <f>huishoudens!I8</f>
        <v>0</v>
      </c>
      <c r="K11" s="718">
        <f>huishoudens!J8</f>
        <v>3691.7562335016828</v>
      </c>
      <c r="L11" s="718">
        <f>huishoudens!K8</f>
        <v>0</v>
      </c>
      <c r="M11" s="718">
        <f>huishoudens!L8</f>
        <v>0</v>
      </c>
      <c r="N11" s="718">
        <f>huishoudens!M8</f>
        <v>0</v>
      </c>
      <c r="O11" s="718">
        <f>huishoudens!N8</f>
        <v>29675.464333796965</v>
      </c>
      <c r="P11" s="718">
        <f>huishoudens!O8</f>
        <v>314.23</v>
      </c>
      <c r="Q11" s="719">
        <f>huishoudens!P8</f>
        <v>819.86666666666667</v>
      </c>
      <c r="R11" s="721">
        <f>SUM(C11:Q11)</f>
        <v>133814.98199367354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31697.797659111755</v>
      </c>
      <c r="D13" s="718">
        <f>industrie!C18</f>
        <v>0</v>
      </c>
      <c r="E13" s="718">
        <f>industrie!D18</f>
        <v>43458.304765796318</v>
      </c>
      <c r="F13" s="718">
        <f>industrie!E18</f>
        <v>1888.0996195323528</v>
      </c>
      <c r="G13" s="718">
        <f>industrie!F18</f>
        <v>6754.1526354639936</v>
      </c>
      <c r="H13" s="718">
        <f>industrie!G18</f>
        <v>0</v>
      </c>
      <c r="I13" s="718">
        <f>industrie!H18</f>
        <v>0</v>
      </c>
      <c r="J13" s="718">
        <f>industrie!I18</f>
        <v>0</v>
      </c>
      <c r="K13" s="718">
        <f>industrie!J18</f>
        <v>50.048065033259931</v>
      </c>
      <c r="L13" s="718">
        <f>industrie!K18</f>
        <v>0</v>
      </c>
      <c r="M13" s="718">
        <f>industrie!L18</f>
        <v>0</v>
      </c>
      <c r="N13" s="718">
        <f>industrie!M18</f>
        <v>0</v>
      </c>
      <c r="O13" s="718">
        <f>industrie!N18</f>
        <v>6721.6812767533684</v>
      </c>
      <c r="P13" s="718">
        <f>industrie!O18</f>
        <v>0</v>
      </c>
      <c r="Q13" s="719">
        <f>industrie!P18</f>
        <v>0</v>
      </c>
      <c r="R13" s="721">
        <f>SUM(C13:Q13)</f>
        <v>90570.084021691058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72912.484966475851</v>
      </c>
      <c r="D15" s="723">
        <f t="shared" ref="D15:Q15" ca="1" si="0">SUM(D9:D14)</f>
        <v>0</v>
      </c>
      <c r="E15" s="723">
        <f t="shared" ca="1" si="0"/>
        <v>99915.91032255732</v>
      </c>
      <c r="F15" s="723">
        <f t="shared" si="0"/>
        <v>15411.525371116562</v>
      </c>
      <c r="G15" s="723">
        <f t="shared" ca="1" si="0"/>
        <v>26551.056699910838</v>
      </c>
      <c r="H15" s="723">
        <f t="shared" si="0"/>
        <v>0</v>
      </c>
      <c r="I15" s="723">
        <f t="shared" si="0"/>
        <v>0</v>
      </c>
      <c r="J15" s="723">
        <f t="shared" si="0"/>
        <v>0</v>
      </c>
      <c r="K15" s="723">
        <f t="shared" si="0"/>
        <v>3741.8605465402084</v>
      </c>
      <c r="L15" s="723">
        <f t="shared" si="0"/>
        <v>0</v>
      </c>
      <c r="M15" s="723">
        <f t="shared" ca="1" si="0"/>
        <v>0</v>
      </c>
      <c r="N15" s="723">
        <f t="shared" si="0"/>
        <v>0</v>
      </c>
      <c r="O15" s="723">
        <f t="shared" ca="1" si="0"/>
        <v>38620.186783582896</v>
      </c>
      <c r="P15" s="723">
        <f t="shared" si="0"/>
        <v>320.48333333333335</v>
      </c>
      <c r="Q15" s="724">
        <f t="shared" si="0"/>
        <v>819.86666666666667</v>
      </c>
      <c r="R15" s="725">
        <f ca="1">SUM(R9:R14)</f>
        <v>258293.37469018373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635.68327251311905</v>
      </c>
      <c r="I18" s="718">
        <f>transport!H54</f>
        <v>0</v>
      </c>
      <c r="J18" s="718">
        <f>transport!I54</f>
        <v>0</v>
      </c>
      <c r="K18" s="718">
        <f>transport!J54</f>
        <v>0</v>
      </c>
      <c r="L18" s="718">
        <f>transport!K54</f>
        <v>0</v>
      </c>
      <c r="M18" s="718">
        <f>transport!L54</f>
        <v>0</v>
      </c>
      <c r="N18" s="718">
        <f>transport!M54</f>
        <v>36.104003606382264</v>
      </c>
      <c r="O18" s="718">
        <f>transport!N54</f>
        <v>0</v>
      </c>
      <c r="P18" s="718">
        <f>transport!O54</f>
        <v>0</v>
      </c>
      <c r="Q18" s="719">
        <f>transport!P54</f>
        <v>0</v>
      </c>
      <c r="R18" s="721">
        <f>SUM(C18:Q18)</f>
        <v>671.78727611950126</v>
      </c>
      <c r="S18" s="67"/>
    </row>
    <row r="19" spans="1:19" s="474" customFormat="1" ht="15" thickBot="1">
      <c r="A19" s="870" t="s">
        <v>307</v>
      </c>
      <c r="B19" s="875"/>
      <c r="C19" s="727">
        <f>transport!B14</f>
        <v>28.385586487061929</v>
      </c>
      <c r="D19" s="727">
        <f>transport!C14</f>
        <v>0</v>
      </c>
      <c r="E19" s="727">
        <f>transport!D14</f>
        <v>106.41650753258577</v>
      </c>
      <c r="F19" s="727">
        <f>transport!E14</f>
        <v>144.94256431405307</v>
      </c>
      <c r="G19" s="727">
        <f>transport!F14</f>
        <v>0</v>
      </c>
      <c r="H19" s="727">
        <f>transport!G14</f>
        <v>56349.79450373866</v>
      </c>
      <c r="I19" s="727">
        <f>transport!H14</f>
        <v>12017.318777458533</v>
      </c>
      <c r="J19" s="727">
        <f>transport!I14</f>
        <v>0</v>
      </c>
      <c r="K19" s="727">
        <f>transport!J14</f>
        <v>0</v>
      </c>
      <c r="L19" s="727">
        <f>transport!K14</f>
        <v>0</v>
      </c>
      <c r="M19" s="727">
        <f>transport!L14</f>
        <v>0</v>
      </c>
      <c r="N19" s="727">
        <f>transport!M14</f>
        <v>3648.9415953507514</v>
      </c>
      <c r="O19" s="727">
        <f>transport!N14</f>
        <v>0</v>
      </c>
      <c r="P19" s="727">
        <f>transport!O14</f>
        <v>0</v>
      </c>
      <c r="Q19" s="728">
        <f>transport!P14</f>
        <v>0</v>
      </c>
      <c r="R19" s="729">
        <f>SUM(C19:Q19)</f>
        <v>72295.799534881648</v>
      </c>
      <c r="S19" s="67"/>
    </row>
    <row r="20" spans="1:19" s="474" customFormat="1" ht="15.75" thickBot="1">
      <c r="A20" s="730" t="s">
        <v>230</v>
      </c>
      <c r="B20" s="878"/>
      <c r="C20" s="873">
        <f>SUM(C17:C19)</f>
        <v>28.385586487061929</v>
      </c>
      <c r="D20" s="731">
        <f t="shared" ref="D20:R20" si="1">SUM(D17:D19)</f>
        <v>0</v>
      </c>
      <c r="E20" s="731">
        <f t="shared" si="1"/>
        <v>106.41650753258577</v>
      </c>
      <c r="F20" s="731">
        <f t="shared" si="1"/>
        <v>144.94256431405307</v>
      </c>
      <c r="G20" s="731">
        <f t="shared" si="1"/>
        <v>0</v>
      </c>
      <c r="H20" s="731">
        <f t="shared" si="1"/>
        <v>56985.477776251777</v>
      </c>
      <c r="I20" s="731">
        <f t="shared" si="1"/>
        <v>12017.318777458533</v>
      </c>
      <c r="J20" s="731">
        <f t="shared" si="1"/>
        <v>0</v>
      </c>
      <c r="K20" s="731">
        <f t="shared" si="1"/>
        <v>0</v>
      </c>
      <c r="L20" s="731">
        <f t="shared" si="1"/>
        <v>0</v>
      </c>
      <c r="M20" s="731">
        <f t="shared" si="1"/>
        <v>0</v>
      </c>
      <c r="N20" s="731">
        <f t="shared" si="1"/>
        <v>3685.0455989571337</v>
      </c>
      <c r="O20" s="731">
        <f t="shared" si="1"/>
        <v>0</v>
      </c>
      <c r="P20" s="731">
        <f t="shared" si="1"/>
        <v>0</v>
      </c>
      <c r="Q20" s="732">
        <f t="shared" si="1"/>
        <v>0</v>
      </c>
      <c r="R20" s="733">
        <f t="shared" si="1"/>
        <v>72967.586811001151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9343.603938383596</v>
      </c>
      <c r="D22" s="727">
        <f>+landbouw!C8</f>
        <v>0</v>
      </c>
      <c r="E22" s="727">
        <f>+landbouw!D8</f>
        <v>6054.8663034390765</v>
      </c>
      <c r="F22" s="727">
        <f>+landbouw!E8</f>
        <v>274.63705840949666</v>
      </c>
      <c r="G22" s="727">
        <f>+landbouw!F8</f>
        <v>38924.94910545036</v>
      </c>
      <c r="H22" s="727">
        <f>+landbouw!G8</f>
        <v>0</v>
      </c>
      <c r="I22" s="727">
        <f>+landbouw!H8</f>
        <v>0</v>
      </c>
      <c r="J22" s="727">
        <f>+landbouw!I8</f>
        <v>0</v>
      </c>
      <c r="K22" s="727">
        <f>+landbouw!J8</f>
        <v>1353.6875544803177</v>
      </c>
      <c r="L22" s="727">
        <f>+landbouw!K8</f>
        <v>0</v>
      </c>
      <c r="M22" s="727">
        <f>+landbouw!L8</f>
        <v>0</v>
      </c>
      <c r="N22" s="727">
        <f>+landbouw!M8</f>
        <v>0</v>
      </c>
      <c r="O22" s="727">
        <f>+landbouw!N8</f>
        <v>0</v>
      </c>
      <c r="P22" s="727">
        <f>+landbouw!O8</f>
        <v>0</v>
      </c>
      <c r="Q22" s="728">
        <f>+landbouw!P8</f>
        <v>0</v>
      </c>
      <c r="R22" s="729">
        <f>SUM(C22:Q22)</f>
        <v>55951.74396016285</v>
      </c>
      <c r="S22" s="67"/>
    </row>
    <row r="23" spans="1:19" s="474" customFormat="1" ht="17.25" thickTop="1" thickBot="1">
      <c r="A23" s="734" t="s">
        <v>116</v>
      </c>
      <c r="B23" s="864"/>
      <c r="C23" s="735">
        <f ca="1">C20+C15+C22</f>
        <v>82284.474491346511</v>
      </c>
      <c r="D23" s="735">
        <f t="shared" ref="D23:Q23" ca="1" si="2">D20+D15+D22</f>
        <v>0</v>
      </c>
      <c r="E23" s="735">
        <f t="shared" ca="1" si="2"/>
        <v>106077.19313352898</v>
      </c>
      <c r="F23" s="735">
        <f t="shared" si="2"/>
        <v>15831.104993840112</v>
      </c>
      <c r="G23" s="735">
        <f t="shared" ca="1" si="2"/>
        <v>65476.005805361201</v>
      </c>
      <c r="H23" s="735">
        <f t="shared" si="2"/>
        <v>56985.477776251777</v>
      </c>
      <c r="I23" s="735">
        <f t="shared" si="2"/>
        <v>12017.318777458533</v>
      </c>
      <c r="J23" s="735">
        <f t="shared" si="2"/>
        <v>0</v>
      </c>
      <c r="K23" s="735">
        <f t="shared" si="2"/>
        <v>5095.5481010205258</v>
      </c>
      <c r="L23" s="735">
        <f t="shared" si="2"/>
        <v>0</v>
      </c>
      <c r="M23" s="735">
        <f t="shared" ca="1" si="2"/>
        <v>0</v>
      </c>
      <c r="N23" s="735">
        <f t="shared" si="2"/>
        <v>3685.0455989571337</v>
      </c>
      <c r="O23" s="735">
        <f t="shared" ca="1" si="2"/>
        <v>38620.186783582896</v>
      </c>
      <c r="P23" s="735">
        <f t="shared" si="2"/>
        <v>320.48333333333335</v>
      </c>
      <c r="Q23" s="736">
        <f t="shared" si="2"/>
        <v>819.86666666666667</v>
      </c>
      <c r="R23" s="737">
        <f ca="1">R20+R15+R22</f>
        <v>387212.70546134771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3128.3211922852224</v>
      </c>
      <c r="D36" s="718">
        <f ca="1">tertiair!C20</f>
        <v>0</v>
      </c>
      <c r="E36" s="718">
        <f ca="1">tertiair!D20</f>
        <v>2616.6826197829978</v>
      </c>
      <c r="F36" s="718">
        <f>tertiair!E20</f>
        <v>53.795891169537121</v>
      </c>
      <c r="G36" s="718">
        <f ca="1">tertiair!F20</f>
        <v>728.5780340165752</v>
      </c>
      <c r="H36" s="718">
        <f>tertiair!G20</f>
        <v>0</v>
      </c>
      <c r="I36" s="718">
        <f>tertiair!H20</f>
        <v>0</v>
      </c>
      <c r="J36" s="718">
        <f>tertiair!I20</f>
        <v>0</v>
      </c>
      <c r="K36" s="718">
        <f>tertiair!J20</f>
        <v>1.9911793864123648E-2</v>
      </c>
      <c r="L36" s="718">
        <f>tertiair!K20</f>
        <v>0</v>
      </c>
      <c r="M36" s="718">
        <f ca="1">tertiair!L20</f>
        <v>0</v>
      </c>
      <c r="N36" s="718">
        <f>tertiair!M20</f>
        <v>0</v>
      </c>
      <c r="O36" s="718">
        <f ca="1">tertiair!N20</f>
        <v>0</v>
      </c>
      <c r="P36" s="718">
        <f>tertiair!O20</f>
        <v>0</v>
      </c>
      <c r="Q36" s="828">
        <f>tertiair!P20</f>
        <v>0</v>
      </c>
      <c r="R36" s="917">
        <f ca="1">SUM(C36:Q36)</f>
        <v>6527.3976490481955</v>
      </c>
    </row>
    <row r="37" spans="1:18">
      <c r="A37" s="885" t="s">
        <v>225</v>
      </c>
      <c r="B37" s="892"/>
      <c r="C37" s="718">
        <f ca="1">huishoudens!B12</f>
        <v>5053.0350702722126</v>
      </c>
      <c r="D37" s="718">
        <f ca="1">huishoudens!C12</f>
        <v>0</v>
      </c>
      <c r="E37" s="718">
        <f>huishoudens!D12</f>
        <v>8787.7537026827249</v>
      </c>
      <c r="F37" s="718">
        <f>huishoudens!E12</f>
        <v>3016.0217544400784</v>
      </c>
      <c r="G37" s="718">
        <f>huishoudens!F12</f>
        <v>4557.1953511907323</v>
      </c>
      <c r="H37" s="718">
        <f>huishoudens!G12</f>
        <v>0</v>
      </c>
      <c r="I37" s="718">
        <f>huishoudens!H12</f>
        <v>0</v>
      </c>
      <c r="J37" s="718">
        <f>huishoudens!I12</f>
        <v>0</v>
      </c>
      <c r="K37" s="718">
        <f>huishoudens!J12</f>
        <v>1306.8817066595957</v>
      </c>
      <c r="L37" s="718">
        <f>huishoudens!K12</f>
        <v>0</v>
      </c>
      <c r="M37" s="718">
        <f>huishoudens!L12</f>
        <v>0</v>
      </c>
      <c r="N37" s="718">
        <f>huishoudens!M12</f>
        <v>0</v>
      </c>
      <c r="O37" s="718">
        <f>huishoudens!N12</f>
        <v>0</v>
      </c>
      <c r="P37" s="718">
        <f>huishoudens!O12</f>
        <v>0</v>
      </c>
      <c r="Q37" s="828">
        <f>huishoudens!P12</f>
        <v>0</v>
      </c>
      <c r="R37" s="917">
        <f ca="1">SUM(C37:Q37)</f>
        <v>22720.887585245342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6292.1980568154404</v>
      </c>
      <c r="D39" s="718">
        <f ca="1">industrie!C22</f>
        <v>0</v>
      </c>
      <c r="E39" s="718">
        <f>industrie!D22</f>
        <v>8778.5775626908562</v>
      </c>
      <c r="F39" s="718">
        <f>industrie!E22</f>
        <v>428.59861363384408</v>
      </c>
      <c r="G39" s="718">
        <f>industrie!F22</f>
        <v>1803.3587536688865</v>
      </c>
      <c r="H39" s="718">
        <f>industrie!G22</f>
        <v>0</v>
      </c>
      <c r="I39" s="718">
        <f>industrie!H22</f>
        <v>0</v>
      </c>
      <c r="J39" s="718">
        <f>industrie!I22</f>
        <v>0</v>
      </c>
      <c r="K39" s="718">
        <f>industrie!J22</f>
        <v>17.717015021774014</v>
      </c>
      <c r="L39" s="718">
        <f>industrie!K22</f>
        <v>0</v>
      </c>
      <c r="M39" s="718">
        <f>industrie!L22</f>
        <v>0</v>
      </c>
      <c r="N39" s="718">
        <f>industrie!M22</f>
        <v>0</v>
      </c>
      <c r="O39" s="718">
        <f>industrie!N22</f>
        <v>0</v>
      </c>
      <c r="P39" s="718">
        <f>industrie!O22</f>
        <v>0</v>
      </c>
      <c r="Q39" s="828">
        <f>industrie!P22</f>
        <v>0</v>
      </c>
      <c r="R39" s="918">
        <f ca="1">SUM(C39:Q39)</f>
        <v>17320.450001830803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14473.554319372875</v>
      </c>
      <c r="D41" s="763">
        <f t="shared" ref="D41:R41" ca="1" si="4">SUM(D35:D40)</f>
        <v>0</v>
      </c>
      <c r="E41" s="763">
        <f t="shared" ca="1" si="4"/>
        <v>20183.013885156579</v>
      </c>
      <c r="F41" s="763">
        <f t="shared" si="4"/>
        <v>3498.41625924346</v>
      </c>
      <c r="G41" s="763">
        <f t="shared" ca="1" si="4"/>
        <v>7089.1321388761935</v>
      </c>
      <c r="H41" s="763">
        <f t="shared" si="4"/>
        <v>0</v>
      </c>
      <c r="I41" s="763">
        <f t="shared" si="4"/>
        <v>0</v>
      </c>
      <c r="J41" s="763">
        <f t="shared" si="4"/>
        <v>0</v>
      </c>
      <c r="K41" s="763">
        <f t="shared" si="4"/>
        <v>1324.6186334752338</v>
      </c>
      <c r="L41" s="763">
        <f t="shared" si="4"/>
        <v>0</v>
      </c>
      <c r="M41" s="763">
        <f t="shared" ca="1" si="4"/>
        <v>0</v>
      </c>
      <c r="N41" s="763">
        <f t="shared" si="4"/>
        <v>0</v>
      </c>
      <c r="O41" s="763">
        <f t="shared" ca="1" si="4"/>
        <v>0</v>
      </c>
      <c r="P41" s="763">
        <f t="shared" si="4"/>
        <v>0</v>
      </c>
      <c r="Q41" s="764">
        <f t="shared" si="4"/>
        <v>0</v>
      </c>
      <c r="R41" s="765">
        <f t="shared" ca="1" si="4"/>
        <v>46568.735236124339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169.7274337610028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169.7274337610028</v>
      </c>
    </row>
    <row r="45" spans="1:18" ht="15" thickBot="1">
      <c r="A45" s="888" t="s">
        <v>307</v>
      </c>
      <c r="B45" s="898"/>
      <c r="C45" s="727">
        <f ca="1">transport!B18</f>
        <v>5.6347047847381164</v>
      </c>
      <c r="D45" s="727">
        <f>transport!C18</f>
        <v>0</v>
      </c>
      <c r="E45" s="727">
        <f>transport!D18</f>
        <v>21.496134521582327</v>
      </c>
      <c r="F45" s="727">
        <f>transport!E18</f>
        <v>32.901962099290046</v>
      </c>
      <c r="G45" s="727">
        <f>transport!F18</f>
        <v>0</v>
      </c>
      <c r="H45" s="727">
        <f>transport!G18</f>
        <v>15045.395132498223</v>
      </c>
      <c r="I45" s="727">
        <f>transport!H18</f>
        <v>2992.3123755871748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18097.740309491008</v>
      </c>
    </row>
    <row r="46" spans="1:18" ht="15.75" thickBot="1">
      <c r="A46" s="886" t="s">
        <v>230</v>
      </c>
      <c r="B46" s="899"/>
      <c r="C46" s="763">
        <f t="shared" ref="C46:R46" ca="1" si="5">SUM(C43:C45)</f>
        <v>5.6347047847381164</v>
      </c>
      <c r="D46" s="763">
        <f t="shared" ca="1" si="5"/>
        <v>0</v>
      </c>
      <c r="E46" s="763">
        <f t="shared" si="5"/>
        <v>21.496134521582327</v>
      </c>
      <c r="F46" s="763">
        <f t="shared" si="5"/>
        <v>32.901962099290046</v>
      </c>
      <c r="G46" s="763">
        <f t="shared" si="5"/>
        <v>0</v>
      </c>
      <c r="H46" s="763">
        <f t="shared" si="5"/>
        <v>15215.122566259226</v>
      </c>
      <c r="I46" s="763">
        <f t="shared" si="5"/>
        <v>2992.3123755871748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18267.467743252011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1854.7599797631442</v>
      </c>
      <c r="D48" s="718">
        <f ca="1">+landbouw!C12</f>
        <v>0</v>
      </c>
      <c r="E48" s="718">
        <f>+landbouw!D12</f>
        <v>1223.0829932946936</v>
      </c>
      <c r="F48" s="718">
        <f>+landbouw!E12</f>
        <v>62.342612258955747</v>
      </c>
      <c r="G48" s="718">
        <f>+landbouw!F12</f>
        <v>10392.961411155247</v>
      </c>
      <c r="H48" s="718">
        <f>+landbouw!G12</f>
        <v>0</v>
      </c>
      <c r="I48" s="718">
        <f>+landbouw!H12</f>
        <v>0</v>
      </c>
      <c r="J48" s="718">
        <f>+landbouw!I12</f>
        <v>0</v>
      </c>
      <c r="K48" s="718">
        <f>+landbouw!J12</f>
        <v>479.2053942860324</v>
      </c>
      <c r="L48" s="718">
        <f>+landbouw!K12</f>
        <v>0</v>
      </c>
      <c r="M48" s="718">
        <f>+landbouw!L12</f>
        <v>0</v>
      </c>
      <c r="N48" s="718">
        <f>+landbouw!M12</f>
        <v>0</v>
      </c>
      <c r="O48" s="718">
        <f>+landbouw!N12</f>
        <v>0</v>
      </c>
      <c r="P48" s="718">
        <f>+landbouw!O12</f>
        <v>0</v>
      </c>
      <c r="Q48" s="719">
        <f>+landbouw!P12</f>
        <v>0</v>
      </c>
      <c r="R48" s="761">
        <f ca="1">SUM(C48:Q48)</f>
        <v>14012.352390758075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16333.949003920758</v>
      </c>
      <c r="D53" s="773">
        <f t="shared" ref="D53:Q53" ca="1" si="6">D41+D46+D48</f>
        <v>0</v>
      </c>
      <c r="E53" s="773">
        <f t="shared" ca="1" si="6"/>
        <v>21427.593012972855</v>
      </c>
      <c r="F53" s="773">
        <f t="shared" si="6"/>
        <v>3593.6608336017057</v>
      </c>
      <c r="G53" s="773">
        <f t="shared" ca="1" si="6"/>
        <v>17482.093550031441</v>
      </c>
      <c r="H53" s="773">
        <f t="shared" si="6"/>
        <v>15215.122566259226</v>
      </c>
      <c r="I53" s="773">
        <f t="shared" si="6"/>
        <v>2992.3123755871748</v>
      </c>
      <c r="J53" s="773">
        <f t="shared" si="6"/>
        <v>0</v>
      </c>
      <c r="K53" s="773">
        <f t="shared" si="6"/>
        <v>1803.8240277612663</v>
      </c>
      <c r="L53" s="773">
        <f t="shared" si="6"/>
        <v>0</v>
      </c>
      <c r="M53" s="773">
        <f t="shared" ca="1" si="6"/>
        <v>0</v>
      </c>
      <c r="N53" s="773">
        <f t="shared" si="6"/>
        <v>0</v>
      </c>
      <c r="O53" s="773">
        <f t="shared" ca="1" si="6"/>
        <v>0</v>
      </c>
      <c r="P53" s="773">
        <f>P41+P46+P48</f>
        <v>0</v>
      </c>
      <c r="Q53" s="774">
        <f t="shared" si="6"/>
        <v>0</v>
      </c>
      <c r="R53" s="775">
        <f ca="1">R41+R46+R48</f>
        <v>78848.555370134418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0.19850584335491533</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8375.2029803928581</v>
      </c>
      <c r="C66" s="795">
        <f>'lokale energieproductie'!B6</f>
        <v>8375.2029803928581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8375.2029803928581</v>
      </c>
      <c r="C69" s="803">
        <f>SUM(C64:C68)</f>
        <v>8375.2029803928581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25455.346728699162</v>
      </c>
      <c r="C4" s="478">
        <f>huishoudens!C8</f>
        <v>0</v>
      </c>
      <c r="D4" s="478">
        <f>huishoudens!D8</f>
        <v>43503.731201399627</v>
      </c>
      <c r="E4" s="478">
        <f>huishoudens!E8</f>
        <v>13286.439446872591</v>
      </c>
      <c r="F4" s="478">
        <f>huishoudens!F8</f>
        <v>17068.147382736825</v>
      </c>
      <c r="G4" s="478">
        <f>huishoudens!G8</f>
        <v>0</v>
      </c>
      <c r="H4" s="478">
        <f>huishoudens!H8</f>
        <v>0</v>
      </c>
      <c r="I4" s="478">
        <f>huishoudens!I8</f>
        <v>0</v>
      </c>
      <c r="J4" s="478">
        <f>huishoudens!J8</f>
        <v>3691.7562335016828</v>
      </c>
      <c r="K4" s="478">
        <f>huishoudens!K8</f>
        <v>0</v>
      </c>
      <c r="L4" s="478">
        <f>huishoudens!L8</f>
        <v>0</v>
      </c>
      <c r="M4" s="478">
        <f>huishoudens!M8</f>
        <v>0</v>
      </c>
      <c r="N4" s="478">
        <f>huishoudens!N8</f>
        <v>29675.464333796965</v>
      </c>
      <c r="O4" s="478">
        <f>huishoudens!O8</f>
        <v>314.23</v>
      </c>
      <c r="P4" s="479">
        <f>huishoudens!P8</f>
        <v>819.86666666666667</v>
      </c>
      <c r="Q4" s="480">
        <f>SUM(B4:P4)</f>
        <v>133814.98199367354</v>
      </c>
    </row>
    <row r="5" spans="1:17">
      <c r="A5" s="477" t="s">
        <v>156</v>
      </c>
      <c r="B5" s="478">
        <f ca="1">tertiair!B16</f>
        <v>14791.335578664935</v>
      </c>
      <c r="C5" s="478">
        <f ca="1">tertiair!C16</f>
        <v>0</v>
      </c>
      <c r="D5" s="478">
        <f ca="1">tertiair!D16</f>
        <v>12953.874355361375</v>
      </c>
      <c r="E5" s="478">
        <f>tertiair!E16</f>
        <v>236.98630471161727</v>
      </c>
      <c r="F5" s="478">
        <f ca="1">tertiair!F16</f>
        <v>2728.7566817100192</v>
      </c>
      <c r="G5" s="478">
        <f>tertiair!G16</f>
        <v>0</v>
      </c>
      <c r="H5" s="478">
        <f>tertiair!H16</f>
        <v>0</v>
      </c>
      <c r="I5" s="478">
        <f>tertiair!I16</f>
        <v>0</v>
      </c>
      <c r="J5" s="478">
        <f>tertiair!J16</f>
        <v>5.6248005265886018E-2</v>
      </c>
      <c r="K5" s="478">
        <f>tertiair!K16</f>
        <v>0</v>
      </c>
      <c r="L5" s="478">
        <f ca="1">tertiair!L16</f>
        <v>0</v>
      </c>
      <c r="M5" s="478">
        <f>tertiair!M16</f>
        <v>0</v>
      </c>
      <c r="N5" s="478">
        <f ca="1">tertiair!N16</f>
        <v>2223.0411730325659</v>
      </c>
      <c r="O5" s="478">
        <f>tertiair!O16</f>
        <v>6.2533333333333339</v>
      </c>
      <c r="P5" s="479">
        <f>tertiair!P16</f>
        <v>0</v>
      </c>
      <c r="Q5" s="477">
        <f t="shared" ref="Q5:Q13" ca="1" si="0">SUM(B5:P5)</f>
        <v>32940.303674819108</v>
      </c>
    </row>
    <row r="6" spans="1:17">
      <c r="A6" s="477" t="s">
        <v>194</v>
      </c>
      <c r="B6" s="478">
        <f>'openbare verlichting'!B8</f>
        <v>968.005</v>
      </c>
      <c r="C6" s="478"/>
      <c r="D6" s="478"/>
      <c r="E6" s="478"/>
      <c r="F6" s="478"/>
      <c r="G6" s="478"/>
      <c r="H6" s="478"/>
      <c r="I6" s="478"/>
      <c r="J6" s="478"/>
      <c r="K6" s="478"/>
      <c r="L6" s="478"/>
      <c r="M6" s="478"/>
      <c r="N6" s="478"/>
      <c r="O6" s="478"/>
      <c r="P6" s="479"/>
      <c r="Q6" s="477">
        <f t="shared" si="0"/>
        <v>968.005</v>
      </c>
    </row>
    <row r="7" spans="1:17">
      <c r="A7" s="477" t="s">
        <v>112</v>
      </c>
      <c r="B7" s="478">
        <f>landbouw!B8</f>
        <v>9343.603938383596</v>
      </c>
      <c r="C7" s="478">
        <f>landbouw!C8</f>
        <v>0</v>
      </c>
      <c r="D7" s="478">
        <f>landbouw!D8</f>
        <v>6054.8663034390765</v>
      </c>
      <c r="E7" s="478">
        <f>landbouw!E8</f>
        <v>274.63705840949666</v>
      </c>
      <c r="F7" s="478">
        <f>landbouw!F8</f>
        <v>38924.94910545036</v>
      </c>
      <c r="G7" s="478">
        <f>landbouw!G8</f>
        <v>0</v>
      </c>
      <c r="H7" s="478">
        <f>landbouw!H8</f>
        <v>0</v>
      </c>
      <c r="I7" s="478">
        <f>landbouw!I8</f>
        <v>0</v>
      </c>
      <c r="J7" s="478">
        <f>landbouw!J8</f>
        <v>1353.6875544803177</v>
      </c>
      <c r="K7" s="478">
        <f>landbouw!K8</f>
        <v>0</v>
      </c>
      <c r="L7" s="478">
        <f>landbouw!L8</f>
        <v>0</v>
      </c>
      <c r="M7" s="478">
        <f>landbouw!M8</f>
        <v>0</v>
      </c>
      <c r="N7" s="478">
        <f>landbouw!N8</f>
        <v>0</v>
      </c>
      <c r="O7" s="478">
        <f>landbouw!O8</f>
        <v>0</v>
      </c>
      <c r="P7" s="479">
        <f>landbouw!P8</f>
        <v>0</v>
      </c>
      <c r="Q7" s="477">
        <f t="shared" si="0"/>
        <v>55951.74396016285</v>
      </c>
    </row>
    <row r="8" spans="1:17">
      <c r="A8" s="477" t="s">
        <v>635</v>
      </c>
      <c r="B8" s="478">
        <f>industrie!B18</f>
        <v>31697.797659111755</v>
      </c>
      <c r="C8" s="478">
        <f>industrie!C18</f>
        <v>0</v>
      </c>
      <c r="D8" s="478">
        <f>industrie!D18</f>
        <v>43458.304765796318</v>
      </c>
      <c r="E8" s="478">
        <f>industrie!E18</f>
        <v>1888.0996195323528</v>
      </c>
      <c r="F8" s="478">
        <f>industrie!F18</f>
        <v>6754.1526354639936</v>
      </c>
      <c r="G8" s="478">
        <f>industrie!G18</f>
        <v>0</v>
      </c>
      <c r="H8" s="478">
        <f>industrie!H18</f>
        <v>0</v>
      </c>
      <c r="I8" s="478">
        <f>industrie!I18</f>
        <v>0</v>
      </c>
      <c r="J8" s="478">
        <f>industrie!J18</f>
        <v>50.048065033259931</v>
      </c>
      <c r="K8" s="478">
        <f>industrie!K18</f>
        <v>0</v>
      </c>
      <c r="L8" s="478">
        <f>industrie!L18</f>
        <v>0</v>
      </c>
      <c r="M8" s="478">
        <f>industrie!M18</f>
        <v>0</v>
      </c>
      <c r="N8" s="478">
        <f>industrie!N18</f>
        <v>6721.6812767533684</v>
      </c>
      <c r="O8" s="478">
        <f>industrie!O18</f>
        <v>0</v>
      </c>
      <c r="P8" s="479">
        <f>industrie!P18</f>
        <v>0</v>
      </c>
      <c r="Q8" s="477">
        <f t="shared" si="0"/>
        <v>90570.084021691058</v>
      </c>
    </row>
    <row r="9" spans="1:17" s="483" customFormat="1">
      <c r="A9" s="481" t="s">
        <v>561</v>
      </c>
      <c r="B9" s="482">
        <f>transport!B14</f>
        <v>28.385586487061929</v>
      </c>
      <c r="C9" s="482"/>
      <c r="D9" s="482">
        <f>transport!D14</f>
        <v>106.41650753258577</v>
      </c>
      <c r="E9" s="482">
        <f>transport!E14</f>
        <v>144.94256431405307</v>
      </c>
      <c r="F9" s="482"/>
      <c r="G9" s="482">
        <f>transport!G14</f>
        <v>56349.79450373866</v>
      </c>
      <c r="H9" s="482">
        <f>transport!H14</f>
        <v>12017.318777458533</v>
      </c>
      <c r="I9" s="482"/>
      <c r="J9" s="482"/>
      <c r="K9" s="482"/>
      <c r="L9" s="482"/>
      <c r="M9" s="482">
        <f>transport!M14</f>
        <v>3648.9415953507514</v>
      </c>
      <c r="N9" s="482"/>
      <c r="O9" s="482"/>
      <c r="P9" s="482"/>
      <c r="Q9" s="481">
        <f>SUM(B9:P9)</f>
        <v>72295.799534881648</v>
      </c>
    </row>
    <row r="10" spans="1:17">
      <c r="A10" s="477" t="s">
        <v>551</v>
      </c>
      <c r="B10" s="478">
        <f>transport!B54</f>
        <v>0</v>
      </c>
      <c r="C10" s="478"/>
      <c r="D10" s="478">
        <f>transport!D54</f>
        <v>0</v>
      </c>
      <c r="E10" s="478"/>
      <c r="F10" s="478"/>
      <c r="G10" s="478">
        <f>transport!G54</f>
        <v>635.68327251311905</v>
      </c>
      <c r="H10" s="478"/>
      <c r="I10" s="478"/>
      <c r="J10" s="478"/>
      <c r="K10" s="478"/>
      <c r="L10" s="478"/>
      <c r="M10" s="478">
        <f>transport!M54</f>
        <v>36.104003606382264</v>
      </c>
      <c r="N10" s="478"/>
      <c r="O10" s="478"/>
      <c r="P10" s="479"/>
      <c r="Q10" s="477">
        <f t="shared" si="0"/>
        <v>671.78727611950126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82284.474491346497</v>
      </c>
      <c r="C14" s="488">
        <f t="shared" ref="C14:Q14" ca="1" si="1">SUM(C4:C13)</f>
        <v>0</v>
      </c>
      <c r="D14" s="488">
        <f t="shared" ca="1" si="1"/>
        <v>106077.19313352898</v>
      </c>
      <c r="E14" s="488">
        <f t="shared" si="1"/>
        <v>15831.104993840112</v>
      </c>
      <c r="F14" s="488">
        <f t="shared" ca="1" si="1"/>
        <v>65476.005805361201</v>
      </c>
      <c r="G14" s="488">
        <f t="shared" si="1"/>
        <v>56985.477776251777</v>
      </c>
      <c r="H14" s="488">
        <f t="shared" si="1"/>
        <v>12017.318777458533</v>
      </c>
      <c r="I14" s="488">
        <f t="shared" si="1"/>
        <v>0</v>
      </c>
      <c r="J14" s="488">
        <f t="shared" si="1"/>
        <v>5095.5481010205267</v>
      </c>
      <c r="K14" s="488">
        <f t="shared" si="1"/>
        <v>0</v>
      </c>
      <c r="L14" s="488">
        <f t="shared" ca="1" si="1"/>
        <v>0</v>
      </c>
      <c r="M14" s="488">
        <f t="shared" si="1"/>
        <v>3685.0455989571337</v>
      </c>
      <c r="N14" s="488">
        <f t="shared" ca="1" si="1"/>
        <v>38620.186783582896</v>
      </c>
      <c r="O14" s="488">
        <f t="shared" si="1"/>
        <v>320.48333333333335</v>
      </c>
      <c r="P14" s="489">
        <f t="shared" si="1"/>
        <v>819.86666666666667</v>
      </c>
      <c r="Q14" s="489">
        <f t="shared" ca="1" si="1"/>
        <v>387212.70546134777</v>
      </c>
    </row>
    <row r="16" spans="1:17">
      <c r="A16" s="491" t="s">
        <v>556</v>
      </c>
      <c r="B16" s="841">
        <f ca="1">huishoudens!B10</f>
        <v>0.19850584335491533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5053.0350702722126</v>
      </c>
      <c r="C21" s="478">
        <f t="shared" ref="C21:C28" ca="1" si="3">C4*$C$16</f>
        <v>0</v>
      </c>
      <c r="D21" s="478">
        <f t="shared" ref="D21:D30" si="4">D4*$D$16</f>
        <v>8787.7537026827249</v>
      </c>
      <c r="E21" s="478">
        <f t="shared" ref="E21:E30" si="5">E4*$E$16</f>
        <v>3016.0217544400784</v>
      </c>
      <c r="F21" s="478">
        <f t="shared" ref="F21:F28" si="6">F4*$F$16</f>
        <v>4557.1953511907323</v>
      </c>
      <c r="G21" s="478">
        <f t="shared" ref="G21:G30" si="7">G4*$G$16</f>
        <v>0</v>
      </c>
      <c r="H21" s="478">
        <f t="shared" ref="H21:H30" si="8">H4*$H$16</f>
        <v>0</v>
      </c>
      <c r="I21" s="478">
        <f t="shared" ref="I21:I28" si="9">I4*$I$16</f>
        <v>0</v>
      </c>
      <c r="J21" s="478">
        <f t="shared" ref="J21:J28" si="10">J4*$J$16</f>
        <v>1306.8817066595957</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22720.887585245342</v>
      </c>
    </row>
    <row r="22" spans="1:17">
      <c r="A22" s="477" t="s">
        <v>156</v>
      </c>
      <c r="B22" s="478">
        <f t="shared" ca="1" si="2"/>
        <v>2936.1665433884477</v>
      </c>
      <c r="C22" s="478">
        <f t="shared" ca="1" si="3"/>
        <v>0</v>
      </c>
      <c r="D22" s="478">
        <f t="shared" ca="1" si="4"/>
        <v>2616.6826197829978</v>
      </c>
      <c r="E22" s="478">
        <f t="shared" si="5"/>
        <v>53.795891169537121</v>
      </c>
      <c r="F22" s="478">
        <f t="shared" ca="1" si="6"/>
        <v>728.5780340165752</v>
      </c>
      <c r="G22" s="478">
        <f t="shared" si="7"/>
        <v>0</v>
      </c>
      <c r="H22" s="478">
        <f t="shared" si="8"/>
        <v>0</v>
      </c>
      <c r="I22" s="478">
        <f t="shared" si="9"/>
        <v>0</v>
      </c>
      <c r="J22" s="478">
        <f t="shared" si="10"/>
        <v>1.9911793864123648E-2</v>
      </c>
      <c r="K22" s="478">
        <f t="shared" si="11"/>
        <v>0</v>
      </c>
      <c r="L22" s="478">
        <f t="shared" ca="1" si="12"/>
        <v>0</v>
      </c>
      <c r="M22" s="478">
        <f t="shared" si="13"/>
        <v>0</v>
      </c>
      <c r="N22" s="478">
        <f t="shared" ca="1" si="14"/>
        <v>0</v>
      </c>
      <c r="O22" s="478">
        <f t="shared" si="15"/>
        <v>0</v>
      </c>
      <c r="P22" s="479">
        <f t="shared" si="16"/>
        <v>0</v>
      </c>
      <c r="Q22" s="477">
        <f t="shared" ref="Q22:Q30" ca="1" si="17">SUM(B22:P22)</f>
        <v>6335.2430001514213</v>
      </c>
    </row>
    <row r="23" spans="1:17">
      <c r="A23" s="477" t="s">
        <v>194</v>
      </c>
      <c r="B23" s="478">
        <f t="shared" ca="1" si="2"/>
        <v>192.15464889677483</v>
      </c>
      <c r="C23" s="478"/>
      <c r="D23" s="478"/>
      <c r="E23" s="478"/>
      <c r="F23" s="478"/>
      <c r="G23" s="478"/>
      <c r="H23" s="478"/>
      <c r="I23" s="478"/>
      <c r="J23" s="478"/>
      <c r="K23" s="478"/>
      <c r="L23" s="478"/>
      <c r="M23" s="478"/>
      <c r="N23" s="478"/>
      <c r="O23" s="478"/>
      <c r="P23" s="479"/>
      <c r="Q23" s="477">
        <f t="shared" ca="1" si="17"/>
        <v>192.15464889677483</v>
      </c>
    </row>
    <row r="24" spans="1:17">
      <c r="A24" s="477" t="s">
        <v>112</v>
      </c>
      <c r="B24" s="478">
        <f t="shared" ca="1" si="2"/>
        <v>1854.7599797631442</v>
      </c>
      <c r="C24" s="478">
        <f t="shared" ca="1" si="3"/>
        <v>0</v>
      </c>
      <c r="D24" s="478">
        <f t="shared" si="4"/>
        <v>1223.0829932946936</v>
      </c>
      <c r="E24" s="478">
        <f t="shared" si="5"/>
        <v>62.342612258955747</v>
      </c>
      <c r="F24" s="478">
        <f t="shared" si="6"/>
        <v>10392.961411155247</v>
      </c>
      <c r="G24" s="478">
        <f t="shared" si="7"/>
        <v>0</v>
      </c>
      <c r="H24" s="478">
        <f t="shared" si="8"/>
        <v>0</v>
      </c>
      <c r="I24" s="478">
        <f t="shared" si="9"/>
        <v>0</v>
      </c>
      <c r="J24" s="478">
        <f t="shared" si="10"/>
        <v>479.2053942860324</v>
      </c>
      <c r="K24" s="478">
        <f t="shared" si="11"/>
        <v>0</v>
      </c>
      <c r="L24" s="478">
        <f t="shared" si="12"/>
        <v>0</v>
      </c>
      <c r="M24" s="478">
        <f t="shared" si="13"/>
        <v>0</v>
      </c>
      <c r="N24" s="478">
        <f t="shared" si="14"/>
        <v>0</v>
      </c>
      <c r="O24" s="478">
        <f t="shared" si="15"/>
        <v>0</v>
      </c>
      <c r="P24" s="479">
        <f t="shared" si="16"/>
        <v>0</v>
      </c>
      <c r="Q24" s="477">
        <f t="shared" ca="1" si="17"/>
        <v>14012.352390758075</v>
      </c>
    </row>
    <row r="25" spans="1:17">
      <c r="A25" s="477" t="s">
        <v>635</v>
      </c>
      <c r="B25" s="478">
        <f t="shared" ca="1" si="2"/>
        <v>6292.1980568154404</v>
      </c>
      <c r="C25" s="478">
        <f t="shared" ca="1" si="3"/>
        <v>0</v>
      </c>
      <c r="D25" s="478">
        <f t="shared" si="4"/>
        <v>8778.5775626908562</v>
      </c>
      <c r="E25" s="478">
        <f t="shared" si="5"/>
        <v>428.59861363384408</v>
      </c>
      <c r="F25" s="478">
        <f t="shared" si="6"/>
        <v>1803.3587536688865</v>
      </c>
      <c r="G25" s="478">
        <f t="shared" si="7"/>
        <v>0</v>
      </c>
      <c r="H25" s="478">
        <f t="shared" si="8"/>
        <v>0</v>
      </c>
      <c r="I25" s="478">
        <f t="shared" si="9"/>
        <v>0</v>
      </c>
      <c r="J25" s="478">
        <f t="shared" si="10"/>
        <v>17.717015021774014</v>
      </c>
      <c r="K25" s="478">
        <f t="shared" si="11"/>
        <v>0</v>
      </c>
      <c r="L25" s="478">
        <f t="shared" si="12"/>
        <v>0</v>
      </c>
      <c r="M25" s="478">
        <f t="shared" si="13"/>
        <v>0</v>
      </c>
      <c r="N25" s="478">
        <f t="shared" si="14"/>
        <v>0</v>
      </c>
      <c r="O25" s="478">
        <f t="shared" si="15"/>
        <v>0</v>
      </c>
      <c r="P25" s="479">
        <f t="shared" si="16"/>
        <v>0</v>
      </c>
      <c r="Q25" s="477">
        <f t="shared" ca="1" si="17"/>
        <v>17320.450001830803</v>
      </c>
    </row>
    <row r="26" spans="1:17" s="483" customFormat="1">
      <c r="A26" s="481" t="s">
        <v>561</v>
      </c>
      <c r="B26" s="835">
        <f t="shared" ca="1" si="2"/>
        <v>5.6347047847381164</v>
      </c>
      <c r="C26" s="482"/>
      <c r="D26" s="482">
        <f t="shared" si="4"/>
        <v>21.496134521582327</v>
      </c>
      <c r="E26" s="482">
        <f t="shared" si="5"/>
        <v>32.901962099290046</v>
      </c>
      <c r="F26" s="482"/>
      <c r="G26" s="482">
        <f t="shared" si="7"/>
        <v>15045.395132498223</v>
      </c>
      <c r="H26" s="482">
        <f t="shared" si="8"/>
        <v>2992.3123755871748</v>
      </c>
      <c r="I26" s="482"/>
      <c r="J26" s="482"/>
      <c r="K26" s="482"/>
      <c r="L26" s="482"/>
      <c r="M26" s="482">
        <f t="shared" si="13"/>
        <v>0</v>
      </c>
      <c r="N26" s="482"/>
      <c r="O26" s="482"/>
      <c r="P26" s="493"/>
      <c r="Q26" s="481">
        <f t="shared" ca="1" si="17"/>
        <v>18097.740309491008</v>
      </c>
    </row>
    <row r="27" spans="1:17">
      <c r="A27" s="477" t="s">
        <v>551</v>
      </c>
      <c r="B27" s="478">
        <f t="shared" ca="1" si="2"/>
        <v>0</v>
      </c>
      <c r="C27" s="478"/>
      <c r="D27" s="482">
        <f t="shared" si="4"/>
        <v>0</v>
      </c>
      <c r="E27" s="478"/>
      <c r="F27" s="478"/>
      <c r="G27" s="478">
        <f t="shared" si="7"/>
        <v>169.7274337610028</v>
      </c>
      <c r="H27" s="478"/>
      <c r="I27" s="478"/>
      <c r="J27" s="478"/>
      <c r="K27" s="478"/>
      <c r="L27" s="478"/>
      <c r="M27" s="478">
        <f t="shared" si="13"/>
        <v>0</v>
      </c>
      <c r="N27" s="478"/>
      <c r="O27" s="478"/>
      <c r="P27" s="479"/>
      <c r="Q27" s="477">
        <f t="shared" ca="1" si="17"/>
        <v>169.7274337610028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16333.949003920756</v>
      </c>
      <c r="C31" s="488">
        <f t="shared" ca="1" si="18"/>
        <v>0</v>
      </c>
      <c r="D31" s="488">
        <f t="shared" ca="1" si="18"/>
        <v>21427.593012972855</v>
      </c>
      <c r="E31" s="488">
        <f t="shared" si="18"/>
        <v>3593.6608336017057</v>
      </c>
      <c r="F31" s="488">
        <f t="shared" ca="1" si="18"/>
        <v>17482.093550031441</v>
      </c>
      <c r="G31" s="488">
        <f t="shared" si="18"/>
        <v>15215.122566259226</v>
      </c>
      <c r="H31" s="488">
        <f t="shared" si="18"/>
        <v>2992.3123755871748</v>
      </c>
      <c r="I31" s="488">
        <f t="shared" si="18"/>
        <v>0</v>
      </c>
      <c r="J31" s="488">
        <f t="shared" si="18"/>
        <v>1803.8240277612663</v>
      </c>
      <c r="K31" s="488">
        <f t="shared" si="18"/>
        <v>0</v>
      </c>
      <c r="L31" s="488">
        <f t="shared" ca="1" si="18"/>
        <v>0</v>
      </c>
      <c r="M31" s="488">
        <f t="shared" si="18"/>
        <v>0</v>
      </c>
      <c r="N31" s="488">
        <f t="shared" ca="1" si="18"/>
        <v>0</v>
      </c>
      <c r="O31" s="488">
        <f t="shared" si="18"/>
        <v>0</v>
      </c>
      <c r="P31" s="489">
        <f t="shared" si="18"/>
        <v>0</v>
      </c>
      <c r="Q31" s="489">
        <f t="shared" ca="1" si="18"/>
        <v>78848.555370134432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0.19850584335491533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0.19850584335491533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0.19850584335491533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2019-01-01T21:20:06Z</dcterms:modified>
</cp:coreProperties>
</file>