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sheetId="59"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xlnm._FilterDatabase" localSheetId="22" hidden="1">'ECF transport '!#REF!</definedName>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 localSheetId="4">'ECF transport '!#REF!</definedName>
    <definedName name="ECF_PW_SW_CNG_CNG">'ECF transport '!#REF!</definedName>
    <definedName name="ECF_PW_SW_Diesel_Diesel" localSheetId="4">'ECF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D10" i="48"/>
  <c r="AC15" i="5" l="1"/>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O88"/>
  <c r="N88"/>
  <c r="B8" s="1"/>
  <c r="M88"/>
  <c r="W60"/>
  <c r="V60"/>
  <c r="U60"/>
  <c r="T60"/>
  <c r="S60"/>
  <c r="R60"/>
  <c r="Q60"/>
  <c r="P60"/>
  <c r="D6" i="17" s="1"/>
  <c r="O60" i="18"/>
  <c r="C6" i="17" s="1"/>
  <c r="N60" i="18"/>
  <c r="M60"/>
  <c r="W59"/>
  <c r="V59"/>
  <c r="U59"/>
  <c r="T59"/>
  <c r="S59"/>
  <c r="R59"/>
  <c r="Q59"/>
  <c r="P59"/>
  <c r="O59"/>
  <c r="N59"/>
  <c r="M59"/>
  <c r="W58"/>
  <c r="V58"/>
  <c r="U58"/>
  <c r="T58"/>
  <c r="S58"/>
  <c r="F16" i="16" s="1"/>
  <c r="R58" i="18"/>
  <c r="Q58"/>
  <c r="P58"/>
  <c r="O5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I79" i="14" s="1"/>
  <c r="G17" i="18"/>
  <c r="F17"/>
  <c r="G79" i="14" s="1"/>
  <c r="E17" i="18"/>
  <c r="D17"/>
  <c r="E79" i="14" s="1"/>
  <c r="C17" i="18"/>
  <c r="B17"/>
  <c r="B79" i="14" s="1"/>
  <c r="K11" i="18"/>
  <c r="J11"/>
  <c r="I11"/>
  <c r="H11"/>
  <c r="G11"/>
  <c r="F11"/>
  <c r="E11"/>
  <c r="D11"/>
  <c r="C11"/>
  <c r="L8"/>
  <c r="L9" s="1"/>
  <c r="K8"/>
  <c r="K9" s="1"/>
  <c r="G8"/>
  <c r="G9" s="1"/>
  <c r="F8"/>
  <c r="F9" s="1"/>
  <c r="D8"/>
  <c r="D9" s="1"/>
  <c r="C8"/>
  <c r="D68" i="14" s="1"/>
  <c r="B6" i="18"/>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J10"/>
  <c r="I10"/>
  <c r="H10"/>
  <c r="G10"/>
  <c r="G16" i="48" s="1"/>
  <c r="F10" i="13"/>
  <c r="E10"/>
  <c r="D10"/>
  <c r="M8"/>
  <c r="N11" i="14" s="1"/>
  <c r="L8" i="13"/>
  <c r="M11" i="14" s="1"/>
  <c r="O5" i="13"/>
  <c r="O8" s="1"/>
  <c r="D8"/>
  <c r="C5"/>
  <c r="C8" s="1"/>
  <c r="B5"/>
  <c r="B8" s="1"/>
  <c r="B5" i="9"/>
  <c r="B8" s="1"/>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M78" i="14"/>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B13" i="15" l="1"/>
  <c r="F6" i="17"/>
  <c r="D16" i="16"/>
  <c r="C13" i="15"/>
  <c r="C16" s="1"/>
  <c r="D10" i="14" s="1"/>
  <c r="L6" i="17"/>
  <c r="L5" s="1"/>
  <c r="O4" i="48"/>
  <c r="E16"/>
  <c r="I16"/>
  <c r="F16"/>
  <c r="J16"/>
  <c r="K16"/>
  <c r="D16"/>
  <c r="D27" s="1"/>
  <c r="H16"/>
  <c r="H21" s="1"/>
  <c r="L16" i="16"/>
  <c r="L18" s="1"/>
  <c r="L22" s="1"/>
  <c r="M39" i="14" s="1"/>
  <c r="I14" i="15"/>
  <c r="I16" s="1"/>
  <c r="J10" i="14" s="1"/>
  <c r="B13" i="16"/>
  <c r="C35"/>
  <c r="D8" i="17"/>
  <c r="E9" i="14"/>
  <c r="D14" i="15"/>
  <c r="P18" i="16"/>
  <c r="N6" i="17"/>
  <c r="N5" s="1"/>
  <c r="J8"/>
  <c r="N16" i="16"/>
  <c r="F8" i="17"/>
  <c r="N13" i="15"/>
  <c r="L13"/>
  <c r="L16" s="1"/>
  <c r="F13"/>
  <c r="D13"/>
  <c r="B67" i="22"/>
  <c r="M11"/>
  <c r="G10"/>
  <c r="M9"/>
  <c r="G8"/>
  <c r="M7"/>
  <c r="G6"/>
  <c r="G11"/>
  <c r="M8"/>
  <c r="G7"/>
  <c r="M10"/>
  <c r="G9"/>
  <c r="M6"/>
  <c r="L68" i="14"/>
  <c r="B12" i="48"/>
  <c r="Q12" s="1"/>
  <c r="O9" i="14"/>
  <c r="B7" i="15"/>
  <c r="O5" i="16"/>
  <c r="B38" i="13"/>
  <c r="B50" s="1"/>
  <c r="B11" i="15"/>
  <c r="B11" i="16"/>
  <c r="J9" i="14"/>
  <c r="B97" i="18"/>
  <c r="B101" s="1"/>
  <c r="C16" s="1"/>
  <c r="D78" i="14" s="1"/>
  <c r="M13"/>
  <c r="L8" i="48"/>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1" i="20"/>
  <c r="E43" i="14" s="1"/>
  <c r="E18"/>
  <c r="O80"/>
  <c r="L4" i="48"/>
  <c r="G19" i="18"/>
  <c r="K19"/>
  <c r="G9" i="14"/>
  <c r="M4" i="48"/>
  <c r="F11"/>
  <c r="K19" i="19"/>
  <c r="L35" i="14" s="1"/>
  <c r="I19" i="19"/>
  <c r="J35" i="14" s="1"/>
  <c r="E31" i="20"/>
  <c r="F43" i="14" s="1"/>
  <c r="B6" i="48"/>
  <c r="Q6" s="1"/>
  <c r="L12" i="13"/>
  <c r="M37" i="14" s="1"/>
  <c r="E8" i="16"/>
  <c r="B16" i="18"/>
  <c r="B78" i="14" s="1"/>
  <c r="F17"/>
  <c r="E13" i="48"/>
  <c r="K20" i="15"/>
  <c r="L36" i="14" s="1"/>
  <c r="L9"/>
  <c r="C64"/>
  <c r="K11" i="48"/>
  <c r="K28" s="1"/>
  <c r="D11"/>
  <c r="F19" i="19"/>
  <c r="G35" i="14" s="1"/>
  <c r="L19" i="19"/>
  <c r="M35" i="14" s="1"/>
  <c r="M12" i="13"/>
  <c r="N37" i="14" s="1"/>
  <c r="B7" i="18"/>
  <c r="B67" i="14" s="1"/>
  <c r="C80"/>
  <c r="C78" i="22"/>
  <c r="M51" s="1"/>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F9" i="14"/>
  <c r="D9"/>
  <c r="E19" i="19"/>
  <c r="F35" i="14" s="1"/>
  <c r="C11" i="48"/>
  <c r="D19" i="19"/>
  <c r="E35" i="14" s="1"/>
  <c r="C9"/>
  <c r="B11" i="48"/>
  <c r="E5" i="22"/>
  <c r="E14" s="1"/>
  <c r="D5"/>
  <c r="D14" s="1"/>
  <c r="B5"/>
  <c r="B14" s="1"/>
  <c r="P11" i="48"/>
  <c r="P28" s="1"/>
  <c r="I5"/>
  <c r="I22" s="1"/>
  <c r="H5"/>
  <c r="O11"/>
  <c r="P9" i="14"/>
  <c r="M5" i="48"/>
  <c r="G28"/>
  <c r="C11" i="14"/>
  <c r="B4" i="48"/>
  <c r="E30"/>
  <c r="K21"/>
  <c r="G21"/>
  <c r="M16"/>
  <c r="B39" i="13"/>
  <c r="B51" s="1"/>
  <c r="F5" s="1"/>
  <c r="F8" s="1"/>
  <c r="I21" i="48"/>
  <c r="O21"/>
  <c r="L16"/>
  <c r="K24"/>
  <c r="K25"/>
  <c r="Q11" i="14"/>
  <c r="P12" i="13"/>
  <c r="Q37" i="14" s="1"/>
  <c r="P4" i="48"/>
  <c r="P21" s="1"/>
  <c r="D12" i="13"/>
  <c r="E37" i="14" s="1"/>
  <c r="D4" i="48"/>
  <c r="E11" i="14"/>
  <c r="H28" i="48"/>
  <c r="G25"/>
  <c r="C22" i="13"/>
  <c r="C21"/>
  <c r="C20"/>
  <c r="O24" i="48"/>
  <c r="I25"/>
  <c r="P11" i="14"/>
  <c r="O12" i="13"/>
  <c r="P37" i="14" s="1"/>
  <c r="B10" i="48"/>
  <c r="C18" i="14"/>
  <c r="J7" i="48"/>
  <c r="J24" s="1"/>
  <c r="P24"/>
  <c r="E5" i="17"/>
  <c r="C8"/>
  <c r="G24" i="48"/>
  <c r="I24"/>
  <c r="G81" i="14"/>
  <c r="D79"/>
  <c r="H79"/>
  <c r="H81" s="1"/>
  <c r="L79"/>
  <c r="L81" s="1"/>
  <c r="F79"/>
  <c r="J79"/>
  <c r="E68"/>
  <c r="E69" s="1"/>
  <c r="I68"/>
  <c r="M68"/>
  <c r="M69" s="1"/>
  <c r="D19" i="18"/>
  <c r="L19"/>
  <c r="B68" i="14"/>
  <c r="G68"/>
  <c r="G69" s="1"/>
  <c r="E81"/>
  <c r="M81"/>
  <c r="F19" i="18"/>
  <c r="D11" i="14"/>
  <c r="C4" i="48"/>
  <c r="M17" i="18"/>
  <c r="M18"/>
  <c r="D28" i="48" l="1"/>
  <c r="D30"/>
  <c r="E28"/>
  <c r="H25"/>
  <c r="H24"/>
  <c r="D21"/>
  <c r="F28"/>
  <c r="G22" i="14"/>
  <c r="P22" i="16"/>
  <c r="Q39" i="14" s="1"/>
  <c r="G11"/>
  <c r="J12" i="17"/>
  <c r="K48" i="14" s="1"/>
  <c r="Q13"/>
  <c r="B35" i="13"/>
  <c r="B47" s="1"/>
  <c r="J15" i="14"/>
  <c r="J23" s="1"/>
  <c r="P8" i="48"/>
  <c r="P25" s="1"/>
  <c r="D18" i="16"/>
  <c r="G31" i="20"/>
  <c r="H43" i="14" s="1"/>
  <c r="G12" i="22"/>
  <c r="D16" i="15"/>
  <c r="K22" i="14"/>
  <c r="E8" i="17"/>
  <c r="E12" s="1"/>
  <c r="F48" i="14" s="1"/>
  <c r="O18" i="16"/>
  <c r="B36" i="13"/>
  <c r="B48" s="1"/>
  <c r="C48" s="1"/>
  <c r="N5" s="1"/>
  <c r="N8" s="1"/>
  <c r="H13" i="48"/>
  <c r="H30" s="1"/>
  <c r="H12" i="22"/>
  <c r="B34" i="13"/>
  <c r="N8" i="17"/>
  <c r="N12" s="1"/>
  <c r="O48" i="14" s="1"/>
  <c r="L8" i="17"/>
  <c r="L12" s="1"/>
  <c r="M48" i="14" s="1"/>
  <c r="M50" i="22"/>
  <c r="M54" s="1"/>
  <c r="G51"/>
  <c r="G50" s="1"/>
  <c r="G54" s="1"/>
  <c r="P13" i="14"/>
  <c r="E22"/>
  <c r="B9" i="48"/>
  <c r="E100" i="18"/>
  <c r="E7" s="1"/>
  <c r="F67" i="14" s="1"/>
  <c r="F69" s="1"/>
  <c r="F7" i="48"/>
  <c r="F24" s="1"/>
  <c r="D100" i="18"/>
  <c r="M8"/>
  <c r="M28" i="48"/>
  <c r="F12" i="17"/>
  <c r="G48" i="14" s="1"/>
  <c r="C101" i="18"/>
  <c r="C100"/>
  <c r="B9"/>
  <c r="E101"/>
  <c r="E16" s="1"/>
  <c r="F78" i="14" s="1"/>
  <c r="F81" s="1"/>
  <c r="G101" i="18"/>
  <c r="D7" i="48"/>
  <c r="D24" s="1"/>
  <c r="H100" i="18"/>
  <c r="L41" i="14"/>
  <c r="L53" s="1"/>
  <c r="G100" i="18"/>
  <c r="D101"/>
  <c r="H101"/>
  <c r="I101"/>
  <c r="H16" s="1"/>
  <c r="L15" i="14"/>
  <c r="L23" s="1"/>
  <c r="F101" i="18"/>
  <c r="K14" i="48"/>
  <c r="F100" i="18"/>
  <c r="I7" s="1"/>
  <c r="H9"/>
  <c r="I69" i="14"/>
  <c r="B100" i="18"/>
  <c r="C7" s="1"/>
  <c r="D67" i="14" s="1"/>
  <c r="D69" s="1"/>
  <c r="L21" i="48"/>
  <c r="M22"/>
  <c r="N41" i="14"/>
  <c r="M21" i="48"/>
  <c r="J41" i="14"/>
  <c r="J53" s="1"/>
  <c r="I17"/>
  <c r="D81"/>
  <c r="O79"/>
  <c r="L25" i="48"/>
  <c r="D9"/>
  <c r="D26" s="1"/>
  <c r="C79" i="14"/>
  <c r="D13"/>
  <c r="D15" s="1"/>
  <c r="F19"/>
  <c r="F20" s="1"/>
  <c r="B81"/>
  <c r="O68"/>
  <c r="C68"/>
  <c r="B19" i="18"/>
  <c r="C7" i="48"/>
  <c r="D22" i="14"/>
  <c r="L28" i="48"/>
  <c r="C19" i="18"/>
  <c r="M31" i="20"/>
  <c r="N43" i="14" s="1"/>
  <c r="N17"/>
  <c r="M13" i="48"/>
  <c r="M30" s="1"/>
  <c r="H31" i="20"/>
  <c r="I43" i="14" s="1"/>
  <c r="G13" i="48"/>
  <c r="G30" s="1"/>
  <c r="H17" i="14"/>
  <c r="M5" i="22"/>
  <c r="M14" s="1"/>
  <c r="G5"/>
  <c r="H5"/>
  <c r="H14" s="1"/>
  <c r="I14" i="48"/>
  <c r="E5" i="15"/>
  <c r="O20"/>
  <c r="P36" i="14" s="1"/>
  <c r="P10"/>
  <c r="P20" i="15"/>
  <c r="Q36" i="14" s="1"/>
  <c r="Q41" s="1"/>
  <c r="Q53" s="1"/>
  <c r="Q10"/>
  <c r="J5" i="15"/>
  <c r="F4" i="48"/>
  <c r="F21" s="1"/>
  <c r="B69" i="14"/>
  <c r="B4" i="6" s="1"/>
  <c r="F5" i="15"/>
  <c r="F16" s="1"/>
  <c r="B5"/>
  <c r="B16" s="1"/>
  <c r="E13" i="14"/>
  <c r="B5" i="16"/>
  <c r="B18" s="1"/>
  <c r="N5" i="15"/>
  <c r="N16" s="1"/>
  <c r="F12" i="13"/>
  <c r="G37" i="14" s="1"/>
  <c r="P5" i="48"/>
  <c r="P22" s="1"/>
  <c r="F13" i="16"/>
  <c r="E13"/>
  <c r="N13"/>
  <c r="J13"/>
  <c r="N12"/>
  <c r="J12"/>
  <c r="F12"/>
  <c r="E12"/>
  <c r="Q11" i="48"/>
  <c r="O5"/>
  <c r="R9" i="14"/>
  <c r="O28" i="48"/>
  <c r="H22"/>
  <c r="B46" i="13"/>
  <c r="E5" s="1"/>
  <c r="E8" s="1"/>
  <c r="K31" i="48"/>
  <c r="M25"/>
  <c r="M24"/>
  <c r="I31"/>
  <c r="C50" i="13"/>
  <c r="J5" s="1"/>
  <c r="J8" s="1"/>
  <c r="C5" i="48"/>
  <c r="Q15" i="14" l="1"/>
  <c r="Q23" s="1"/>
  <c r="H18"/>
  <c r="O22" i="16"/>
  <c r="P39" i="14" s="1"/>
  <c r="M10" i="48"/>
  <c r="M27" s="1"/>
  <c r="F22" i="14"/>
  <c r="C13"/>
  <c r="E12" i="13"/>
  <c r="F37" i="14" s="1"/>
  <c r="D22" i="16"/>
  <c r="E39" i="14" s="1"/>
  <c r="N4" i="48"/>
  <c r="N21" s="1"/>
  <c r="D20" i="15"/>
  <c r="E36" i="14" s="1"/>
  <c r="E41" s="1"/>
  <c r="G14" i="22"/>
  <c r="O8" i="48"/>
  <c r="O25" s="1"/>
  <c r="E7"/>
  <c r="E24" s="1"/>
  <c r="P31"/>
  <c r="N7"/>
  <c r="N24" s="1"/>
  <c r="J16" i="15"/>
  <c r="E16"/>
  <c r="D8" i="48"/>
  <c r="D25" s="1"/>
  <c r="P41" i="14"/>
  <c r="P53" s="1"/>
  <c r="O22"/>
  <c r="L7" i="48"/>
  <c r="L24" s="1"/>
  <c r="M22" i="14"/>
  <c r="P15"/>
  <c r="P23" s="1"/>
  <c r="P55" s="1"/>
  <c r="M58" i="22"/>
  <c r="N44" i="14" s="1"/>
  <c r="N18"/>
  <c r="R18" s="1"/>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J67" i="14"/>
  <c r="I9" i="18"/>
  <c r="G58" i="22"/>
  <c r="H44" i="14" s="1"/>
  <c r="G10" i="48"/>
  <c r="G9"/>
  <c r="R17" i="14"/>
  <c r="Q13" i="48"/>
  <c r="I19" i="14"/>
  <c r="I20" s="1"/>
  <c r="I23" s="1"/>
  <c r="M18" i="22"/>
  <c r="N45" i="14" s="1"/>
  <c r="M9" i="48"/>
  <c r="N19" i="14"/>
  <c r="P14" i="48"/>
  <c r="B8"/>
  <c r="J5"/>
  <c r="J22" s="1"/>
  <c r="J20" i="15"/>
  <c r="K36" i="14" s="1"/>
  <c r="J55"/>
  <c r="L55"/>
  <c r="N20" i="15"/>
  <c r="O36" i="14" s="1"/>
  <c r="O10"/>
  <c r="L5" i="48"/>
  <c r="L22" s="1"/>
  <c r="M10" i="14"/>
  <c r="M15" s="1"/>
  <c r="F20" i="15"/>
  <c r="G36" i="14" s="1"/>
  <c r="G10"/>
  <c r="C10"/>
  <c r="B5" i="48"/>
  <c r="D23" i="14"/>
  <c r="B20" i="6" s="1"/>
  <c r="B22" s="1"/>
  <c r="Q55" i="14"/>
  <c r="N5" i="16"/>
  <c r="F5" i="48"/>
  <c r="F22" s="1"/>
  <c r="E5" i="16"/>
  <c r="J5"/>
  <c r="C35" i="13"/>
  <c r="F5" i="16"/>
  <c r="C36" i="13"/>
  <c r="O22" i="48"/>
  <c r="N12" i="13"/>
  <c r="O37" i="14" s="1"/>
  <c r="O11"/>
  <c r="C38" i="13"/>
  <c r="C39"/>
  <c r="C32"/>
  <c r="C34"/>
  <c r="E4" i="48"/>
  <c r="E21" s="1"/>
  <c r="F11" i="14"/>
  <c r="J4" i="48"/>
  <c r="J12" i="13"/>
  <c r="K37" i="14" s="1"/>
  <c r="K11"/>
  <c r="N5" i="48"/>
  <c r="L20" i="15"/>
  <c r="O14" i="48" l="1"/>
  <c r="F10" i="14"/>
  <c r="K10"/>
  <c r="O31" i="48"/>
  <c r="D31"/>
  <c r="E5"/>
  <c r="E22" s="1"/>
  <c r="N18" i="16"/>
  <c r="L31" i="48"/>
  <c r="N20" i="14"/>
  <c r="N23" s="1"/>
  <c r="E20" i="15"/>
  <c r="F36" i="14" s="1"/>
  <c r="F18" i="16"/>
  <c r="J18"/>
  <c r="J9" i="18"/>
  <c r="M7"/>
  <c r="M9" s="1"/>
  <c r="M16"/>
  <c r="M19" s="1"/>
  <c r="E18" i="16"/>
  <c r="R22" i="14"/>
  <c r="Q7" i="48"/>
  <c r="N46" i="14"/>
  <c r="N53" s="1"/>
  <c r="G18" i="22"/>
  <c r="H45" i="14" s="1"/>
  <c r="H46" s="1"/>
  <c r="H53" s="1"/>
  <c r="I19" i="18"/>
  <c r="J19"/>
  <c r="K78" i="14"/>
  <c r="K81" s="1"/>
  <c r="I81"/>
  <c r="O78"/>
  <c r="O81" s="1"/>
  <c r="B17" i="6" s="1"/>
  <c r="E23" i="14"/>
  <c r="D14" i="48"/>
  <c r="B14"/>
  <c r="J69" i="14"/>
  <c r="C67"/>
  <c r="C69" s="1"/>
  <c r="H19"/>
  <c r="H20" s="1"/>
  <c r="H23" s="1"/>
  <c r="J81"/>
  <c r="H18" i="22"/>
  <c r="I45" i="14" s="1"/>
  <c r="I46" s="1"/>
  <c r="I53" s="1"/>
  <c r="I55" s="1"/>
  <c r="G27" i="48"/>
  <c r="Q10"/>
  <c r="H9"/>
  <c r="Q9" s="1"/>
  <c r="M14"/>
  <c r="M26"/>
  <c r="M31" s="1"/>
  <c r="G26"/>
  <c r="G14"/>
  <c r="C15" i="14"/>
  <c r="C23" s="1"/>
  <c r="B3" i="6" s="1"/>
  <c r="E53" i="14"/>
  <c r="M36"/>
  <c r="M41" s="1"/>
  <c r="L14" i="48"/>
  <c r="M23" i="14"/>
  <c r="C10" i="17"/>
  <c r="C12" s="1"/>
  <c r="D48" i="14" s="1"/>
  <c r="C16" i="22"/>
  <c r="C10" i="13"/>
  <c r="C18" i="15"/>
  <c r="C20" s="1"/>
  <c r="D36" i="14" s="1"/>
  <c r="C20" i="16"/>
  <c r="C22" s="1"/>
  <c r="D39" i="14" s="1"/>
  <c r="C17" i="19"/>
  <c r="C19" s="1"/>
  <c r="D35" i="14" s="1"/>
  <c r="C29" i="20"/>
  <c r="C17" i="49"/>
  <c r="C56" i="22"/>
  <c r="C58" s="1"/>
  <c r="D44" i="14" s="1"/>
  <c r="D46" s="1"/>
  <c r="Q5" i="48"/>
  <c r="Q4"/>
  <c r="N22"/>
  <c r="R11" i="14"/>
  <c r="J21" i="48"/>
  <c r="R10" i="14"/>
  <c r="C16" i="48" l="1"/>
  <c r="E22" i="16"/>
  <c r="F39" i="14" s="1"/>
  <c r="K13"/>
  <c r="K15" s="1"/>
  <c r="K23" s="1"/>
  <c r="G13"/>
  <c r="G15" s="1"/>
  <c r="G23" s="1"/>
  <c r="N8" i="48"/>
  <c r="N25" s="1"/>
  <c r="N31" s="1"/>
  <c r="F8"/>
  <c r="F22" i="16"/>
  <c r="G39" i="14" s="1"/>
  <c r="G41" s="1"/>
  <c r="G53" s="1"/>
  <c r="O13"/>
  <c r="O15" s="1"/>
  <c r="F41"/>
  <c r="F53" s="1"/>
  <c r="N22" i="16"/>
  <c r="O39" i="14" s="1"/>
  <c r="O41" s="1"/>
  <c r="O53" s="1"/>
  <c r="E8" i="48"/>
  <c r="E25" s="1"/>
  <c r="E31" s="1"/>
  <c r="F13" i="14"/>
  <c r="F15" s="1"/>
  <c r="F23" s="1"/>
  <c r="J22" i="16"/>
  <c r="K39" i="14" s="1"/>
  <c r="K41" s="1"/>
  <c r="K53" s="1"/>
  <c r="K55" s="1"/>
  <c r="J8" i="48"/>
  <c r="J25" s="1"/>
  <c r="J31" s="1"/>
  <c r="E14"/>
  <c r="N55" i="14"/>
  <c r="H55"/>
  <c r="E55"/>
  <c r="C78"/>
  <c r="C81" s="1"/>
  <c r="J14" i="48"/>
  <c r="R19" i="14"/>
  <c r="R20" s="1"/>
  <c r="H14" i="48"/>
  <c r="G31"/>
  <c r="H26"/>
  <c r="H31" s="1"/>
  <c r="M53" i="14"/>
  <c r="M55" s="1"/>
  <c r="C12" i="13"/>
  <c r="D37" i="14" s="1"/>
  <c r="D41" s="1"/>
  <c r="F25" i="48"/>
  <c r="F31" s="1"/>
  <c r="F14"/>
  <c r="N14" l="1"/>
  <c r="C28"/>
  <c r="C25"/>
  <c r="C22"/>
  <c r="C21"/>
  <c r="C24"/>
  <c r="G55" i="14"/>
  <c r="O69" s="1"/>
  <c r="B9" i="6" s="1"/>
  <c r="B12" s="1"/>
  <c r="B20" i="16" s="1"/>
  <c r="B22" s="1"/>
  <c r="C39" i="14" s="1"/>
  <c r="R39" s="1"/>
  <c r="F55"/>
  <c r="R13"/>
  <c r="R15" s="1"/>
  <c r="R23" s="1"/>
  <c r="Q8" i="48"/>
  <c r="Q14" s="1"/>
  <c r="D53" i="14"/>
  <c r="D55" s="1"/>
  <c r="O23"/>
  <c r="O55" s="1"/>
  <c r="C31" i="48" l="1"/>
  <c r="B17" i="49"/>
  <c r="B19" s="1"/>
  <c r="C38" i="14" s="1"/>
  <c r="R38" s="1"/>
  <c r="B10" i="17"/>
  <c r="B12" s="1"/>
  <c r="C48" i="14" s="1"/>
  <c r="R48" s="1"/>
  <c r="B18" i="15"/>
  <c r="B20" s="1"/>
  <c r="B10" i="13"/>
  <c r="B16" i="48" s="1"/>
  <c r="B28" s="1"/>
  <c r="Q28" s="1"/>
  <c r="B29" i="20"/>
  <c r="B31" s="1"/>
  <c r="C43" i="14" s="1"/>
  <c r="R43" s="1"/>
  <c r="B17" i="19"/>
  <c r="B19" s="1"/>
  <c r="C35" i="14" s="1"/>
  <c r="R35" s="1"/>
  <c r="B56" i="22"/>
  <c r="B58" s="1"/>
  <c r="C44" i="14" s="1"/>
  <c r="R44" s="1"/>
  <c r="B10" i="9"/>
  <c r="B12" s="1"/>
  <c r="B16" i="22"/>
  <c r="B18" s="1"/>
  <c r="C45" i="14" s="1"/>
  <c r="R45" s="1"/>
  <c r="B12" i="13" l="1"/>
  <c r="C37" i="14" s="1"/>
  <c r="R37" s="1"/>
  <c r="C36"/>
  <c r="R36" s="1"/>
  <c r="R46"/>
  <c r="C46"/>
  <c r="B22" i="48"/>
  <c r="Q22" s="1"/>
  <c r="B24"/>
  <c r="Q24" s="1"/>
  <c r="B25"/>
  <c r="Q25" s="1"/>
  <c r="B23"/>
  <c r="Q23" s="1"/>
  <c r="B21"/>
  <c r="Q21" s="1"/>
  <c r="B26"/>
  <c r="Q26" s="1"/>
  <c r="B30"/>
  <c r="Q30" s="1"/>
  <c r="B29"/>
  <c r="Q29" s="1"/>
  <c r="B27"/>
  <c r="Q27" s="1"/>
  <c r="R41" i="14" l="1"/>
  <c r="R53" s="1"/>
  <c r="C41"/>
  <c r="C53" s="1"/>
  <c r="C55" s="1"/>
  <c r="Q31" i="48"/>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<sst xmlns="http://schemas.openxmlformats.org/spreadsheetml/2006/main" count="2099" uniqueCount="844">
  <si>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</si>
  <si>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</si>
  <si>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</si>
  <si>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</si>
  <si>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</si>
  <si>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</si>
  <si>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</si>
  <si>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</si>
  <si>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</si>
  <si>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</si>
  <si>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</si>
  <si>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</si>
  <si>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</si>
  <si>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</si>
  <si>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</si>
  <si>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</si>
  <si>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</si>
  <si>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</si>
  <si>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</si>
  <si>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</si>
  <si>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</si>
  <si>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</si>
  <si>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</si>
  <si>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</si>
  <si>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</si>
  <si>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</si>
  <si>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</si>
  <si>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</si>
  <si>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</si>
  <si>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</si>
  <si>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</si>
  <si>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</si>
  <si>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</si>
  <si>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</si>
  <si>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</si>
  <si>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</si>
  <si>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</si>
  <si>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</si>
  <si>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</si>
  <si>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</si>
  <si>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</si>
  <si>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</si>
  <si>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</si>
  <si>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</si>
  <si>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</si>
  <si>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</si>
  <si>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</si>
  <si>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</si>
  <si>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</si>
  <si>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</si>
  <si>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</si>
  <si>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</si>
  <si>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</si>
  <si>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</si>
  <si>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</si>
  <si>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</si>
  <si>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</si>
  <si>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</si>
  <si>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</si>
  <si>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</si>
  <si>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</si>
  <si>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</si>
  <si>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</si>
  <si>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</si>
  <si>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</si>
  <si>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</si>
  <si>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</si>
  <si>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</si>
  <si>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</si>
  <si>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</si>
  <si>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</si>
  <si>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</si>
  <si>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</si>
  <si>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</si>
  <si>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</si>
  <si>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</si>
  <si>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</si>
  <si>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</si>
  <si>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</si>
  <si>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</si>
  <si>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</si>
  <si>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</si>
  <si>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</si>
  <si>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</si>
  <si>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</si>
  <si>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</si>
  <si>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</si>
  <si>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</si>
  <si>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</si>
  <si>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</si>
  <si>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</si>
  <si>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</si>
  <si>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</si>
  <si>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</si>
  <si>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</si>
  <si>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</si>
  <si>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</si>
  <si>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</si>
  <si>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</si>
  <si>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</si>
  <si>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</si>
  <si>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</si>
  <si>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</si>
  <si>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</si>
  <si>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</si>
  <si>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</si>
  <si>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</si>
  <si>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</si>
  <si>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</si>
  <si>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</si>
  <si>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</si>
  <si>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</si>
  <si>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</si>
  <si>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</si>
  <si>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</si>
  <si>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</si>
  <si>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</si>
  <si>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</si>
  <si>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</si>
  <si>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</si>
  <si>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</si>
  <si>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</si>
  <si>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</si>
  <si>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</si>
  <si>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</si>
  <si>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</si>
  <si>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</si>
  <si>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</si>
  <si>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</si>
  <si>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</si>
  <si>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</si>
  <si>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</si>
  <si>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</si>
  <si>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</si>
  <si>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</si>
  <si>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</si>
  <si>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</si>
  <si>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</si>
  <si>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</si>
  <si>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</si>
  <si>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</si>
  <si>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</si>
  <si>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</si>
  <si>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</si>
  <si>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</si>
  <si>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</si>
  <si>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</si>
  <si>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</si>
  <si>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</si>
  <si>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</si>
  <si>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</si>
  <si>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</si>
  <si>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</si>
  <si>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</si>
  <si>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</si>
  <si>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</si>
  <si>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</si>
  <si>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</si>
  <si>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</si>
  <si>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</si>
  <si>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</si>
  <si>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</si>
  <si>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</si>
  <si>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</si>
  <si>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</si>
  <si>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</si>
  <si>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</si>
  <si>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</si>
  <si>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</si>
  <si>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</si>
  <si>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</si>
  <si>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</si>
  <si>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</si>
  <si>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</si>
  <si>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</si>
  <si>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</si>
  <si>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</si>
  <si>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</si>
  <si>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</si>
  <si>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</si>
  <si>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</si>
  <si>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</si>
  <si>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</si>
  <si>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</si>
  <si>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</si>
  <si>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</si>
  <si>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</si>
  <si>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</si>
  <si>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</si>
  <si>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</si>
  <si>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</si>
  <si>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</si>
  <si>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</si>
  <si>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</si>
  <si>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</si>
  <si>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</si>
  <si>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</si>
  <si>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</si>
  <si>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</si>
  <si>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</si>
  <si>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</si>
  <si>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</si>
  <si>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</si>
  <si>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</si>
  <si>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</si>
  <si>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</si>
  <si>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</si>
  <si>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</si>
  <si>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</si>
  <si>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</si>
  <si>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</si>
  <si>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</si>
  <si>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</si>
  <si>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</si>
  <si>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</si>
  <si>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</si>
  <si>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</si>
  <si>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</si>
  <si>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</si>
  <si>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</si>
  <si>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</si>
  <si>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</si>
  <si>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</si>
  <si>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</si>
  <si>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</si>
  <si>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</si>
  <si>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</si>
  <si>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</si>
  <si>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</si>
  <si>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</si>
  <si>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</si>
  <si>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</si>
  <si>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</si>
  <si>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</si>
  <si>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</si>
  <si>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</si>
  <si>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</si>
  <si>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</si>
  <si>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</si>
  <si>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</si>
  <si>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</si>
  <si>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</si>
  <si>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</si>
  <si>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</si>
  <si>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</si>
  <si>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</si>
  <si>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</si>
  <si>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</si>
  <si>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</si>
  <si>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</si>
  <si>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</si>
  <si>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</si>
  <si>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</si>
  <si>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</si>
  <si>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</si>
  <si>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</si>
  <si>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</si>
  <si>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</si>
  <si>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</si>
  <si>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</si>
  <si>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</si>
  <si>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</si>
  <si>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</si>
  <si>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</si>
  <si>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</si>
  <si>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</si>
  <si>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</si>
  <si>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</si>
  <si>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</si>
  <si>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</si>
  <si>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</si>
  <si>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</si>
  <si>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</si>
  <si>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</si>
  <si>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</si>
  <si>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</si>
  <si>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</si>
  <si>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</si>
  <si>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</si>
  <si>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</si>
  <si>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</si>
  <si>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</si>
  <si>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</si>
  <si>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</si>
  <si>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</si>
  <si>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</si>
  <si>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</si>
  <si>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</si>
  <si>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</si>
  <si>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</si>
  <si>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</si>
  <si>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</si>
  <si>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</si>
  <si>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</si>
  <si>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</si>
  <si>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</si>
  <si>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</si>
  <si>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</si>
  <si>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</si>
  <si>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</si>
  <si>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</si>
  <si>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</si>
  <si>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</si>
  <si>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</si>
  <si>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</si>
  <si>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</si>
  <si>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</si>
  <si>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</si>
  <si>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</si>
  <si>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</si>
  <si>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</si>
  <si>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</si>
  <si>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</si>
  <si>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</si>
  <si>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</si>
  <si>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</si>
  <si>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</si>
  <si>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</si>
  <si>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</si>
  <si>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</si>
  <si>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</si>
  <si>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</si>
  <si>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</si>
  <si>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</si>
  <si>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</si>
  <si>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</si>
  <si>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</si>
  <si>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</si>
  <si>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</si>
  <si>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</si>
  <si>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</si>
  <si>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</si>
  <si>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</si>
  <si>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</si>
  <si>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</si>
  <si>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</si>
  <si>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</si>
  <si>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</si>
  <si>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</si>
  <si>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</si>
  <si>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</si>
  <si>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</si>
  <si>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</si>
  <si>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</si>
  <si>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</si>
  <si>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</si>
  <si>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</si>
  <si>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</si>
  <si>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</si>
  <si>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</si>
  <si>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</si>
  <si>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</si>
  <si>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</si>
  <si>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</si>
  <si>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</si>
  <si>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</si>
  <si>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</si>
  <si>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</si>
  <si>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</si>
  <si>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</si>
  <si>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</si>
  <si>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</si>
  <si>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</si>
  <si>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</si>
  <si>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</si>
  <si>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</si>
  <si>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</si>
  <si>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</si>
  <si>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</si>
  <si>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</si>
  <si>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</si>
  <si>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</si>
  <si>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</si>
  <si>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</si>
  <si>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</si>
  <si>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</si>
  <si>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</si>
  <si>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</si>
  <si>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</si>
  <si>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</si>
  <si>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</si>
  <si>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</si>
  <si>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</si>
  <si>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</si>
  <si>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</si>
  <si>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</si>
  <si>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</si>
  <si>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</si>
  <si>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</si>
  <si>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</si>
  <si>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</si>
  <si>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</si>
  <si>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</si>
  <si>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</si>
  <si>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</si>
  <si>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</si>
  <si>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</si>
  <si>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</si>
  <si>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</si>
  <si>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</si>
  <si>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</si>
  <si>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</si>
  <si>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</si>
  <si>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</si>
  <si>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</si>
  <si>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</si>
  <si>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</si>
  <si>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</si>
  <si>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</si>
  <si>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</si>
  <si>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</si>
  <si>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</si>
  <si>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</si>
  <si>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</si>
  <si>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</si>
  <si>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</si>
  <si>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</si>
  <si>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</si>
  <si>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</si>
  <si>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</si>
  <si>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</si>
  <si>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</si>
  <si>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</si>
  <si>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</si>
  <si>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</si>
  <si>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</si>
  <si>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</si>
  <si>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</si>
  <si>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</si>
  <si>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</si>
  <si>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</si>
  <si>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</si>
  <si>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</si>
  <si>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</si>
  <si>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</si>
  <si>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</si>
  <si>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</si>
  <si>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</si>
  <si>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</si>
  <si>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</si>
  <si>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</si>
  <si>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</si>
  <si>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</si>
  <si>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</si>
  <si>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</si>
  <si>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</si>
  <si>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</si>
  <si>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</si>
  <si>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</si>
  <si>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</si>
  <si>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</si>
  <si>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</si>
  <si>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</si>
  <si>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</si>
  <si>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</si>
  <si>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</si>
  <si>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</si>
  <si>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</si>
  <si>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</si>
  <si>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</si>
  <si>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</si>
  <si>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</si>
  <si>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</si>
  <si>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</si>
  <si>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</si>
  <si>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</si>
  <si>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</si>
  <si>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</si>
  <si>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</si>
  <si>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</si>
  <si>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</si>
  <si>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</si>
  <si>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</si>
  <si>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</si>
  <si>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</si>
  <si>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</si>
  <si>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</si>
  <si>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</si>
  <si>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</si>
  <si>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</si>
  <si>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</si>
  <si>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</si>
  <si>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</si>
  <si>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</si>
  <si>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</si>
  <si>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</si>
  <si>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</si>
  <si>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</si>
  <si>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</si>
  <si>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</si>
  <si>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</si>
  <si>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</si>
  <si>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</si>
  <si>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</si>
  <si>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</si>
  <si>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</si>
  <si>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</si>
  <si>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</si>
  <si>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</si>
  <si>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</si>
  <si>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</si>
  <si>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</si>
  <si>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</si>
  <si>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</si>
  <si>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</si>
  <si>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</si>
  <si>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</si>
  <si>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</si>
  <si>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</si>
  <si>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</si>
  <si>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</si>
  <si>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</si>
  <si>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</si>
  <si>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</si>
  <si>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</si>
  <si>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</si>
  <si>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</si>
  <si>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</si>
  <si>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</si>
  <si>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</si>
  <si>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</si>
  <si>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</si>
  <si>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</si>
  <si>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</si>
  <si>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</si>
  <si>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</si>
  <si>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</si>
  <si>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</si>
  <si>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</si>
  <si>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</si>
  <si>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</si>
  <si>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</si>
  <si>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</si>
  <si>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</si>
  <si>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</si>
  <si>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</si>
  <si>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</si>
  <si>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</si>
  <si>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</si>
  <si>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</si>
  <si>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</si>
  <si>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</si>
  <si>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</si>
  <si>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</si>
  <si>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</si>
  <si>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</si>
  <si>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</si>
  <si>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</si>
  <si>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</si>
  <si>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</si>
  <si>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</si>
  <si>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</si>
  <si>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</si>
  <si>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</si>
  <si>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</si>
  <si>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</si>
  <si>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</si>
  <si>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</si>
  <si>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</si>
  <si>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</si>
  <si>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</si>
  <si>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</si>
  <si>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</si>
  <si>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</si>
  <si>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</si>
  <si>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</si>
  <si>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</si>
  <si>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</si>
  <si>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</si>
  <si>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</si>
  <si>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</si>
  <si>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</si>
  <si>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</si>
  <si>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</si>
  <si>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</si>
  <si>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</si>
  <si>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</si>
  <si>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</si>
  <si>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</si>
  <si>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</si>
  <si>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</si>
  <si>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</si>
  <si>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</si>
  <si>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</si>
  <si>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</si>
  <si>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</si>
  <si>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</si>
  <si>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</si>
  <si>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</si>
  <si>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</si>
  <si>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</si>
  <si>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</si>
  <si>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</si>
  <si>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</si>
  <si>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</si>
  <si>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</si>
  <si>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</si>
  <si>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</si>
  <si>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</si>
  <si>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</si>
  <si>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</si>
  <si>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</si>
  <si>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</si>
  <si>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</si>
  <si>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</si>
  <si>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</si>
  <si>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</si>
  <si>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</si>
  <si>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</si>
  <si>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</si>
  <si>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</si>
  <si>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</si>
  <si>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</si>
  <si>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</si>
  <si>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</si>
  <si>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</si>
  <si>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</si>
  <si>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</si>
  <si>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</si>
  <si>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</si>
  <si>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</si>
  <si>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</si>
  <si>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</si>
  <si>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</si>
  <si>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</si>
  <si>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</si>
  <si>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</si>
  <si>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</si>
  <si>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</si>
  <si>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</si>
  <si>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</si>
  <si>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</si>
  <si>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</si>
  <si>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</si>
  <si>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</si>
  <si>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</si>
  <si>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</si>
  <si>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</si>
  <si>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</si>
  <si>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</si>
  <si>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</si>
  <si>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</si>
  <si>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</si>
  <si>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</si>
  <si>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</si>
  <si>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</si>
  <si>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</si>
  <si>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</si>
  <si>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</si>
  <si>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</si>
  <si>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</si>
  <si>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</si>
  <si>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</si>
  <si>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</si>
  <si>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</si>
  <si>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</si>
  <si>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</si>
  <si>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</si>
  <si>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</si>
  <si>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</si>
  <si>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</si>
  <si>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</si>
  <si>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</si>
  <si>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</si>
  <si>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</si>
  <si>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</si>
  <si>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</si>
  <si>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</si>
  <si>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</si>
  <si>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</si>
  <si>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</si>
  <si>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</si>
  <si>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</si>
  <si>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</si>
  <si>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</si>
  <si>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</si>
  <si>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</si>
  <si>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</si>
  <si>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</si>
  <si>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</si>
  <si>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</si>
  <si>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</si>
  <si>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</si>
  <si>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</si>
  <si>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</si>
  <si>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</si>
  <si>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</si>
  <si>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</si>
  <si>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</si>
  <si>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</si>
  <si>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</si>
  <si>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</si>
  <si>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</si>
  <si>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</si>
  <si>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</si>
  <si>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</si>
  <si>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</si>
  <si>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</si>
  <si>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</si>
  <si>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</si>
  <si>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</si>
  <si>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</si>
  <si>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</si>
  <si>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</si>
  <si>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</si>
  <si>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</si>
  <si>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</si>
  <si>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</si>
  <si>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</si>
  <si>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</si>
  <si>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</si>
  <si>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</si>
  <si>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</si>
  <si>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</si>
  <si>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</si>
  <si>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</si>
  <si>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</si>
  <si>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</si>
  <si>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</si>
  <si>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</si>
  <si>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</si>
  <si>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</si>
  <si>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</si>
  <si>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</si>
  <si>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</si>
  <si>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</si>
  <si>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</si>
  <si>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</si>
  <si>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</si>
  <si>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</si>
  <si>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</si>
  <si>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</si>
  <si>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</si>
  <si>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</si>
  <si>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</si>
  <si>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</si>
  <si>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</si>
  <si>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</si>
  <si>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</si>
  <si>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</si>
  <si>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</si>
  <si>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</si>
  <si>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</si>
  <si>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</si>
  <si>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</si>
  <si>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</si>
  <si>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</si>
  <si>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</si>
  <si>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</si>
  <si>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</si>
  <si>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</si>
  <si>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</si>
  <si>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</si>
  <si>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</si>
  <si>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</si>
  <si>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</si>
  <si>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</si>
  <si>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</si>
  <si>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</si>
  <si>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</si>
  <si>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Data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</si>
  <si>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</si>
  <si>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</si>
  <si>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</si>
  <si>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</si>
  <si>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</si>
  <si>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</si>
  <si>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</si>
  <si>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</si>
  <si>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</si>
  <si>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</si>
  <si>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</si>
  <si>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</si>
  <si>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</si>
  <si>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</si>
  <si>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</si>
  <si>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</si>
  <si>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</si>
  <si>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</si>
  <si>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</si>
  <si>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</si>
  <si>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</si>
  <si>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</si>
  <si>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</si>
  <si>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</si>
  <si>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</si>
  <si>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</si>
  <si>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</si>
  <si>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</si>
  <si>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</si>
  <si>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</si>
  <si>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</si>
  <si>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</si>
  <si>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</si>
  <si>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</si>
  <si>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</si>
  <si>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</si>
  <si>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</si>
  <si>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</si>
  <si>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</si>
  <si>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versie: 2016_02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</si>
  <si>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</si>
  <si>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</si>
  <si>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</si>
  <si>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</si>
  <si>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</si>
  <si>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</si>
  <si>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</si>
  <si>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</si>
  <si>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</si>
  <si>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</si>
  <si>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</si>
  <si>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</si>
  <si>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</si>
  <si>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</si>
  <si>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</si>
  <si>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</si>
  <si>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</si>
  <si>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</si>
  <si>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</si>
  <si>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</si>
  <si>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</si>
  <si>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</si>
  <si>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</si>
  <si>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</si>
  <si>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</si>
  <si>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</si>
  <si>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</si>
  <si>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</si>
  <si>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</si>
  <si>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</si>
  <si>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</si>
  <si>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</si>
  <si>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</si>
  <si>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</si>
  <si>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</si>
  <si>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37018</t>
  </si>
  <si>
    <t>WINGENE</t>
  </si>
  <si>
    <t>Eandis (januari 2018); Infrax (juni 2018)</t>
  </si>
  <si>
    <t>MOW (september 2017)</t>
  </si>
  <si>
    <t>referentietaak LNE (2017); Jaarverslag De Lijn (2016)</t>
  </si>
  <si>
    <t>VEA (april 2018)</t>
  </si>
  <si>
    <t>VEA (januari 2017)</t>
  </si>
  <si>
    <t>VEA (juni 2018)</t>
  </si>
</sst>
</file>

<file path=xl/styles.xml><?xml version="1.0" encoding="utf-8"?>
<styleSheet xmlns="http://schemas.openxmlformats.org/spreadsheetml/2006/main">
  <numFmts count="17">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4">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s>
  <borders count="20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8"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5" fontId="10" fillId="0" borderId="0" applyFont="0" applyFill="0" applyBorder="0" applyAlignment="0" applyProtection="0"/>
    <xf numFmtId="167"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5" fontId="33" fillId="0" borderId="0" applyFont="0" applyFill="0" applyBorder="0" applyAlignment="0" applyProtection="0"/>
    <xf numFmtId="167" fontId="33" fillId="0" borderId="0" applyFont="0" applyFill="0" applyBorder="0" applyAlignment="0" applyProtection="0"/>
    <xf numFmtId="164" fontId="33" fillId="0" borderId="0" applyFont="0" applyFill="0" applyBorder="0" applyAlignment="0" applyProtection="0"/>
    <xf numFmtId="166"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4" fontId="10" fillId="0" borderId="0" applyFont="0" applyFill="0" applyBorder="0" applyAlignment="0" applyProtection="0"/>
    <xf numFmtId="166" fontId="10" fillId="0" borderId="0" applyFont="0" applyFill="0" applyBorder="0" applyAlignment="0" applyProtection="0"/>
    <xf numFmtId="164" fontId="10" fillId="0" borderId="0" applyFont="0" applyFill="0" applyBorder="0" applyAlignment="0" applyProtection="0"/>
    <xf numFmtId="166"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3"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53" fillId="0" borderId="0"/>
    <xf numFmtId="172" fontId="73"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3" fillId="0" borderId="0"/>
    <xf numFmtId="0" fontId="107" fillId="0" borderId="0"/>
    <xf numFmtId="0" fontId="2" fillId="0" borderId="0" applyNumberFormat="0" applyFill="0" applyBorder="0" applyAlignment="0" applyProtection="0"/>
    <xf numFmtId="0" fontId="108" fillId="0" borderId="187"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4" fillId="0" borderId="2" applyNumberFormat="0" applyFill="0" applyAlignment="0" applyProtection="0"/>
    <xf numFmtId="172" fontId="5" fillId="0" borderId="0"/>
  </cellStyleXfs>
  <cellXfs count="1277">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4"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0"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9"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4"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3"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1"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1" xfId="0" applyFont="1" applyFill="1" applyBorder="1" applyAlignment="1">
      <alignment horizontal="left" vertical="center" wrapText="1"/>
    </xf>
    <xf numFmtId="172" fontId="79" fillId="0" borderId="81" xfId="0" applyFont="1" applyFill="1" applyBorder="1" applyAlignment="1">
      <alignment horizontal="left" vertical="center" wrapText="1"/>
    </xf>
    <xf numFmtId="172" fontId="0" fillId="0" borderId="117" xfId="0" applyBorder="1"/>
    <xf numFmtId="172" fontId="48" fillId="0" borderId="81" xfId="0" applyFont="1" applyFill="1" applyBorder="1" applyAlignment="1">
      <alignment horizontal="justify" wrapText="1"/>
    </xf>
    <xf numFmtId="172" fontId="79" fillId="0" borderId="117" xfId="0" applyFont="1" applyFill="1" applyBorder="1" applyAlignment="1">
      <alignment horizontal="left" vertical="center" wrapText="1"/>
    </xf>
    <xf numFmtId="172" fontId="79" fillId="0" borderId="118" xfId="0" applyFont="1" applyFill="1" applyBorder="1" applyAlignment="1">
      <alignment horizontal="left" vertical="center" wrapText="1"/>
    </xf>
    <xf numFmtId="172" fontId="54" fillId="12" borderId="104" xfId="0" applyFont="1" applyFill="1" applyBorder="1" applyAlignment="1">
      <alignment horizontal="left" vertical="center" wrapText="1"/>
    </xf>
    <xf numFmtId="172" fontId="54" fillId="12" borderId="62"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2" xfId="0" applyBorder="1"/>
    <xf numFmtId="172" fontId="0" fillId="0" borderId="18" xfId="0" applyBorder="1"/>
    <xf numFmtId="172" fontId="77" fillId="12" borderId="87"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7" fillId="23" borderId="19" xfId="0" applyFont="1" applyFill="1" applyBorder="1"/>
    <xf numFmtId="172" fontId="0" fillId="0" borderId="121"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7" fillId="0" borderId="121"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4" fillId="0" borderId="113" xfId="0" applyFont="1" applyBorder="1" applyAlignment="1">
      <alignment vertical="top" wrapText="1"/>
    </xf>
    <xf numFmtId="172" fontId="24" fillId="0" borderId="116" xfId="0" applyFont="1" applyBorder="1" applyAlignment="1">
      <alignment vertical="top"/>
    </xf>
    <xf numFmtId="172" fontId="24" fillId="0" borderId="122" xfId="0" applyFont="1" applyBorder="1"/>
    <xf numFmtId="172" fontId="24" fillId="0" borderId="124" xfId="0" applyFont="1" applyBorder="1"/>
    <xf numFmtId="172" fontId="24" fillId="0" borderId="121"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7" xfId="0" applyFont="1" applyFill="1" applyBorder="1" applyAlignment="1">
      <alignment horizontal="justify" vertical="top"/>
    </xf>
    <xf numFmtId="172" fontId="0" fillId="0" borderId="116" xfId="0" applyFill="1" applyBorder="1" applyAlignment="1">
      <alignment horizontal="left"/>
    </xf>
    <xf numFmtId="172" fontId="73" fillId="0" borderId="0" xfId="150" applyBorder="1" applyAlignment="1" applyProtection="1">
      <alignment vertical="top"/>
    </xf>
    <xf numFmtId="172" fontId="7" fillId="0" borderId="114" xfId="0" applyFont="1" applyBorder="1"/>
    <xf numFmtId="172" fontId="73" fillId="0" borderId="81" xfId="150" applyBorder="1" applyAlignment="1" applyProtection="1"/>
    <xf numFmtId="172" fontId="73" fillId="0" borderId="81" xfId="150" quotePrefix="1" applyBorder="1" applyAlignment="1" applyProtection="1"/>
    <xf numFmtId="172" fontId="7" fillId="0" borderId="118"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2" xfId="0" applyFill="1" applyBorder="1"/>
    <xf numFmtId="172" fontId="6" fillId="0" borderId="0" xfId="0" applyFont="1" applyBorder="1"/>
    <xf numFmtId="172" fontId="6" fillId="0" borderId="0" xfId="0" applyFont="1" applyFill="1" applyBorder="1"/>
    <xf numFmtId="172" fontId="0" fillId="0" borderId="135" xfId="0" applyBorder="1"/>
    <xf numFmtId="172" fontId="0" fillId="0" borderId="136" xfId="0" applyBorder="1"/>
    <xf numFmtId="172" fontId="24" fillId="0" borderId="0" xfId="0" applyFont="1" applyBorder="1" applyAlignment="1">
      <alignment vertical="top" wrapText="1"/>
    </xf>
    <xf numFmtId="172" fontId="24" fillId="0" borderId="81" xfId="0" applyFont="1" applyBorder="1" applyAlignment="1">
      <alignment vertical="top"/>
    </xf>
    <xf numFmtId="3" fontId="0" fillId="13" borderId="15" xfId="0" quotePrefix="1" applyNumberFormat="1" applyFill="1" applyBorder="1" applyAlignment="1">
      <alignment horizontal="center"/>
    </xf>
    <xf numFmtId="172" fontId="24" fillId="0" borderId="116"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1" fillId="0" borderId="137" xfId="7" applyFont="1" applyFill="1" applyBorder="1" applyAlignment="1">
      <alignment wrapText="1"/>
    </xf>
    <xf numFmtId="172" fontId="7" fillId="23" borderId="103" xfId="0" applyFont="1" applyFill="1" applyBorder="1"/>
    <xf numFmtId="172" fontId="7" fillId="23" borderId="53" xfId="0" applyFont="1" applyFill="1" applyBorder="1"/>
    <xf numFmtId="172" fontId="7" fillId="23" borderId="102" xfId="0" applyFont="1" applyFill="1" applyBorder="1"/>
    <xf numFmtId="3" fontId="0" fillId="0" borderId="62" xfId="0" applyNumberFormat="1" applyFill="1" applyBorder="1"/>
    <xf numFmtId="172" fontId="73" fillId="0" borderId="18" xfId="150" applyBorder="1" applyAlignment="1" applyProtection="1"/>
    <xf numFmtId="172" fontId="87" fillId="0" borderId="139" xfId="0" applyFont="1" applyBorder="1"/>
    <xf numFmtId="172" fontId="6" fillId="0" borderId="62" xfId="0" applyFont="1" applyBorder="1"/>
    <xf numFmtId="172" fontId="6" fillId="0" borderId="18" xfId="0" applyFont="1" applyBorder="1"/>
    <xf numFmtId="172" fontId="73"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7"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2" fillId="0" borderId="137" xfId="7" applyFont="1" applyFill="1" applyBorder="1" applyAlignment="1">
      <alignment wrapText="1"/>
    </xf>
    <xf numFmtId="172" fontId="0" fillId="0" borderId="114" xfId="0" applyFill="1" applyBorder="1"/>
    <xf numFmtId="172" fontId="7" fillId="0" borderId="114" xfId="0" applyFont="1" applyFill="1" applyBorder="1"/>
    <xf numFmtId="172" fontId="95" fillId="0" borderId="8" xfId="0" applyFont="1" applyBorder="1"/>
    <xf numFmtId="172" fontId="0" fillId="0" borderId="143"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7" xfId="0" applyFont="1" applyBorder="1"/>
    <xf numFmtId="172" fontId="0" fillId="0" borderId="148" xfId="0" applyBorder="1" applyAlignment="1">
      <alignment horizontal="center"/>
    </xf>
    <xf numFmtId="172" fontId="7" fillId="0" borderId="150" xfId="0" applyFont="1" applyBorder="1"/>
    <xf numFmtId="172" fontId="0" fillId="0" borderId="146" xfId="0" applyBorder="1" applyAlignment="1">
      <alignment horizontal="center"/>
    </xf>
    <xf numFmtId="172" fontId="0" fillId="0" borderId="152" xfId="0" applyBorder="1"/>
    <xf numFmtId="172" fontId="17" fillId="0" borderId="124" xfId="7" applyFont="1" applyFill="1" applyBorder="1" applyAlignment="1">
      <alignment wrapText="1"/>
    </xf>
    <xf numFmtId="172" fontId="0" fillId="0" borderId="146" xfId="0" applyBorder="1" applyAlignment="1">
      <alignment horizontal="left"/>
    </xf>
    <xf numFmtId="172" fontId="7" fillId="0" borderId="152" xfId="0" applyFont="1" applyBorder="1"/>
    <xf numFmtId="172" fontId="46" fillId="0" borderId="138" xfId="0" applyFont="1" applyFill="1" applyBorder="1"/>
    <xf numFmtId="172" fontId="46" fillId="0" borderId="138" xfId="0" applyFont="1" applyBorder="1"/>
    <xf numFmtId="172" fontId="7" fillId="0" borderId="124" xfId="0" applyFont="1" applyFill="1" applyBorder="1"/>
    <xf numFmtId="172" fontId="0" fillId="23" borderId="4" xfId="0" applyFill="1" applyBorder="1"/>
    <xf numFmtId="172" fontId="7" fillId="0" borderId="137" xfId="0" applyFont="1" applyBorder="1"/>
    <xf numFmtId="172" fontId="46"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52" xfId="0" applyFont="1" applyFill="1" applyBorder="1"/>
    <xf numFmtId="172" fontId="41" fillId="0" borderId="154" xfId="7" applyFont="1" applyFill="1" applyBorder="1" applyAlignment="1">
      <alignment wrapText="1"/>
    </xf>
    <xf numFmtId="172" fontId="0" fillId="0" borderId="10" xfId="0" applyFill="1" applyBorder="1"/>
    <xf numFmtId="172" fontId="0" fillId="0" borderId="11" xfId="0" applyFill="1" applyBorder="1"/>
    <xf numFmtId="172" fontId="7" fillId="0" borderId="152" xfId="0" applyFont="1" applyFill="1" applyBorder="1"/>
    <xf numFmtId="172" fontId="0" fillId="0" borderId="124" xfId="0" applyFill="1" applyBorder="1"/>
    <xf numFmtId="172" fontId="7" fillId="0" borderId="154" xfId="0" applyFont="1" applyFill="1" applyBorder="1"/>
    <xf numFmtId="172" fontId="17"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8" fillId="0" borderId="7" xfId="0" applyFont="1" applyFill="1" applyBorder="1"/>
    <xf numFmtId="172" fontId="0" fillId="0" borderId="150" xfId="0" applyFill="1" applyBorder="1"/>
    <xf numFmtId="172" fontId="0" fillId="0" borderId="7" xfId="0" applyFont="1" applyFill="1" applyBorder="1"/>
    <xf numFmtId="3" fontId="6" fillId="0" borderId="0" xfId="0" applyNumberFormat="1" applyFont="1" applyAlignment="1">
      <alignment horizontal="center"/>
    </xf>
    <xf numFmtId="172" fontId="4" fillId="0" borderId="155" xfId="3" applyBorder="1"/>
    <xf numFmtId="172" fontId="4" fillId="0" borderId="0" xfId="3" applyBorder="1"/>
    <xf numFmtId="172" fontId="0" fillId="0" borderId="155" xfId="0" applyBorder="1"/>
    <xf numFmtId="172" fontId="46" fillId="23" borderId="3" xfId="3" applyFont="1" applyFill="1" applyBorder="1"/>
    <xf numFmtId="172" fontId="46"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1"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5" fillId="0" borderId="124" xfId="54" applyNumberFormat="1" applyFont="1" applyFill="1" applyBorder="1" applyAlignment="1">
      <alignment horizontal="center" vertical="center"/>
    </xf>
    <xf numFmtId="172" fontId="7" fillId="0" borderId="3" xfId="0" applyFont="1" applyBorder="1"/>
    <xf numFmtId="172" fontId="24" fillId="0" borderId="155" xfId="0" applyFont="1" applyBorder="1"/>
    <xf numFmtId="172" fontId="24" fillId="0" borderId="155" xfId="0" applyFont="1" applyFill="1" applyBorder="1"/>
    <xf numFmtId="172" fontId="24" fillId="0" borderId="0" xfId="0" applyFont="1" applyFill="1" applyBorder="1"/>
    <xf numFmtId="9" fontId="24" fillId="0" borderId="0" xfId="0" applyNumberFormat="1" applyFont="1" applyBorder="1"/>
    <xf numFmtId="172" fontId="49" fillId="0" borderId="10" xfId="0" applyFont="1" applyBorder="1"/>
    <xf numFmtId="9" fontId="49" fillId="0" borderId="12" xfId="0" applyNumberFormat="1" applyFont="1" applyBorder="1"/>
    <xf numFmtId="172" fontId="24" fillId="0" borderId="155" xfId="3" applyFont="1" applyFill="1" applyBorder="1"/>
    <xf numFmtId="172" fontId="24" fillId="0" borderId="8" xfId="0" applyFont="1" applyFill="1" applyBorder="1"/>
    <xf numFmtId="172" fontId="24" fillId="0" borderId="152" xfId="3" applyFont="1" applyBorder="1"/>
    <xf numFmtId="172" fontId="24" fillId="0" borderId="154"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1" xfId="0" applyBorder="1" applyAlignment="1">
      <alignment vertical="top" wrapText="1"/>
    </xf>
    <xf numFmtId="172" fontId="7" fillId="0" borderId="81" xfId="0" applyFont="1" applyFill="1" applyBorder="1"/>
    <xf numFmtId="172" fontId="7" fillId="0" borderId="117"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9"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4"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6" fillId="23" borderId="126" xfId="2" applyNumberFormat="1" applyFont="1" applyFill="1" applyBorder="1"/>
    <xf numFmtId="0" fontId="46" fillId="23" borderId="134" xfId="2" applyNumberFormat="1" applyFont="1" applyFill="1" applyBorder="1"/>
    <xf numFmtId="0" fontId="0" fillId="0" borderId="0" xfId="0" applyNumberFormat="1"/>
    <xf numFmtId="0" fontId="85" fillId="0" borderId="0" xfId="1" applyNumberFormat="1" applyFont="1" applyBorder="1"/>
    <xf numFmtId="0" fontId="91" fillId="23" borderId="103" xfId="1" applyNumberFormat="1" applyFont="1" applyFill="1" applyBorder="1"/>
    <xf numFmtId="0" fontId="24" fillId="23" borderId="53" xfId="0" applyNumberFormat="1" applyFont="1" applyFill="1" applyBorder="1"/>
    <xf numFmtId="0" fontId="24" fillId="23" borderId="170" xfId="0" applyNumberFormat="1" applyFont="1" applyFill="1" applyBorder="1"/>
    <xf numFmtId="0" fontId="46" fillId="23" borderId="125" xfId="2" applyNumberFormat="1" applyFont="1" applyFill="1" applyBorder="1"/>
    <xf numFmtId="0" fontId="46" fillId="23" borderId="126" xfId="2" applyNumberFormat="1" applyFont="1" applyFill="1" applyBorder="1" applyAlignment="1">
      <alignment horizontal="left"/>
    </xf>
    <xf numFmtId="0" fontId="24" fillId="0" borderId="114" xfId="3" applyNumberFormat="1" applyFont="1" applyBorder="1"/>
    <xf numFmtId="0" fontId="0" fillId="0" borderId="114" xfId="0" applyNumberFormat="1" applyBorder="1"/>
    <xf numFmtId="0" fontId="81" fillId="0" borderId="0" xfId="0" applyNumberFormat="1" applyFont="1"/>
    <xf numFmtId="0" fontId="24" fillId="23" borderId="102" xfId="0" applyNumberFormat="1" applyFont="1" applyFill="1" applyBorder="1"/>
    <xf numFmtId="0" fontId="46" fillId="23" borderId="127" xfId="2" applyNumberFormat="1" applyFont="1" applyFill="1" applyBorder="1"/>
    <xf numFmtId="0" fontId="46" fillId="23" borderId="128" xfId="2" applyNumberFormat="1" applyFont="1" applyFill="1" applyBorder="1"/>
    <xf numFmtId="0" fontId="46" fillId="23" borderId="129" xfId="2" applyNumberFormat="1" applyFont="1" applyFill="1" applyBorder="1"/>
    <xf numFmtId="0" fontId="24" fillId="0" borderId="0" xfId="3" applyNumberFormat="1" applyFont="1"/>
    <xf numFmtId="0" fontId="46" fillId="23" borderId="130" xfId="3" applyNumberFormat="1" applyFont="1" applyFill="1" applyBorder="1"/>
    <xf numFmtId="0" fontId="46" fillId="23" borderId="120" xfId="3" applyNumberFormat="1" applyFont="1" applyFill="1" applyBorder="1"/>
    <xf numFmtId="0" fontId="46" fillId="23" borderId="131" xfId="3" applyNumberFormat="1" applyFont="1" applyFill="1" applyBorder="1"/>
    <xf numFmtId="0" fontId="46" fillId="23" borderId="127" xfId="3" applyNumberFormat="1" applyFont="1" applyFill="1" applyBorder="1"/>
    <xf numFmtId="0" fontId="46" fillId="23" borderId="128" xfId="3" applyNumberFormat="1" applyFont="1" applyFill="1" applyBorder="1"/>
    <xf numFmtId="0" fontId="46" fillId="23" borderId="129" xfId="3" applyNumberFormat="1" applyFont="1" applyFill="1" applyBorder="1"/>
    <xf numFmtId="0" fontId="24" fillId="0" borderId="0" xfId="3" applyNumberFormat="1" applyFont="1" applyBorder="1"/>
    <xf numFmtId="0" fontId="0" fillId="0" borderId="0" xfId="0" applyNumberFormat="1" applyBorder="1"/>
    <xf numFmtId="0" fontId="91" fillId="23" borderId="21" xfId="1" applyNumberFormat="1" applyFont="1" applyFill="1" applyBorder="1"/>
    <xf numFmtId="0" fontId="24" fillId="23" borderId="0" xfId="0" applyNumberFormat="1" applyFont="1" applyFill="1" applyBorder="1"/>
    <xf numFmtId="0" fontId="46" fillId="23" borderId="0" xfId="0" applyNumberFormat="1" applyFont="1" applyFill="1" applyBorder="1"/>
    <xf numFmtId="0" fontId="24" fillId="23" borderId="81" xfId="0" applyNumberFormat="1" applyFont="1" applyFill="1" applyBorder="1"/>
    <xf numFmtId="0" fontId="46" fillId="23" borderId="128" xfId="2" applyNumberFormat="1" applyFont="1" applyFill="1" applyBorder="1" applyAlignment="1">
      <alignment horizontal="left"/>
    </xf>
    <xf numFmtId="0" fontId="82" fillId="0" borderId="0" xfId="3" applyNumberFormat="1" applyFont="1"/>
    <xf numFmtId="0" fontId="24" fillId="23" borderId="53" xfId="3" applyNumberFormat="1" applyFont="1" applyFill="1" applyBorder="1"/>
    <xf numFmtId="0" fontId="4" fillId="0" borderId="0" xfId="3" applyNumberFormat="1"/>
    <xf numFmtId="0" fontId="24" fillId="23" borderId="132" xfId="0" applyNumberFormat="1" applyFont="1" applyFill="1" applyBorder="1"/>
    <xf numFmtId="0" fontId="46" fillId="23" borderId="119" xfId="0" applyNumberFormat="1" applyFont="1" applyFill="1" applyBorder="1"/>
    <xf numFmtId="0" fontId="46" fillId="23" borderId="133"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3"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40" xfId="0" applyNumberFormat="1" applyFont="1" applyFill="1" applyBorder="1"/>
    <xf numFmtId="0" fontId="0" fillId="0" borderId="21" xfId="0" applyNumberFormat="1" applyBorder="1"/>
    <xf numFmtId="0" fontId="7" fillId="13" borderId="21" xfId="0" applyNumberFormat="1" applyFont="1" applyFill="1" applyBorder="1"/>
    <xf numFmtId="0" fontId="0" fillId="0" borderId="104" xfId="0" applyNumberFormat="1" applyBorder="1"/>
    <xf numFmtId="0" fontId="7" fillId="23" borderId="103" xfId="0" applyNumberFormat="1" applyFont="1" applyFill="1" applyBorder="1"/>
    <xf numFmtId="0" fontId="46" fillId="23" borderId="19" xfId="0" applyNumberFormat="1" applyFont="1" applyFill="1" applyBorder="1"/>
    <xf numFmtId="0" fontId="39" fillId="23" borderId="87"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1"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wrapText="1"/>
    </xf>
    <xf numFmtId="0" fontId="73" fillId="0" borderId="115" xfId="150" applyNumberFormat="1" applyBorder="1" applyAlignment="1" applyProtection="1"/>
    <xf numFmtId="0" fontId="0" fillId="0" borderId="113" xfId="0" applyNumberFormat="1" applyBorder="1"/>
    <xf numFmtId="0" fontId="0" fillId="0" borderId="116" xfId="0" applyNumberFormat="1" applyBorder="1"/>
    <xf numFmtId="0" fontId="73" fillId="0" borderId="117" xfId="150" applyNumberFormat="1" applyBorder="1" applyAlignment="1" applyProtection="1"/>
    <xf numFmtId="0" fontId="0" fillId="0" borderId="118" xfId="0" applyNumberFormat="1" applyBorder="1"/>
    <xf numFmtId="0" fontId="73" fillId="0" borderId="115" xfId="150" quotePrefix="1" applyNumberFormat="1" applyBorder="1" applyAlignment="1" applyProtection="1"/>
    <xf numFmtId="0" fontId="0" fillId="0" borderId="117" xfId="0" applyNumberFormat="1" applyBorder="1"/>
    <xf numFmtId="0" fontId="24" fillId="0" borderId="0" xfId="0" applyNumberFormat="1" applyFont="1" applyBorder="1"/>
    <xf numFmtId="0" fontId="24" fillId="0" borderId="81"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9" fillId="0" borderId="103" xfId="0" applyNumberFormat="1" applyFont="1" applyFill="1" applyBorder="1" applyAlignment="1">
      <alignment horizontal="left" vertical="center" wrapText="1"/>
    </xf>
    <xf numFmtId="0" fontId="80" fillId="0" borderId="53" xfId="0" applyNumberFormat="1" applyFont="1" applyFill="1" applyBorder="1" applyAlignment="1">
      <alignment horizontal="left" vertical="center" wrapText="1"/>
    </xf>
    <xf numFmtId="0" fontId="80" fillId="0" borderId="102"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3" xfId="0" applyNumberFormat="1" applyFont="1" applyFill="1" applyBorder="1" applyAlignment="1">
      <alignment horizontal="left" vertical="center"/>
    </xf>
    <xf numFmtId="0" fontId="83" fillId="12" borderId="53" xfId="0" applyNumberFormat="1" applyFont="1" applyFill="1" applyBorder="1" applyAlignment="1">
      <alignment horizontal="left" vertical="center"/>
    </xf>
    <xf numFmtId="0" fontId="83" fillId="12" borderId="102" xfId="0" applyNumberFormat="1" applyFont="1" applyFill="1" applyBorder="1" applyAlignment="1">
      <alignment horizontal="left" vertical="center" wrapText="1"/>
    </xf>
    <xf numFmtId="0" fontId="24" fillId="15" borderId="115"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24"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0" fillId="23" borderId="87"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7" fillId="12" borderId="87"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0" fillId="4" borderId="152"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28"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3" xfId="0" applyNumberFormat="1" applyFont="1" applyBorder="1"/>
    <xf numFmtId="3" fontId="88"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7" xfId="0" applyNumberFormat="1" applyFont="1" applyFill="1" applyBorder="1"/>
    <xf numFmtId="3" fontId="0" fillId="0" borderId="114" xfId="0" applyNumberFormat="1" applyFont="1" applyFill="1" applyBorder="1"/>
    <xf numFmtId="3" fontId="7" fillId="0" borderId="114" xfId="0" applyNumberFormat="1" applyFont="1" applyFill="1" applyBorder="1" applyAlignment="1">
      <alignment horizontal="left"/>
    </xf>
    <xf numFmtId="3" fontId="0" fillId="0" borderId="138"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3" xfId="0" applyNumberFormat="1" applyFont="1" applyFill="1" applyBorder="1"/>
    <xf numFmtId="3" fontId="7" fillId="0" borderId="114" xfId="0" applyNumberFormat="1" applyFont="1" applyBorder="1"/>
    <xf numFmtId="3" fontId="6" fillId="0" borderId="62" xfId="0" applyNumberFormat="1" applyFont="1" applyBorder="1"/>
    <xf numFmtId="3" fontId="7" fillId="0" borderId="0" xfId="0" applyNumberFormat="1" applyFont="1" applyFill="1" applyBorder="1"/>
    <xf numFmtId="3" fontId="0" fillId="0" borderId="62" xfId="0" applyNumberFormat="1" applyBorder="1"/>
    <xf numFmtId="4" fontId="7" fillId="23" borderId="16" xfId="0" applyNumberFormat="1" applyFont="1" applyFill="1" applyBorder="1"/>
    <xf numFmtId="4" fontId="0" fillId="0" borderId="81" xfId="0" applyNumberFormat="1" applyBorder="1"/>
    <xf numFmtId="4" fontId="46"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7"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6"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4"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7"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172" fontId="41" fillId="0" borderId="78"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172" fontId="39" fillId="19" borderId="78"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5"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6"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3" fontId="43" fillId="0" borderId="97" xfId="0" applyNumberFormat="1" applyFont="1" applyFill="1" applyBorder="1" applyAlignment="1" applyProtection="1">
      <alignment horizontal="right" vertical="center"/>
    </xf>
    <xf numFmtId="172" fontId="0" fillId="0" borderId="67"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6"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8" xfId="0" applyNumberFormat="1" applyFont="1" applyFill="1" applyBorder="1" applyAlignment="1" applyProtection="1">
      <alignment horizontal="center" vertical="center" wrapText="1"/>
    </xf>
    <xf numFmtId="172" fontId="41" fillId="0" borderId="78" xfId="0" applyFont="1" applyBorder="1" applyAlignment="1" applyProtection="1">
      <alignment horizontal="center" vertical="center"/>
    </xf>
    <xf numFmtId="3" fontId="39" fillId="3" borderId="78"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9" xfId="0" applyNumberFormat="1" applyFont="1" applyFill="1" applyBorder="1" applyAlignment="1" applyProtection="1">
      <alignment horizontal="right" vertical="center"/>
    </xf>
    <xf numFmtId="3" fontId="43" fillId="0" borderId="89" xfId="0" applyNumberFormat="1" applyFont="1" applyFill="1" applyBorder="1" applyAlignment="1" applyProtection="1">
      <alignment horizontal="right" vertical="center"/>
    </xf>
    <xf numFmtId="3" fontId="39" fillId="19" borderId="78"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3"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1" xfId="0" applyNumberFormat="1" applyFont="1" applyFill="1" applyBorder="1" applyProtection="1"/>
    <xf numFmtId="172" fontId="7" fillId="3" borderId="104" xfId="0" applyFont="1" applyFill="1" applyBorder="1" applyProtection="1"/>
    <xf numFmtId="3" fontId="7" fillId="3" borderId="62" xfId="0" applyNumberFormat="1" applyFont="1" applyFill="1" applyBorder="1" applyAlignment="1" applyProtection="1">
      <alignment wrapText="1"/>
    </xf>
    <xf numFmtId="3" fontId="7" fillId="3" borderId="62" xfId="0" applyNumberFormat="1" applyFont="1" applyFill="1" applyBorder="1" applyAlignment="1" applyProtection="1">
      <alignment horizontal="center" wrapText="1"/>
    </xf>
    <xf numFmtId="3" fontId="7" fillId="3" borderId="62"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3" xfId="0" applyFont="1" applyBorder="1" applyProtection="1"/>
    <xf numFmtId="172" fontId="47" fillId="0" borderId="0" xfId="0" applyFont="1" applyBorder="1" applyProtection="1"/>
    <xf numFmtId="172" fontId="0" fillId="0" borderId="0" xfId="0" applyBorder="1" applyProtection="1"/>
    <xf numFmtId="172" fontId="46"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1"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7"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3" xfId="0" applyFont="1" applyFill="1" applyBorder="1" applyAlignment="1" applyProtection="1">
      <alignment vertical="top" wrapText="1"/>
      <protection locked="0"/>
    </xf>
    <xf numFmtId="3" fontId="40" fillId="22" borderId="53" xfId="0" applyNumberFormat="1" applyFont="1" applyFill="1" applyBorder="1" applyAlignment="1" applyProtection="1">
      <alignment vertical="top" wrapText="1"/>
      <protection locked="0"/>
    </xf>
    <xf numFmtId="172" fontId="40" fillId="22" borderId="102"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1"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1"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7" xfId="0" applyNumberFormat="1" applyFont="1" applyFill="1" applyBorder="1"/>
    <xf numFmtId="2" fontId="7" fillId="23" borderId="16" xfId="0" applyNumberFormat="1" applyFont="1" applyFill="1" applyBorder="1"/>
    <xf numFmtId="2" fontId="0" fillId="0" borderId="0" xfId="0" applyNumberFormat="1"/>
    <xf numFmtId="0" fontId="24"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7" fillId="0" borderId="21" xfId="7" applyNumberFormat="1" applyFont="1" applyFill="1" applyBorder="1" applyAlignment="1">
      <alignment wrapText="1"/>
    </xf>
    <xf numFmtId="2" fontId="17" fillId="0" borderId="104" xfId="7" applyNumberFormat="1" applyFont="1" applyFill="1" applyBorder="1" applyAlignment="1">
      <alignment wrapText="1"/>
    </xf>
    <xf numFmtId="2" fontId="17"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4" fillId="0" borderId="114" xfId="0" applyNumberFormat="1" applyFont="1" applyFill="1" applyBorder="1" applyAlignment="1">
      <alignment horizontal="left" vertical="top" wrapText="1"/>
    </xf>
    <xf numFmtId="2" fontId="24"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4" fillId="0" borderId="114"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7"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61" xfId="0" applyNumberFormat="1" applyFont="1" applyFill="1" applyBorder="1" applyAlignment="1" applyProtection="1">
      <alignment horizontal="center" vertical="center"/>
      <protection locked="0"/>
    </xf>
    <xf numFmtId="1" fontId="62" fillId="0" borderId="107"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9" borderId="50" xfId="0" applyNumberFormat="1" applyFont="1" applyFill="1" applyBorder="1" applyAlignment="1" applyProtection="1">
      <alignment horizontal="center" vertical="center"/>
      <protection locked="0"/>
    </xf>
    <xf numFmtId="1" fontId="62" fillId="19" borderId="49" xfId="0" applyNumberFormat="1" applyFont="1" applyFill="1" applyBorder="1" applyAlignment="1" applyProtection="1">
      <alignment horizontal="center" vertical="center"/>
      <protection locked="0"/>
    </xf>
    <xf numFmtId="1" fontId="62" fillId="19" borderId="108" xfId="0" applyNumberFormat="1" applyFont="1" applyFill="1" applyBorder="1" applyAlignment="1" applyProtection="1">
      <alignment horizontal="center" vertical="center"/>
      <protection locked="0"/>
    </xf>
    <xf numFmtId="1" fontId="62" fillId="18" borderId="109"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62" fillId="0" borderId="167" xfId="0" applyNumberFormat="1" applyFont="1" applyFill="1" applyBorder="1" applyAlignment="1" applyProtection="1">
      <alignment horizontal="center" vertical="center"/>
      <protection locked="0"/>
    </xf>
    <xf numFmtId="1" fontId="59" fillId="12" borderId="104"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1" fontId="62" fillId="19" borderId="105" xfId="0" applyNumberFormat="1" applyFont="1" applyFill="1" applyBorder="1" applyAlignment="1" applyProtection="1">
      <alignment horizontal="center" vertical="center"/>
      <protection locked="0"/>
    </xf>
    <xf numFmtId="1" fontId="62" fillId="19" borderId="166" xfId="0" applyNumberFormat="1" applyFont="1" applyFill="1" applyBorder="1" applyAlignment="1" applyProtection="1">
      <alignment horizontal="center" vertical="center"/>
      <protection locked="0"/>
    </xf>
    <xf numFmtId="1" fontId="54" fillId="12" borderId="110" xfId="0" applyNumberFormat="1" applyFont="1" applyFill="1" applyBorder="1" applyAlignment="1">
      <alignment vertical="center"/>
    </xf>
    <xf numFmtId="1" fontId="59" fillId="19" borderId="111" xfId="0" applyNumberFormat="1" applyFont="1" applyFill="1" applyBorder="1" applyAlignment="1" applyProtection="1">
      <alignment horizontal="center" vertical="center"/>
      <protection locked="0"/>
    </xf>
    <xf numFmtId="1" fontId="59" fillId="19" borderId="70" xfId="0" applyNumberFormat="1" applyFont="1" applyFill="1" applyBorder="1" applyAlignment="1" applyProtection="1">
      <alignment horizontal="center" vertical="center"/>
      <protection locked="0"/>
    </xf>
    <xf numFmtId="1" fontId="59" fillId="19" borderId="112"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8"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8"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8" borderId="60" xfId="0" applyNumberFormat="1" applyFont="1" applyFill="1" applyBorder="1" applyAlignment="1">
      <alignment horizontal="center" vertical="center"/>
    </xf>
    <xf numFmtId="1" fontId="59" fillId="18" borderId="61"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62" xfId="0" applyNumberFormat="1" applyFont="1" applyFill="1" applyBorder="1" applyAlignment="1">
      <alignment horizontal="center" vertical="center"/>
    </xf>
    <xf numFmtId="1" fontId="59" fillId="18" borderId="51"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19" borderId="164" xfId="0" applyNumberFormat="1" applyFont="1" applyFill="1" applyBorder="1" applyAlignment="1" applyProtection="1">
      <alignment horizontal="center" vertical="center"/>
      <protection locked="0"/>
    </xf>
    <xf numFmtId="1" fontId="62" fillId="19" borderId="87" xfId="0" applyNumberFormat="1" applyFont="1" applyFill="1" applyBorder="1" applyAlignment="1" applyProtection="1">
      <alignment horizontal="center" vertical="center"/>
      <protection locked="0"/>
    </xf>
    <xf numFmtId="1" fontId="62" fillId="19" borderId="165" xfId="0" applyNumberFormat="1" applyFont="1" applyFill="1" applyBorder="1" applyAlignment="1" applyProtection="1">
      <alignment horizontal="center" vertical="center"/>
      <protection locked="0"/>
    </xf>
    <xf numFmtId="1" fontId="59" fillId="18" borderId="63" xfId="0" applyNumberFormat="1" applyFont="1" applyFill="1" applyBorder="1" applyAlignment="1">
      <alignment horizontal="center" vertical="center"/>
    </xf>
    <xf numFmtId="1" fontId="59" fillId="12" borderId="163" xfId="0" applyNumberFormat="1" applyFont="1" applyFill="1" applyBorder="1" applyAlignment="1"/>
    <xf numFmtId="1" fontId="60" fillId="18" borderId="54" xfId="0" applyNumberFormat="1" applyFont="1" applyFill="1" applyBorder="1" applyAlignment="1">
      <alignment vertical="center"/>
    </xf>
    <xf numFmtId="1" fontId="59" fillId="18" borderId="65"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4" xfId="0" applyNumberFormat="1" applyFont="1" applyFill="1" applyBorder="1" applyAlignment="1" applyProtection="1">
      <alignment horizontal="center" vertical="center"/>
      <protection locked="0"/>
    </xf>
    <xf numFmtId="1" fontId="59" fillId="19" borderId="75" xfId="0" applyNumberFormat="1" applyFont="1" applyFill="1" applyBorder="1" applyAlignment="1" applyProtection="1">
      <alignment horizontal="center" vertical="center"/>
      <protection locked="0"/>
    </xf>
    <xf numFmtId="1" fontId="59" fillId="19" borderId="168" xfId="0" applyNumberFormat="1" applyFont="1" applyFill="1" applyBorder="1" applyAlignment="1" applyProtection="1">
      <alignment horizontal="center" vertical="center"/>
      <protection locked="0"/>
    </xf>
    <xf numFmtId="1" fontId="59" fillId="19" borderId="169"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7" fillId="0" borderId="0" xfId="0" applyNumberFormat="1" applyFont="1" applyAlignment="1">
      <alignment horizontal="center"/>
    </xf>
    <xf numFmtId="1" fontId="59" fillId="12" borderId="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74"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57" xfId="0" applyNumberFormat="1" applyFont="1" applyFill="1" applyBorder="1" applyAlignment="1">
      <alignment horizontal="center" vertical="center" wrapText="1"/>
    </xf>
    <xf numFmtId="1" fontId="59" fillId="12" borderId="75"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69" fillId="0" borderId="78" xfId="0" applyNumberFormat="1" applyFont="1" applyFill="1" applyBorder="1" applyAlignment="1">
      <alignment horizontal="center"/>
    </xf>
    <xf numFmtId="1" fontId="59" fillId="0" borderId="12" xfId="0" applyNumberFormat="1" applyFont="1" applyFill="1" applyBorder="1" applyAlignment="1" applyProtection="1">
      <alignment horizontal="center" vertical="center"/>
      <protection locked="0"/>
    </xf>
    <xf numFmtId="1" fontId="10" fillId="21" borderId="57" xfId="0" applyNumberFormat="1" applyFont="1" applyFill="1" applyBorder="1" applyAlignment="1">
      <alignment horizontal="center" vertical="center"/>
    </xf>
    <xf numFmtId="1" fontId="59" fillId="0" borderId="47" xfId="0" applyNumberFormat="1" applyFont="1" applyFill="1" applyBorder="1" applyAlignment="1">
      <alignment horizont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6"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7" xfId="0" applyNumberFormat="1" applyFont="1" applyBorder="1" applyAlignment="1">
      <alignment horizontal="justify"/>
    </xf>
    <xf numFmtId="1" fontId="59" fillId="0" borderId="0" xfId="0" applyNumberFormat="1" applyFont="1" applyBorder="1" applyAlignment="1">
      <alignment horizontal="center"/>
    </xf>
    <xf numFmtId="1" fontId="10" fillId="0" borderId="57" xfId="0" applyNumberFormat="1" applyFont="1" applyBorder="1" applyAlignment="1">
      <alignment horizontal="center"/>
    </xf>
    <xf numFmtId="1" fontId="10" fillId="0" borderId="57"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1" fillId="0" borderId="0" xfId="0" applyNumberFormat="1" applyFont="1" applyFill="1" applyBorder="1" applyAlignment="1">
      <alignment horizontal="center" vertical="top" wrapText="1"/>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8" xfId="0" applyNumberFormat="1" applyFont="1" applyFill="1" applyBorder="1" applyAlignment="1">
      <alignment horizontal="center" vertical="center" wrapText="1"/>
    </xf>
    <xf numFmtId="1" fontId="69" fillId="0" borderId="78" xfId="0" applyNumberFormat="1" applyFont="1" applyBorder="1" applyAlignment="1">
      <alignment horizontal="center" vertical="center"/>
    </xf>
    <xf numFmtId="1" fontId="59" fillId="0" borderId="78"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1" fillId="0" borderId="0" xfId="0" applyNumberFormat="1" applyFont="1" applyBorder="1" applyAlignment="1">
      <alignment horizontal="center" vertical="center" wrapText="1"/>
    </xf>
    <xf numFmtId="1" fontId="59" fillId="0" borderId="35" xfId="0" applyNumberFormat="1" applyFont="1" applyFill="1" applyBorder="1" applyAlignment="1">
      <alignment horizontal="center" vertical="center"/>
    </xf>
    <xf numFmtId="1" fontId="72" fillId="0" borderId="57" xfId="0" applyNumberFormat="1" applyFont="1" applyBorder="1" applyAlignment="1">
      <alignment horizontal="justify"/>
    </xf>
    <xf numFmtId="1" fontId="72" fillId="0" borderId="57" xfId="0" applyNumberFormat="1" applyFont="1" applyBorder="1" applyAlignment="1">
      <alignment horizontal="center"/>
    </xf>
    <xf numFmtId="1" fontId="59" fillId="0" borderId="57" xfId="0" applyNumberFormat="1" applyFont="1" applyBorder="1" applyAlignment="1">
      <alignment horizontal="center"/>
    </xf>
    <xf numFmtId="1" fontId="29" fillId="0" borderId="57" xfId="0" applyNumberFormat="1" applyFont="1" applyBorder="1" applyAlignment="1">
      <alignment horizontal="center"/>
    </xf>
    <xf numFmtId="0" fontId="0" fillId="0" borderId="0" xfId="0" applyNumberFormat="1" applyFill="1" applyBorder="1"/>
    <xf numFmtId="1" fontId="62" fillId="0" borderId="85" xfId="0" applyNumberFormat="1" applyFont="1" applyFill="1" applyBorder="1" applyAlignment="1" applyProtection="1">
      <alignment horizontal="center" vertical="center"/>
      <protection locked="0"/>
    </xf>
    <xf numFmtId="1" fontId="62" fillId="0" borderId="15" xfId="0" applyNumberFormat="1" applyFont="1" applyFill="1" applyBorder="1" applyAlignment="1" applyProtection="1">
      <alignment horizontal="center" vertical="center"/>
      <protection locked="0"/>
    </xf>
    <xf numFmtId="1" fontId="62" fillId="0" borderId="55" xfId="0" applyNumberFormat="1" applyFont="1" applyFill="1" applyBorder="1" applyAlignment="1" applyProtection="1">
      <alignment horizontal="center" vertical="center"/>
      <protection locked="0"/>
    </xf>
    <xf numFmtId="1" fontId="62" fillId="0" borderId="101"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40"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4" fillId="0" borderId="0" xfId="0" applyNumberFormat="1" applyFont="1" applyBorder="1"/>
    <xf numFmtId="2" fontId="62" fillId="19" borderId="56"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7" xfId="0" applyNumberFormat="1" applyFont="1" applyFill="1" applyBorder="1" applyAlignment="1">
      <alignment horizontal="left" vertical="center" wrapText="1"/>
    </xf>
    <xf numFmtId="1" fontId="59" fillId="12" borderId="73"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4" fillId="24" borderId="0" xfId="0" quotePrefix="1" applyNumberFormat="1" applyFont="1" applyFill="1" applyAlignment="1">
      <alignment horizontal="left"/>
    </xf>
    <xf numFmtId="3" fontId="54" fillId="12" borderId="53"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73" xfId="0" applyNumberFormat="1" applyFont="1" applyFill="1" applyBorder="1" applyAlignment="1">
      <alignment horizontal="center" vertical="center" wrapText="1"/>
    </xf>
    <xf numFmtId="1" fontId="60" fillId="18" borderId="53" xfId="0" applyNumberFormat="1" applyFont="1" applyFill="1" applyBorder="1" applyAlignment="1">
      <alignment vertical="center"/>
    </xf>
    <xf numFmtId="1" fontId="54" fillId="12" borderId="71" xfId="0" applyNumberFormat="1" applyFont="1" applyFill="1" applyBorder="1" applyAlignment="1">
      <alignment vertical="center"/>
    </xf>
    <xf numFmtId="1" fontId="62" fillId="0" borderId="14" xfId="0" applyNumberFormat="1" applyFont="1" applyFill="1" applyBorder="1" applyAlignment="1"/>
    <xf numFmtId="1" fontId="59" fillId="12" borderId="87"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80" xfId="0" applyNumberFormat="1" applyFont="1" applyFill="1" applyBorder="1" applyAlignment="1"/>
    <xf numFmtId="1" fontId="62" fillId="0" borderId="92" xfId="0" applyNumberFormat="1" applyFont="1" applyFill="1" applyBorder="1" applyAlignment="1">
      <alignment vertical="center"/>
    </xf>
    <xf numFmtId="1" fontId="62" fillId="0" borderId="92" xfId="0" applyNumberFormat="1" applyFont="1" applyFill="1" applyBorder="1" applyAlignment="1">
      <alignment vertical="center" wrapText="1"/>
    </xf>
    <xf numFmtId="1" fontId="60" fillId="18" borderId="103" xfId="0" applyNumberFormat="1" applyFont="1" applyFill="1" applyBorder="1" applyAlignment="1">
      <alignment vertical="center"/>
    </xf>
    <xf numFmtId="1" fontId="62" fillId="19" borderId="75"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74"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97" xfId="0" applyNumberFormat="1" applyFont="1" applyFill="1" applyBorder="1" applyAlignment="1">
      <alignment vertical="center"/>
    </xf>
    <xf numFmtId="1" fontId="62" fillId="0" borderId="55" xfId="0" applyNumberFormat="1" applyFont="1" applyFill="1" applyBorder="1" applyAlignment="1">
      <alignment vertical="center"/>
    </xf>
    <xf numFmtId="1" fontId="62" fillId="0" borderId="176" xfId="0" applyNumberFormat="1" applyFont="1" applyFill="1" applyBorder="1" applyAlignment="1">
      <alignment vertical="center"/>
    </xf>
    <xf numFmtId="1" fontId="54" fillId="12" borderId="57"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2" xfId="0" applyNumberFormat="1" applyFont="1" applyFill="1" applyBorder="1" applyAlignment="1"/>
    <xf numFmtId="1" fontId="59" fillId="12" borderId="19" xfId="0" applyNumberFormat="1" applyFont="1" applyFill="1" applyBorder="1" applyAlignment="1"/>
    <xf numFmtId="1" fontId="60" fillId="18" borderId="52" xfId="0" applyNumberFormat="1" applyFont="1" applyFill="1" applyBorder="1" applyAlignment="1">
      <alignment vertical="center"/>
    </xf>
    <xf numFmtId="1" fontId="62" fillId="0" borderId="66" xfId="0" applyNumberFormat="1" applyFont="1" applyFill="1" applyBorder="1" applyAlignment="1"/>
    <xf numFmtId="1" fontId="62" fillId="20" borderId="82" xfId="0" applyNumberFormat="1" applyFont="1" applyFill="1" applyBorder="1" applyAlignment="1">
      <alignment vertical="center"/>
    </xf>
    <xf numFmtId="1" fontId="62" fillId="0" borderId="82" xfId="0" applyNumberFormat="1" applyFont="1" applyFill="1" applyBorder="1" applyAlignment="1">
      <alignment vertical="center"/>
    </xf>
    <xf numFmtId="1" fontId="59" fillId="0" borderId="25" xfId="0" applyNumberFormat="1" applyFont="1" applyBorder="1" applyAlignment="1">
      <alignment wrapText="1"/>
    </xf>
    <xf numFmtId="1" fontId="62" fillId="0" borderId="177" xfId="0" applyNumberFormat="1" applyFont="1" applyFill="1" applyBorder="1" applyAlignment="1"/>
    <xf numFmtId="1" fontId="62" fillId="0" borderId="177" xfId="0" applyNumberFormat="1" applyFont="1" applyFill="1" applyBorder="1" applyAlignment="1">
      <alignment vertical="center" wrapText="1"/>
    </xf>
    <xf numFmtId="1" fontId="62" fillId="0" borderId="94" xfId="0" applyNumberFormat="1" applyFont="1" applyFill="1" applyBorder="1" applyAlignment="1">
      <alignment vertical="center"/>
    </xf>
    <xf numFmtId="1" fontId="60" fillId="18" borderId="158" xfId="0" applyNumberFormat="1" applyFont="1" applyFill="1" applyBorder="1" applyAlignment="1"/>
    <xf numFmtId="1" fontId="60" fillId="18" borderId="178" xfId="0" applyNumberFormat="1" applyFont="1" applyFill="1" applyBorder="1" applyAlignment="1"/>
    <xf numFmtId="1" fontId="60" fillId="18" borderId="102" xfId="0" applyNumberFormat="1" applyFont="1" applyFill="1" applyBorder="1" applyAlignment="1">
      <alignment vertical="center"/>
    </xf>
    <xf numFmtId="1" fontId="62" fillId="0" borderId="179" xfId="0" applyNumberFormat="1" applyFont="1" applyFill="1" applyBorder="1" applyAlignment="1"/>
    <xf numFmtId="1" fontId="59" fillId="12" borderId="16" xfId="0" applyNumberFormat="1" applyFont="1" applyFill="1" applyBorder="1" applyAlignment="1"/>
    <xf numFmtId="1" fontId="62" fillId="0" borderId="95" xfId="0" applyNumberFormat="1" applyFont="1" applyFill="1" applyBorder="1" applyAlignment="1"/>
    <xf numFmtId="1" fontId="62" fillId="0" borderId="180" xfId="0" applyNumberFormat="1" applyFont="1" applyFill="1" applyBorder="1" applyAlignment="1">
      <alignment vertical="center"/>
    </xf>
    <xf numFmtId="1" fontId="66" fillId="0" borderId="48" xfId="0" applyNumberFormat="1" applyFont="1" applyFill="1" applyBorder="1" applyAlignment="1" applyProtection="1">
      <protection locked="0"/>
    </xf>
    <xf numFmtId="1" fontId="66" fillId="0" borderId="62" xfId="0" applyNumberFormat="1" applyFont="1" applyFill="1" applyBorder="1" applyAlignment="1" applyProtection="1">
      <protection locked="0"/>
    </xf>
    <xf numFmtId="1" fontId="62" fillId="0" borderId="181" xfId="0" applyNumberFormat="1" applyFont="1" applyFill="1" applyBorder="1" applyAlignment="1"/>
    <xf numFmtId="1" fontId="62" fillId="20" borderId="46" xfId="0" applyNumberFormat="1" applyFont="1" applyFill="1" applyBorder="1" applyAlignment="1">
      <alignment vertical="center"/>
    </xf>
    <xf numFmtId="1" fontId="54" fillId="12" borderId="105" xfId="0" applyNumberFormat="1" applyFont="1" applyFill="1" applyBorder="1" applyAlignment="1"/>
    <xf numFmtId="1" fontId="54" fillId="12" borderId="106" xfId="0" applyNumberFormat="1" applyFont="1" applyFill="1" applyBorder="1" applyAlignment="1"/>
    <xf numFmtId="1" fontId="69" fillId="0" borderId="182" xfId="0" applyNumberFormat="1" applyFont="1" applyFill="1" applyBorder="1" applyAlignment="1">
      <alignment horizontal="center"/>
    </xf>
    <xf numFmtId="1" fontId="59" fillId="12" borderId="58"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7" xfId="0" applyNumberFormat="1" applyFont="1" applyFill="1" applyBorder="1" applyAlignment="1" applyProtection="1">
      <alignment horizontal="center" vertical="center"/>
      <protection locked="0"/>
    </xf>
    <xf numFmtId="1" fontId="62" fillId="19" borderId="44" xfId="0" applyNumberFormat="1" applyFont="1" applyFill="1" applyBorder="1" applyAlignment="1" applyProtection="1">
      <alignment horizontal="center" vertical="center"/>
      <protection locked="0"/>
    </xf>
    <xf numFmtId="1" fontId="62" fillId="19" borderId="4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62" fillId="0" borderId="176" xfId="0" applyNumberFormat="1" applyFont="1" applyFill="1" applyBorder="1" applyAlignment="1" applyProtection="1">
      <alignment horizontal="center" vertical="center"/>
      <protection locked="0"/>
    </xf>
    <xf numFmtId="1" fontId="59" fillId="0" borderId="183" xfId="0" applyNumberFormat="1" applyFont="1" applyFill="1" applyBorder="1" applyAlignment="1" applyProtection="1">
      <alignment horizontal="center" vertical="center"/>
      <protection locked="0"/>
    </xf>
    <xf numFmtId="1" fontId="59" fillId="0" borderId="55" xfId="0" applyNumberFormat="1" applyFont="1" applyFill="1" applyBorder="1" applyAlignment="1" applyProtection="1">
      <alignment horizontal="center" vertical="center"/>
      <protection locked="0"/>
    </xf>
    <xf numFmtId="1" fontId="59" fillId="0" borderId="85" xfId="0" applyNumberFormat="1" applyFont="1" applyFill="1" applyBorder="1" applyAlignment="1" applyProtection="1">
      <alignment horizontal="center" vertical="center"/>
      <protection locked="0"/>
    </xf>
    <xf numFmtId="1" fontId="59" fillId="0" borderId="101"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84" xfId="0" applyNumberFormat="1" applyFont="1" applyFill="1" applyBorder="1" applyAlignment="1">
      <alignment horizontal="center" vertical="center" wrapText="1"/>
    </xf>
    <xf numFmtId="1" fontId="59" fillId="12" borderId="185"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9" fillId="0" borderId="186" xfId="0" applyNumberFormat="1" applyFont="1" applyFill="1" applyBorder="1" applyAlignment="1" applyProtection="1">
      <alignment horizontal="center" vertical="center"/>
      <protection locked="0"/>
    </xf>
    <xf numFmtId="1" fontId="59" fillId="19" borderId="58" xfId="0" applyNumberFormat="1" applyFont="1" applyFill="1" applyBorder="1" applyAlignment="1" applyProtection="1">
      <alignment horizontal="center" vertical="center"/>
      <protection locked="0"/>
    </xf>
    <xf numFmtId="170" fontId="7" fillId="0" borderId="148" xfId="4" applyNumberFormat="1" applyFont="1" applyBorder="1" applyAlignment="1">
      <alignment horizontal="center"/>
    </xf>
    <xf numFmtId="170" fontId="7" fillId="0" borderId="149" xfId="4" applyNumberFormat="1" applyFont="1" applyBorder="1" applyAlignment="1">
      <alignment horizontal="center"/>
    </xf>
    <xf numFmtId="170" fontId="14" fillId="0" borderId="148" xfId="4" applyNumberFormat="1" applyFont="1" applyBorder="1" applyAlignment="1">
      <alignment horizontal="center"/>
    </xf>
    <xf numFmtId="174" fontId="7" fillId="0" borderId="146" xfId="4" applyNumberFormat="1" applyFont="1" applyBorder="1" applyAlignment="1">
      <alignment horizontal="center"/>
    </xf>
    <xf numFmtId="174" fontId="7" fillId="0" borderId="151" xfId="4" applyNumberFormat="1" applyFont="1" applyBorder="1" applyAlignment="1">
      <alignment horizontal="center"/>
    </xf>
    <xf numFmtId="174" fontId="14" fillId="0" borderId="146"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4" xfId="4" applyNumberFormat="1" applyFill="1" applyBorder="1" applyAlignment="1">
      <alignment horizontal="center"/>
    </xf>
    <xf numFmtId="170" fontId="7" fillId="0" borderId="153" xfId="4" applyNumberFormat="1" applyFont="1" applyBorder="1" applyAlignment="1">
      <alignment horizontal="center"/>
    </xf>
    <xf numFmtId="170" fontId="15" fillId="2" borderId="124" xfId="4" applyNumberFormat="1" applyFont="1" applyFill="1" applyBorder="1" applyAlignment="1">
      <alignment horizontal="center"/>
    </xf>
    <xf numFmtId="170" fontId="7" fillId="0" borderId="146" xfId="4" applyNumberFormat="1" applyFont="1" applyBorder="1" applyAlignment="1">
      <alignment horizontal="center"/>
    </xf>
    <xf numFmtId="170" fontId="7" fillId="0" borderId="151" xfId="4" applyNumberFormat="1" applyFont="1" applyBorder="1" applyAlignment="1">
      <alignment horizontal="center"/>
    </xf>
    <xf numFmtId="170" fontId="14"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6" fillId="0" borderId="0" xfId="150" applyFont="1" applyAlignment="1" applyProtection="1"/>
    <xf numFmtId="0" fontId="24"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1"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1" fillId="0" borderId="0" xfId="0" applyNumberFormat="1" applyFont="1" applyFill="1"/>
    <xf numFmtId="172" fontId="24"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4"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3"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4" xfId="0" applyFont="1" applyFill="1" applyBorder="1"/>
    <xf numFmtId="17" fontId="24" fillId="24" borderId="0" xfId="0" quotePrefix="1" applyNumberFormat="1" applyFont="1" applyFill="1"/>
    <xf numFmtId="0" fontId="24"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4" fillId="0" borderId="0" xfId="0" applyFont="1" applyBorder="1"/>
    <xf numFmtId="177" fontId="0" fillId="0" borderId="0" xfId="0" applyNumberFormat="1" applyBorder="1"/>
    <xf numFmtId="172" fontId="73" fillId="0" borderId="0" xfId="150" quotePrefix="1" applyAlignment="1" applyProtection="1"/>
    <xf numFmtId="3" fontId="24" fillId="0" borderId="62" xfId="0" applyNumberFormat="1" applyFont="1" applyFill="1" applyBorder="1" applyAlignment="1">
      <alignment horizontal="left"/>
    </xf>
    <xf numFmtId="172" fontId="24" fillId="0" borderId="18" xfId="0" applyFont="1" applyFill="1" applyBorder="1" applyAlignment="1">
      <alignment horizontal="left"/>
    </xf>
    <xf numFmtId="172" fontId="24" fillId="0" borderId="156" xfId="0" applyFont="1" applyFill="1" applyBorder="1" applyAlignment="1">
      <alignment horizontal="left"/>
    </xf>
    <xf numFmtId="3" fontId="0" fillId="0" borderId="188" xfId="0" applyNumberFormat="1" applyBorder="1"/>
    <xf numFmtId="3" fontId="23"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7" fillId="29" borderId="0" xfId="0" applyNumberFormat="1" applyFont="1" applyFill="1" applyAlignment="1">
      <alignment horizontal="left"/>
    </xf>
    <xf numFmtId="3" fontId="23" fillId="0" borderId="189" xfId="0" applyNumberFormat="1" applyFont="1" applyBorder="1" applyAlignment="1">
      <alignment horizontal="left" vertical="top"/>
    </xf>
    <xf numFmtId="3" fontId="24" fillId="30"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2" fontId="0" fillId="30" borderId="190" xfId="0" applyFill="1" applyBorder="1" applyAlignment="1">
      <alignment horizontal="left" vertical="top" wrapText="1"/>
    </xf>
    <xf numFmtId="172" fontId="0" fillId="30" borderId="191" xfId="0" applyFill="1" applyBorder="1" applyAlignment="1">
      <alignment horizontal="left" vertical="top" wrapText="1"/>
    </xf>
    <xf numFmtId="3" fontId="0" fillId="30" borderId="190" xfId="0" applyNumberFormat="1" applyFill="1" applyBorder="1" applyAlignment="1">
      <alignment horizontal="left" vertical="top" wrapText="1"/>
    </xf>
    <xf numFmtId="3" fontId="24" fillId="28" borderId="190" xfId="0" applyNumberFormat="1" applyFon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1"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0" fillId="0" borderId="190" xfId="0" applyNumberFormat="1" applyBorder="1"/>
    <xf numFmtId="3" fontId="0" fillId="0" borderId="191" xfId="0" applyNumberFormat="1" applyBorder="1"/>
    <xf numFmtId="3" fontId="23" fillId="0" borderId="192" xfId="0" applyNumberFormat="1" applyFont="1" applyBorder="1" applyAlignment="1">
      <alignment horizontal="left" vertical="top"/>
    </xf>
    <xf numFmtId="3" fontId="24" fillId="30" borderId="193" xfId="0" applyNumberFormat="1" applyFont="1" applyFill="1" applyBorder="1" applyAlignment="1">
      <alignment horizontal="left" vertical="top" wrapText="1"/>
    </xf>
    <xf numFmtId="3" fontId="0" fillId="0" borderId="193" xfId="0" applyNumberFormat="1" applyFill="1" applyBorder="1" applyAlignment="1">
      <alignment horizontal="left" vertical="top" wrapText="1"/>
    </xf>
    <xf numFmtId="3" fontId="0" fillId="28" borderId="193" xfId="0" applyNumberFormat="1" applyFill="1" applyBorder="1" applyAlignment="1">
      <alignment horizontal="left" vertical="top" wrapText="1"/>
    </xf>
    <xf numFmtId="3" fontId="24" fillId="29" borderId="193" xfId="0" applyNumberFormat="1" applyFont="1" applyFill="1" applyBorder="1" applyAlignment="1">
      <alignment horizontal="left" vertical="top" wrapText="1"/>
    </xf>
    <xf numFmtId="3" fontId="24" fillId="0" borderId="193" xfId="0" applyNumberFormat="1" applyFont="1" applyFill="1" applyBorder="1" applyAlignment="1">
      <alignment horizontal="left" vertical="top" wrapText="1"/>
    </xf>
    <xf numFmtId="172" fontId="0" fillId="30" borderId="193" xfId="0" applyFill="1" applyBorder="1" applyAlignment="1">
      <alignment horizontal="left" vertical="top" wrapText="1"/>
    </xf>
    <xf numFmtId="172" fontId="0" fillId="30" borderId="194" xfId="0" applyFill="1" applyBorder="1" applyAlignment="1">
      <alignment horizontal="left" vertical="top" wrapText="1"/>
    </xf>
    <xf numFmtId="3" fontId="110" fillId="12" borderId="197" xfId="0" applyNumberFormat="1" applyFont="1" applyFill="1" applyBorder="1" applyAlignment="1">
      <alignment horizontal="center" vertical="center" wrapText="1"/>
    </xf>
    <xf numFmtId="3" fontId="110" fillId="12" borderId="195" xfId="0" applyNumberFormat="1" applyFont="1" applyFill="1" applyBorder="1" applyAlignment="1">
      <alignment horizontal="center" vertical="center" wrapText="1"/>
    </xf>
    <xf numFmtId="3" fontId="0" fillId="30" borderId="198" xfId="0" applyNumberFormat="1" applyFill="1" applyBorder="1" applyAlignment="1">
      <alignment horizontal="left" vertical="top" wrapText="1"/>
    </xf>
    <xf numFmtId="3" fontId="0" fillId="30" borderId="199" xfId="0" applyNumberFormat="1" applyFill="1" applyBorder="1" applyAlignment="1">
      <alignment horizontal="left" vertical="top" wrapText="1"/>
    </xf>
    <xf numFmtId="3" fontId="0" fillId="28" borderId="199" xfId="0" applyNumberFormat="1" applyFill="1" applyBorder="1" applyAlignment="1">
      <alignment horizontal="left" vertical="top" wrapText="1"/>
    </xf>
    <xf numFmtId="3" fontId="24" fillId="29" borderId="8" xfId="0" applyNumberFormat="1" applyFont="1" applyFill="1" applyBorder="1" applyAlignment="1">
      <alignment horizontal="left" vertical="top" wrapText="1"/>
    </xf>
    <xf numFmtId="3" fontId="23" fillId="0" borderId="10" xfId="0" applyNumberFormat="1" applyFont="1" applyBorder="1" applyAlignment="1">
      <alignment horizontal="left" vertical="top"/>
    </xf>
    <xf numFmtId="3" fontId="0" fillId="0" borderId="200" xfId="0" applyNumberFormat="1" applyBorder="1"/>
    <xf numFmtId="3" fontId="0" fillId="0" borderId="201" xfId="0" applyNumberFormat="1" applyBorder="1"/>
    <xf numFmtId="3" fontId="112" fillId="0" borderId="202" xfId="0" applyNumberFormat="1" applyFont="1" applyBorder="1"/>
    <xf numFmtId="3" fontId="7" fillId="0" borderId="196" xfId="0" applyNumberFormat="1" applyFont="1" applyBorder="1"/>
    <xf numFmtId="3" fontId="7" fillId="0" borderId="203" xfId="0" applyNumberFormat="1" applyFont="1" applyBorder="1"/>
    <xf numFmtId="3" fontId="7" fillId="0" borderId="197" xfId="0" applyNumberFormat="1" applyFont="1" applyBorder="1"/>
    <xf numFmtId="3" fontId="7" fillId="0" borderId="195" xfId="0" applyNumberFormat="1" applyFont="1" applyBorder="1"/>
    <xf numFmtId="3" fontId="0" fillId="0" borderId="205" xfId="0" applyNumberFormat="1" applyBorder="1"/>
    <xf numFmtId="3" fontId="0" fillId="0" borderId="204"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6" fillId="12" borderId="87"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4" fillId="12" borderId="72" xfId="0" applyNumberFormat="1" applyFont="1" applyFill="1" applyBorder="1" applyAlignment="1">
      <alignment horizontal="center" vertical="center"/>
    </xf>
    <xf numFmtId="1" fontId="59" fillId="12" borderId="45"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7"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67"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4" xfId="0" applyNumberFormat="1" applyFont="1" applyFill="1" applyBorder="1" applyAlignment="1">
      <alignment horizontal="center" vertical="center" wrapText="1"/>
    </xf>
    <xf numFmtId="1" fontId="71" fillId="12" borderId="77" xfId="0" applyNumberFormat="1" applyFont="1" applyFill="1" applyBorder="1" applyAlignment="1">
      <alignment horizontal="center" vertical="center" wrapText="1"/>
    </xf>
    <xf numFmtId="1" fontId="10" fillId="21" borderId="57"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59" fillId="21" borderId="57"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12"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10" fillId="21" borderId="81" xfId="0" applyNumberFormat="1" applyFont="1" applyFill="1" applyBorder="1" applyAlignment="1">
      <alignment horizontal="center" vertical="center"/>
    </xf>
    <xf numFmtId="1" fontId="10" fillId="21" borderId="83"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7"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2"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73" xfId="0" applyNumberFormat="1" applyFont="1" applyFill="1" applyBorder="1" applyAlignment="1">
      <alignment horizontal="center" vertical="center" wrapText="1"/>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33" xfId="0" applyNumberFormat="1" applyFont="1" applyFill="1" applyBorder="1" applyAlignment="1">
      <alignment horizontal="center" vertical="center"/>
    </xf>
    <xf numFmtId="1" fontId="59" fillId="12" borderId="77" xfId="0" applyNumberFormat="1" applyFont="1" applyFill="1" applyBorder="1" applyAlignment="1">
      <alignment horizontal="center" vertical="center" wrapText="1"/>
    </xf>
    <xf numFmtId="1" fontId="10" fillId="21" borderId="29" xfId="0" applyNumberFormat="1" applyFont="1" applyFill="1" applyBorder="1" applyAlignment="1">
      <alignment horizontal="center" vertical="center"/>
    </xf>
    <xf numFmtId="1" fontId="10" fillId="21" borderId="67" xfId="0" applyNumberFormat="1" applyFont="1" applyFill="1" applyBorder="1" applyAlignment="1">
      <alignment horizontal="center" vertical="center"/>
    </xf>
    <xf numFmtId="1" fontId="10" fillId="21" borderId="68"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3" xfId="0" applyNumberFormat="1" applyFont="1" applyFill="1" applyBorder="1" applyAlignment="1">
      <alignment horizontal="center" vertical="center"/>
    </xf>
    <xf numFmtId="1" fontId="29" fillId="0" borderId="0" xfId="0" applyNumberFormat="1" applyFont="1" applyBorder="1" applyAlignment="1">
      <alignment horizontal="justify"/>
    </xf>
    <xf numFmtId="1" fontId="54" fillId="12" borderId="29" xfId="0" applyNumberFormat="1" applyFont="1" applyFill="1" applyBorder="1" applyAlignment="1">
      <alignment horizontal="center" vertical="center" wrapText="1"/>
    </xf>
    <xf numFmtId="1" fontId="54" fillId="12" borderId="67"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3"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75" xfId="0" applyNumberFormat="1" applyFont="1" applyFill="1" applyBorder="1" applyAlignment="1">
      <alignment horizontal="center" vertical="center" wrapText="1"/>
    </xf>
    <xf numFmtId="3" fontId="54" fillId="12" borderId="105" xfId="0" applyNumberFormat="1" applyFont="1" applyFill="1" applyBorder="1" applyAlignment="1">
      <alignment horizontal="center" vertical="top" wrapText="1"/>
    </xf>
    <xf numFmtId="3" fontId="54" fillId="12" borderId="106" xfId="0" applyNumberFormat="1" applyFont="1" applyFill="1" applyBorder="1" applyAlignment="1">
      <alignment horizontal="center" vertical="top" wrapText="1"/>
    </xf>
    <xf numFmtId="3" fontId="54" fillId="12" borderId="76"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9" xfId="0" applyNumberFormat="1" applyFont="1" applyFill="1" applyBorder="1" applyAlignment="1">
      <alignment horizontal="center" vertical="center" wrapText="1"/>
    </xf>
    <xf numFmtId="3" fontId="59" fillId="12" borderId="160"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10" fillId="12" borderId="195" xfId="0" applyNumberFormat="1" applyFont="1" applyFill="1" applyBorder="1" applyAlignment="1">
      <alignment horizontal="center" vertical="center" wrapText="1"/>
    </xf>
    <xf numFmtId="3" fontId="110" fillId="12" borderId="196" xfId="0" applyNumberFormat="1" applyFont="1" applyFill="1" applyBorder="1" applyAlignment="1">
      <alignment horizontal="center" vertical="top" wrapText="1"/>
    </xf>
    <xf numFmtId="3" fontId="110" fillId="12" borderId="197"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7"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94"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7"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9"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5"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1"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7"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3"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8"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2"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8"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70" xfId="0" applyNumberFormat="1" applyFont="1" applyFill="1" applyBorder="1" applyAlignment="1" applyProtection="1">
      <alignment horizontal="center" vertical="center"/>
    </xf>
    <xf numFmtId="0" fontId="38" fillId="12" borderId="71" xfId="0" applyNumberFormat="1" applyFont="1" applyFill="1" applyBorder="1" applyAlignment="1" applyProtection="1">
      <alignment horizontal="center" vertical="center"/>
    </xf>
    <xf numFmtId="0" fontId="38" fillId="12" borderId="72" xfId="0" applyNumberFormat="1" applyFont="1" applyFill="1" applyBorder="1" applyAlignment="1" applyProtection="1">
      <alignment horizontal="center" vertical="center"/>
    </xf>
    <xf numFmtId="0" fontId="32" fillId="12" borderId="49" xfId="0" applyNumberFormat="1" applyFont="1" applyFill="1" applyBorder="1" applyAlignment="1" applyProtection="1">
      <alignment horizontal="center" vertical="center" wrapText="1"/>
    </xf>
    <xf numFmtId="0" fontId="32" fillId="12" borderId="87"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69" xfId="0" applyNumberFormat="1" applyFont="1" applyFill="1" applyBorder="1" applyAlignment="1" applyProtection="1">
      <alignment horizontal="center" vertical="center" wrapText="1"/>
    </xf>
    <xf numFmtId="0" fontId="39" fillId="12" borderId="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1"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4" xfId="0" applyNumberFormat="1" applyFont="1" applyFill="1" applyBorder="1" applyAlignment="1" applyProtection="1">
      <alignment horizontal="center" vertical="center" wrapText="1"/>
    </xf>
    <xf numFmtId="0" fontId="45" fillId="12" borderId="77" xfId="0" applyNumberFormat="1" applyFont="1" applyFill="1" applyBorder="1" applyAlignment="1" applyProtection="1">
      <alignment horizontal="center" vertical="center" wrapText="1"/>
    </xf>
    <xf numFmtId="2" fontId="43" fillId="21" borderId="0" xfId="0" applyNumberFormat="1" applyFont="1" applyFill="1" applyBorder="1" applyAlignment="1" applyProtection="1">
      <alignment horizontal="right" vertical="center"/>
    </xf>
    <xf numFmtId="2" fontId="43" fillId="21"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2" fontId="43" fillId="21" borderId="45" xfId="0" applyNumberFormat="1" applyFont="1" applyFill="1" applyBorder="1" applyAlignment="1" applyProtection="1">
      <alignment horizontal="right" vertical="center"/>
    </xf>
    <xf numFmtId="2" fontId="43" fillId="21" borderId="34" xfId="0" applyNumberFormat="1" applyFont="1" applyFill="1" applyBorder="1" applyAlignment="1" applyProtection="1">
      <alignment horizontal="right" vertical="center"/>
    </xf>
    <xf numFmtId="2" fontId="43" fillId="21" borderId="33" xfId="0" applyNumberFormat="1" applyFont="1" applyFill="1" applyBorder="1" applyAlignment="1" applyProtection="1">
      <alignment horizontal="right" vertical="center"/>
    </xf>
    <xf numFmtId="0" fontId="39" fillId="12" borderId="7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2"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2" fontId="43" fillId="21" borderId="80" xfId="0" applyNumberFormat="1" applyFont="1" applyFill="1" applyBorder="1" applyAlignment="1" applyProtection="1">
      <alignment horizontal="right" vertical="center"/>
    </xf>
    <xf numFmtId="2" fontId="43" fillId="21" borderId="21" xfId="0" applyNumberFormat="1" applyFont="1" applyFill="1" applyBorder="1" applyAlignment="1" applyProtection="1">
      <alignment horizontal="right" vertical="center"/>
    </xf>
    <xf numFmtId="2" fontId="43" fillId="21" borderId="84" xfId="0" applyNumberFormat="1" applyFont="1" applyFill="1" applyBorder="1" applyAlignment="1" applyProtection="1">
      <alignment horizontal="right" vertical="center"/>
    </xf>
    <xf numFmtId="2" fontId="43" fillId="21" borderId="29" xfId="0" applyNumberFormat="1" applyFont="1" applyFill="1" applyBorder="1" applyAlignment="1" applyProtection="1">
      <alignment horizontal="right" vertical="center"/>
    </xf>
    <xf numFmtId="2" fontId="43" fillId="21" borderId="67" xfId="0" applyNumberFormat="1" applyFont="1" applyFill="1" applyBorder="1" applyAlignment="1" applyProtection="1">
      <alignment horizontal="right" vertical="center"/>
    </xf>
    <xf numFmtId="2" fontId="43" fillId="21" borderId="68" xfId="0" applyNumberFormat="1" applyFont="1" applyFill="1" applyBorder="1" applyAlignment="1" applyProtection="1">
      <alignment horizontal="right" vertical="center"/>
    </xf>
    <xf numFmtId="2" fontId="39" fillId="21" borderId="57" xfId="0" applyNumberFormat="1" applyFont="1" applyFill="1" applyBorder="1" applyAlignment="1" applyProtection="1">
      <alignment horizontal="right" vertical="center" wrapText="1"/>
    </xf>
    <xf numFmtId="2" fontId="39" fillId="21" borderId="0" xfId="0" applyNumberFormat="1" applyFont="1" applyFill="1" applyBorder="1" applyAlignment="1" applyProtection="1">
      <alignment horizontal="right" vertical="center" wrapText="1"/>
    </xf>
    <xf numFmtId="2" fontId="39" fillId="21" borderId="12" xfId="0" applyNumberFormat="1" applyFont="1" applyFill="1" applyBorder="1" applyAlignment="1" applyProtection="1">
      <alignment horizontal="right" vertical="center" wrapText="1"/>
    </xf>
    <xf numFmtId="2" fontId="43" fillId="21" borderId="79" xfId="0" applyNumberFormat="1" applyFont="1" applyFill="1" applyBorder="1" applyAlignment="1" applyProtection="1">
      <alignment horizontal="right" vertical="center"/>
    </xf>
    <xf numFmtId="2" fontId="43" fillId="21" borderId="81" xfId="0" applyNumberFormat="1" applyFont="1" applyFill="1" applyBorder="1" applyAlignment="1" applyProtection="1">
      <alignment horizontal="right" vertical="center"/>
    </xf>
    <xf numFmtId="2" fontId="43" fillId="21" borderId="83" xfId="0" applyNumberFormat="1" applyFont="1" applyFill="1" applyBorder="1" applyAlignment="1" applyProtection="1">
      <alignment horizontal="right" vertical="center"/>
    </xf>
    <xf numFmtId="0" fontId="86" fillId="0" borderId="0" xfId="162" applyFont="1" applyBorder="1"/>
    <xf numFmtId="0" fontId="46" fillId="23" borderId="128" xfId="175" applyNumberFormat="1" applyFont="1" applyFill="1" applyBorder="1" applyAlignment="1">
      <alignment horizontal="left"/>
    </xf>
    <xf numFmtId="0" fontId="5" fillId="0" borderId="0" xfId="176" applyNumberFormat="1"/>
    <xf numFmtId="3" fontId="24" fillId="0" borderId="114" xfId="3" applyNumberFormat="1" applyFont="1" applyBorder="1"/>
    <xf numFmtId="1" fontId="0" fillId="0" borderId="0" xfId="0" applyNumberFormat="1"/>
    <xf numFmtId="0" fontId="24" fillId="0" borderId="206" xfId="3" applyNumberFormat="1" applyFont="1" applyBorder="1"/>
    <xf numFmtId="0" fontId="0" fillId="0" borderId="206"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133814.98199367354</c:v>
                </c:pt>
                <c:pt idx="1">
                  <c:v>32940.303674819108</c:v>
                </c:pt>
                <c:pt idx="2">
                  <c:v>968.005</c:v>
                </c:pt>
                <c:pt idx="3">
                  <c:v>55951.74396016285</c:v>
                </c:pt>
                <c:pt idx="4">
                  <c:v>90570.084021691058</c:v>
                </c:pt>
                <c:pt idx="5">
                  <c:v>72295.799534881648</c:v>
                </c:pt>
                <c:pt idx="6">
                  <c:v>671.78727611950126</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3496064"/>
        <c:axId val="183551104"/>
      </c:barChart>
      <c:catAx>
        <c:axId val="183496064"/>
        <c:scaling>
          <c:orientation val="minMax"/>
        </c:scaling>
        <c:axPos val="b"/>
        <c:numFmt formatCode="General" sourceLinked="0"/>
        <c:tickLblPos val="nextTo"/>
        <c:crossAx val="183551104"/>
        <c:crosses val="autoZero"/>
        <c:auto val="1"/>
        <c:lblAlgn val="ctr"/>
        <c:lblOffset val="100"/>
      </c:catAx>
      <c:valAx>
        <c:axId val="183551104"/>
        <c:scaling>
          <c:orientation val="minMax"/>
        </c:scaling>
        <c:axPos val="l"/>
        <c:majorGridlines>
          <c:spPr>
            <a:ln>
              <a:noFill/>
            </a:ln>
          </c:spPr>
        </c:majorGridlines>
        <c:numFmt formatCode="#,##0" sourceLinked="1"/>
        <c:tickLblPos val="nextTo"/>
        <c:crossAx val="183496064"/>
        <c:crosses val="autoZero"/>
        <c:crossBetween val="between"/>
      </c:valAx>
    </c:plotArea>
    <c:plotVisOnly val="1"/>
    <c:dispBlanksAs val="gap"/>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133814.98199367354</c:v>
                </c:pt>
                <c:pt idx="1">
                  <c:v>32940.303674819108</c:v>
                </c:pt>
                <c:pt idx="2">
                  <c:v>968.005</c:v>
                </c:pt>
                <c:pt idx="3">
                  <c:v>55951.74396016285</c:v>
                </c:pt>
                <c:pt idx="4">
                  <c:v>90570.084021691058</c:v>
                </c:pt>
                <c:pt idx="5">
                  <c:v>72295.799534881648</c:v>
                </c:pt>
                <c:pt idx="6">
                  <c:v>671.78727611950126</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22720.887585245342</c:v>
                </c:pt>
                <c:pt idx="1">
                  <c:v>6335.2430001514213</c:v>
                </c:pt>
                <c:pt idx="2">
                  <c:v>192.15464889677483</c:v>
                </c:pt>
                <c:pt idx="3">
                  <c:v>14012.352390758075</c:v>
                </c:pt>
                <c:pt idx="4">
                  <c:v>17320.450001830803</c:v>
                </c:pt>
                <c:pt idx="5">
                  <c:v>18097.740309491008</c:v>
                </c:pt>
                <c:pt idx="6">
                  <c:v>169.7274337610028</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4018816"/>
        <c:axId val="184020352"/>
      </c:barChart>
      <c:catAx>
        <c:axId val="184018816"/>
        <c:scaling>
          <c:orientation val="minMax"/>
        </c:scaling>
        <c:axPos val="b"/>
        <c:numFmt formatCode="General" sourceLinked="0"/>
        <c:tickLblPos val="nextTo"/>
        <c:crossAx val="184020352"/>
        <c:crosses val="autoZero"/>
        <c:auto val="1"/>
        <c:lblAlgn val="ctr"/>
        <c:lblOffset val="100"/>
      </c:catAx>
      <c:valAx>
        <c:axId val="184020352"/>
        <c:scaling>
          <c:orientation val="minMax"/>
        </c:scaling>
        <c:axPos val="l"/>
        <c:majorGridlines>
          <c:spPr>
            <a:ln>
              <a:noFill/>
            </a:ln>
          </c:spPr>
        </c:majorGridlines>
        <c:numFmt formatCode="#,##0" sourceLinked="1"/>
        <c:tickLblPos val="nextTo"/>
        <c:crossAx val="184018816"/>
        <c:crosses val="autoZero"/>
        <c:crossBetween val="between"/>
      </c:valAx>
      <c:spPr>
        <a:noFill/>
        <a:ln>
          <a:noFill/>
        </a:ln>
      </c:spPr>
    </c:plotArea>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 (%)</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22720.887585245342</c:v>
                </c:pt>
                <c:pt idx="1">
                  <c:v>6335.2430001514213</c:v>
                </c:pt>
                <c:pt idx="2">
                  <c:v>192.15464889677483</c:v>
                </c:pt>
                <c:pt idx="3">
                  <c:v>14012.352390758075</c:v>
                </c:pt>
                <c:pt idx="4">
                  <c:v>17320.450001830803</c:v>
                </c:pt>
                <c:pt idx="5">
                  <c:v>18097.740309491008</c:v>
                </c:pt>
                <c:pt idx="6">
                  <c:v>169.7274337610028</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6" sqref="A6"/>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800</v>
      </c>
      <c r="B4" s="106"/>
      <c r="C4" s="107"/>
    </row>
    <row r="5" spans="1:7" s="413" customFormat="1" ht="15.75" customHeight="1">
      <c r="A5" s="410" t="s">
        <v>0</v>
      </c>
      <c r="B5" s="411"/>
      <c r="C5" s="412"/>
    </row>
    <row r="6" spans="1:7" s="413" customFormat="1" ht="15" customHeight="1">
      <c r="A6" s="414" t="str">
        <f>txtNIS</f>
        <v>37018</v>
      </c>
      <c r="B6" s="415"/>
      <c r="C6" s="416"/>
    </row>
    <row r="7" spans="1:7" s="413" customFormat="1" ht="15.75" customHeight="1">
      <c r="A7" s="417" t="str">
        <f>txtMunicipality</f>
        <v>WINGENE</v>
      </c>
      <c r="B7" s="415"/>
      <c r="C7" s="416"/>
    </row>
    <row r="8" spans="1:7" ht="15.75" thickBot="1">
      <c r="A8" s="45"/>
      <c r="B8" s="108"/>
      <c r="C8" s="109"/>
    </row>
    <row r="9" spans="1:7" s="406" customFormat="1" ht="15.75" thickBot="1">
      <c r="A9" s="430" t="s">
        <v>357</v>
      </c>
      <c r="B9" s="433"/>
      <c r="C9" s="434"/>
    </row>
    <row r="10" spans="1:7" s="15" customFormat="1" ht="57.75" customHeight="1" thickBot="1">
      <c r="A10" s="1065" t="s">
        <v>797</v>
      </c>
      <c r="B10" s="1066"/>
      <c r="C10" s="1067"/>
    </row>
    <row r="11" spans="1:7" s="407" customFormat="1" ht="15.75" thickBot="1">
      <c r="A11" s="430" t="s">
        <v>359</v>
      </c>
      <c r="B11" s="433"/>
      <c r="C11" s="434"/>
      <c r="G11" s="408"/>
    </row>
    <row r="12" spans="1:7">
      <c r="A12" s="44"/>
      <c r="B12" s="43"/>
      <c r="C12" s="96"/>
    </row>
    <row r="13" spans="1:7" s="407" customFormat="1">
      <c r="A13" s="833"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68" t="s">
        <v>520</v>
      </c>
      <c r="C16" s="106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853"/>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95" t="s">
        <v>655</v>
      </c>
      <c r="B6" s="439" t="s">
        <v>732</v>
      </c>
      <c r="C6" s="440" t="s">
        <v>358</v>
      </c>
    </row>
    <row r="7" spans="1:3" s="334" customFormat="1">
      <c r="A7" s="995" t="s">
        <v>731</v>
      </c>
      <c r="B7" s="441" t="s">
        <v>602</v>
      </c>
      <c r="C7" s="442" t="s">
        <v>601</v>
      </c>
    </row>
    <row r="8" spans="1:3" s="334" customFormat="1">
      <c r="A8" s="471"/>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M33" sqref="M33:N33"/>
    </sheetView>
  </sheetViews>
  <sheetFormatPr defaultColWidth="9.140625" defaultRowHeight="14.25"/>
  <cols>
    <col min="1" max="1" width="67.85546875" style="472" customWidth="1"/>
    <col min="2" max="2" width="11.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32" t="s">
        <v>221</v>
      </c>
      <c r="B2" s="1132"/>
      <c r="C2" s="1132"/>
      <c r="D2" s="59"/>
      <c r="E2" s="59"/>
      <c r="F2" s="59"/>
      <c r="G2" s="59"/>
      <c r="H2" s="60"/>
      <c r="I2" s="60"/>
      <c r="J2" s="61"/>
      <c r="K2" s="61"/>
      <c r="L2" s="60"/>
      <c r="M2" s="60"/>
      <c r="N2" s="60"/>
      <c r="O2" s="60"/>
      <c r="P2" s="60"/>
      <c r="Q2" s="60"/>
      <c r="R2" s="60"/>
    </row>
    <row r="3" spans="1:19">
      <c r="A3" s="1133"/>
      <c r="B3" s="1133"/>
      <c r="C3" s="1133"/>
      <c r="D3" s="1133"/>
      <c r="E3" s="1133"/>
      <c r="F3" s="1133"/>
      <c r="G3" s="1133"/>
      <c r="H3" s="1133"/>
      <c r="I3" s="1133"/>
      <c r="J3" s="1133"/>
      <c r="K3" s="1133"/>
      <c r="L3" s="1133"/>
      <c r="M3" s="1133"/>
      <c r="N3" s="1133"/>
      <c r="O3" s="1133"/>
      <c r="P3" s="1133"/>
      <c r="Q3" s="1133"/>
      <c r="R3" s="1133"/>
    </row>
    <row r="4" spans="1:19" ht="15.75" thickBot="1">
      <c r="A4" s="473"/>
      <c r="B4" s="473"/>
      <c r="C4" s="63"/>
      <c r="D4" s="63"/>
      <c r="E4" s="63"/>
      <c r="F4" s="63"/>
      <c r="G4" s="63"/>
      <c r="H4" s="63"/>
      <c r="I4" s="63"/>
      <c r="J4" s="63"/>
      <c r="K4" s="63"/>
      <c r="L4" s="63"/>
      <c r="M4" s="63"/>
      <c r="N4" s="63"/>
      <c r="O4" s="63"/>
      <c r="P4" s="63"/>
      <c r="Q4" s="63"/>
      <c r="R4" s="63"/>
    </row>
    <row r="5" spans="1:19" ht="16.5" thickBot="1">
      <c r="A5" s="1134" t="s">
        <v>222</v>
      </c>
      <c r="B5" s="860"/>
      <c r="C5" s="1137" t="s">
        <v>343</v>
      </c>
      <c r="D5" s="1138"/>
      <c r="E5" s="1138"/>
      <c r="F5" s="1138"/>
      <c r="G5" s="1138"/>
      <c r="H5" s="1138"/>
      <c r="I5" s="1138"/>
      <c r="J5" s="1138"/>
      <c r="K5" s="1138"/>
      <c r="L5" s="1138"/>
      <c r="M5" s="1138"/>
      <c r="N5" s="1138"/>
      <c r="O5" s="1138"/>
      <c r="P5" s="1138"/>
      <c r="Q5" s="1138"/>
      <c r="R5" s="1139"/>
    </row>
    <row r="6" spans="1:19" ht="16.5" thickTop="1">
      <c r="A6" s="1135"/>
      <c r="B6" s="861"/>
      <c r="C6" s="1140" t="s">
        <v>21</v>
      </c>
      <c r="D6" s="1142" t="s">
        <v>196</v>
      </c>
      <c r="E6" s="1144" t="s">
        <v>197</v>
      </c>
      <c r="F6" s="1145"/>
      <c r="G6" s="1145"/>
      <c r="H6" s="1145"/>
      <c r="I6" s="1145"/>
      <c r="J6" s="1145"/>
      <c r="K6" s="1145"/>
      <c r="L6" s="1146"/>
      <c r="M6" s="1144" t="s">
        <v>198</v>
      </c>
      <c r="N6" s="1145"/>
      <c r="O6" s="1145"/>
      <c r="P6" s="1145"/>
      <c r="Q6" s="1145"/>
      <c r="R6" s="1147" t="s">
        <v>116</v>
      </c>
    </row>
    <row r="7" spans="1:19" ht="45.75" thickBot="1">
      <c r="A7" s="1136"/>
      <c r="B7" s="862"/>
      <c r="C7" s="1141"/>
      <c r="D7" s="1143"/>
      <c r="E7" s="469" t="s">
        <v>199</v>
      </c>
      <c r="F7" s="469" t="s">
        <v>200</v>
      </c>
      <c r="G7" s="64" t="s">
        <v>201</v>
      </c>
      <c r="H7" s="469" t="s">
        <v>202</v>
      </c>
      <c r="I7" s="469" t="s">
        <v>120</v>
      </c>
      <c r="J7" s="469" t="s">
        <v>203</v>
      </c>
      <c r="K7" s="470" t="s">
        <v>204</v>
      </c>
      <c r="L7" s="470" t="s">
        <v>205</v>
      </c>
      <c r="M7" s="64" t="s">
        <v>206</v>
      </c>
      <c r="N7" s="65" t="s">
        <v>207</v>
      </c>
      <c r="O7" s="65" t="s">
        <v>208</v>
      </c>
      <c r="P7" s="65" t="s">
        <v>209</v>
      </c>
      <c r="Q7" s="66" t="s">
        <v>210</v>
      </c>
      <c r="R7" s="1148"/>
    </row>
    <row r="8" spans="1:19" ht="18.75" customHeight="1" thickTop="1">
      <c r="A8" s="869" t="s">
        <v>344</v>
      </c>
      <c r="B8" s="874"/>
      <c r="C8" s="1119"/>
      <c r="D8" s="1119"/>
      <c r="E8" s="1119"/>
      <c r="F8" s="1119"/>
      <c r="G8" s="1119"/>
      <c r="H8" s="1119"/>
      <c r="I8" s="1119"/>
      <c r="J8" s="1119"/>
      <c r="K8" s="1119"/>
      <c r="L8" s="1119"/>
      <c r="M8" s="1119"/>
      <c r="N8" s="1119"/>
      <c r="O8" s="1119"/>
      <c r="P8" s="1119"/>
      <c r="Q8" s="1119"/>
      <c r="R8" s="308"/>
    </row>
    <row r="9" spans="1:19" s="474" customFormat="1">
      <c r="A9" s="870" t="s">
        <v>223</v>
      </c>
      <c r="B9" s="875"/>
      <c r="C9" s="718">
        <f>'Eigen gebouwen'!B15</f>
        <v>0</v>
      </c>
      <c r="D9" s="718">
        <f>'Eigen gebouwen'!C15</f>
        <v>0</v>
      </c>
      <c r="E9" s="718">
        <f>'Eigen gebouwen'!D15</f>
        <v>0</v>
      </c>
      <c r="F9" s="718">
        <f>'Eigen gebouwen'!E15</f>
        <v>0</v>
      </c>
      <c r="G9" s="718">
        <f>'Eigen gebouwen'!F15</f>
        <v>0</v>
      </c>
      <c r="H9" s="718">
        <f>'Eigen gebouwen'!G15</f>
        <v>0</v>
      </c>
      <c r="I9" s="718">
        <f>'Eigen gebouwen'!H15</f>
        <v>0</v>
      </c>
      <c r="J9" s="718">
        <f>'Eigen gebouwen'!I15</f>
        <v>0</v>
      </c>
      <c r="K9" s="718">
        <f>'Eigen gebouwen'!J15</f>
        <v>0</v>
      </c>
      <c r="L9" s="718">
        <f>'Eigen gebouwen'!K15</f>
        <v>0</v>
      </c>
      <c r="M9" s="718">
        <f>'Eigen gebouwen'!L15</f>
        <v>0</v>
      </c>
      <c r="N9" s="718">
        <f>'Eigen gebouwen'!M15</f>
        <v>0</v>
      </c>
      <c r="O9" s="718">
        <f>'Eigen gebouwen'!N15</f>
        <v>0</v>
      </c>
      <c r="P9" s="718">
        <f>'Eigen gebouwen'!O15</f>
        <v>0</v>
      </c>
      <c r="Q9" s="719">
        <f>'Eigen gebouwen'!P15</f>
        <v>0</v>
      </c>
      <c r="R9" s="720">
        <f>SUM(C9:Q9)</f>
        <v>0</v>
      </c>
      <c r="S9" s="67"/>
    </row>
    <row r="10" spans="1:19" s="474" customFormat="1">
      <c r="A10" s="871" t="s">
        <v>224</v>
      </c>
      <c r="B10" s="876"/>
      <c r="C10" s="718">
        <f ca="1">tertiair!B16+'openbare verlichting'!B8</f>
        <v>15759.340578664935</v>
      </c>
      <c r="D10" s="718">
        <f ca="1">tertiair!C16</f>
        <v>0</v>
      </c>
      <c r="E10" s="718">
        <f ca="1">tertiair!D16</f>
        <v>12953.874355361375</v>
      </c>
      <c r="F10" s="718">
        <f>tertiair!E16</f>
        <v>236.98630471161727</v>
      </c>
      <c r="G10" s="718">
        <f ca="1">tertiair!F16</f>
        <v>2728.7566817100192</v>
      </c>
      <c r="H10" s="718">
        <f>tertiair!G16</f>
        <v>0</v>
      </c>
      <c r="I10" s="718">
        <f>tertiair!H16</f>
        <v>0</v>
      </c>
      <c r="J10" s="718">
        <f>tertiair!I16</f>
        <v>0</v>
      </c>
      <c r="K10" s="718">
        <f>tertiair!J16</f>
        <v>5.6248005265886018E-2</v>
      </c>
      <c r="L10" s="718">
        <f>tertiair!K16</f>
        <v>0</v>
      </c>
      <c r="M10" s="718">
        <f ca="1">tertiair!L16</f>
        <v>0</v>
      </c>
      <c r="N10" s="718">
        <f>tertiair!M16</f>
        <v>0</v>
      </c>
      <c r="O10" s="718">
        <f ca="1">tertiair!N16</f>
        <v>2223.0411730325659</v>
      </c>
      <c r="P10" s="718">
        <f>tertiair!O16</f>
        <v>6.2533333333333339</v>
      </c>
      <c r="Q10" s="719">
        <f>tertiair!P16</f>
        <v>0</v>
      </c>
      <c r="R10" s="721">
        <f ca="1">SUM(C10:Q10)</f>
        <v>33908.308674819113</v>
      </c>
      <c r="S10" s="67"/>
    </row>
    <row r="11" spans="1:19" s="474" customFormat="1">
      <c r="A11" s="870" t="s">
        <v>225</v>
      </c>
      <c r="B11" s="875"/>
      <c r="C11" s="718">
        <f>huishoudens!B8</f>
        <v>25455.346728699162</v>
      </c>
      <c r="D11" s="718">
        <f>huishoudens!C8</f>
        <v>0</v>
      </c>
      <c r="E11" s="718">
        <f>huishoudens!D8</f>
        <v>43503.731201399627</v>
      </c>
      <c r="F11" s="718">
        <f>huishoudens!E8</f>
        <v>13286.439446872591</v>
      </c>
      <c r="G11" s="718">
        <f>huishoudens!F8</f>
        <v>17068.147382736825</v>
      </c>
      <c r="H11" s="718">
        <f>huishoudens!G8</f>
        <v>0</v>
      </c>
      <c r="I11" s="718">
        <f>huishoudens!H8</f>
        <v>0</v>
      </c>
      <c r="J11" s="718">
        <f>huishoudens!I8</f>
        <v>0</v>
      </c>
      <c r="K11" s="718">
        <f>huishoudens!J8</f>
        <v>3691.7562335016828</v>
      </c>
      <c r="L11" s="718">
        <f>huishoudens!K8</f>
        <v>0</v>
      </c>
      <c r="M11" s="718">
        <f>huishoudens!L8</f>
        <v>0</v>
      </c>
      <c r="N11" s="718">
        <f>huishoudens!M8</f>
        <v>0</v>
      </c>
      <c r="O11" s="718">
        <f>huishoudens!N8</f>
        <v>29675.464333796965</v>
      </c>
      <c r="P11" s="718">
        <f>huishoudens!O8</f>
        <v>314.23</v>
      </c>
      <c r="Q11" s="719">
        <f>huishoudens!P8</f>
        <v>819.86666666666667</v>
      </c>
      <c r="R11" s="721">
        <f>SUM(C11:Q11)</f>
        <v>133814.98199367354</v>
      </c>
      <c r="S11" s="67"/>
    </row>
    <row r="12" spans="1:19" s="474" customFormat="1">
      <c r="A12" s="870" t="s">
        <v>501</v>
      </c>
      <c r="B12" s="875"/>
      <c r="C12" s="718">
        <f>'Eigen openbare verlichting'!B15</f>
        <v>0</v>
      </c>
      <c r="D12" s="718"/>
      <c r="E12" s="718"/>
      <c r="F12" s="718"/>
      <c r="G12" s="718"/>
      <c r="H12" s="718"/>
      <c r="I12" s="718"/>
      <c r="J12" s="718"/>
      <c r="K12" s="718"/>
      <c r="L12" s="718"/>
      <c r="M12" s="718"/>
      <c r="N12" s="718"/>
      <c r="O12" s="718"/>
      <c r="P12" s="718"/>
      <c r="Q12" s="718"/>
      <c r="R12" s="721">
        <f>SUM(C12:Q12)</f>
        <v>0</v>
      </c>
      <c r="S12" s="67"/>
    </row>
    <row r="13" spans="1:19" s="474" customFormat="1">
      <c r="A13" s="870" t="s">
        <v>638</v>
      </c>
      <c r="B13" s="880" t="s">
        <v>636</v>
      </c>
      <c r="C13" s="718">
        <f>industrie!B18</f>
        <v>31697.797659111755</v>
      </c>
      <c r="D13" s="718">
        <f>industrie!C18</f>
        <v>0</v>
      </c>
      <c r="E13" s="718">
        <f>industrie!D18</f>
        <v>43458.304765796318</v>
      </c>
      <c r="F13" s="718">
        <f>industrie!E18</f>
        <v>1888.0996195323528</v>
      </c>
      <c r="G13" s="718">
        <f>industrie!F18</f>
        <v>6754.1526354639936</v>
      </c>
      <c r="H13" s="718">
        <f>industrie!G18</f>
        <v>0</v>
      </c>
      <c r="I13" s="718">
        <f>industrie!H18</f>
        <v>0</v>
      </c>
      <c r="J13" s="718">
        <f>industrie!I18</f>
        <v>0</v>
      </c>
      <c r="K13" s="718">
        <f>industrie!J18</f>
        <v>50.048065033259931</v>
      </c>
      <c r="L13" s="718">
        <f>industrie!K18</f>
        <v>0</v>
      </c>
      <c r="M13" s="718">
        <f>industrie!L18</f>
        <v>0</v>
      </c>
      <c r="N13" s="718">
        <f>industrie!M18</f>
        <v>0</v>
      </c>
      <c r="O13" s="718">
        <f>industrie!N18</f>
        <v>6721.6812767533684</v>
      </c>
      <c r="P13" s="718">
        <f>industrie!O18</f>
        <v>0</v>
      </c>
      <c r="Q13" s="719">
        <f>industrie!P18</f>
        <v>0</v>
      </c>
      <c r="R13" s="721">
        <f>SUM(C13:Q13)</f>
        <v>90570.084021691058</v>
      </c>
      <c r="S13" s="67"/>
    </row>
    <row r="14" spans="1:19" s="474" customFormat="1" ht="15" thickBot="1">
      <c r="A14" s="870"/>
      <c r="B14" s="881" t="s">
        <v>637</v>
      </c>
      <c r="C14" s="718"/>
      <c r="D14" s="718"/>
      <c r="E14" s="718"/>
      <c r="F14" s="718"/>
      <c r="G14" s="718"/>
      <c r="H14" s="718"/>
      <c r="I14" s="718"/>
      <c r="J14" s="718"/>
      <c r="K14" s="718"/>
      <c r="L14" s="718"/>
      <c r="M14" s="718"/>
      <c r="N14" s="718"/>
      <c r="O14" s="718"/>
      <c r="P14" s="718"/>
      <c r="Q14" s="718"/>
      <c r="R14" s="721"/>
      <c r="S14" s="67"/>
    </row>
    <row r="15" spans="1:19" s="474" customFormat="1" ht="15.75" thickBot="1">
      <c r="A15" s="722" t="s">
        <v>226</v>
      </c>
      <c r="B15" s="877"/>
      <c r="C15" s="763">
        <f ca="1">SUM(C9:C14)</f>
        <v>72912.484966475851</v>
      </c>
      <c r="D15" s="723">
        <f t="shared" ref="D15:Q15" ca="1" si="0">SUM(D9:D14)</f>
        <v>0</v>
      </c>
      <c r="E15" s="723">
        <f t="shared" ca="1" si="0"/>
        <v>99915.91032255732</v>
      </c>
      <c r="F15" s="723">
        <f t="shared" si="0"/>
        <v>15411.525371116562</v>
      </c>
      <c r="G15" s="723">
        <f t="shared" ca="1" si="0"/>
        <v>26551.056699910838</v>
      </c>
      <c r="H15" s="723">
        <f t="shared" si="0"/>
        <v>0</v>
      </c>
      <c r="I15" s="723">
        <f t="shared" si="0"/>
        <v>0</v>
      </c>
      <c r="J15" s="723">
        <f t="shared" si="0"/>
        <v>0</v>
      </c>
      <c r="K15" s="723">
        <f t="shared" si="0"/>
        <v>3741.8605465402084</v>
      </c>
      <c r="L15" s="723">
        <f t="shared" si="0"/>
        <v>0</v>
      </c>
      <c r="M15" s="723">
        <f t="shared" ca="1" si="0"/>
        <v>0</v>
      </c>
      <c r="N15" s="723">
        <f t="shared" si="0"/>
        <v>0</v>
      </c>
      <c r="O15" s="723">
        <f t="shared" ca="1" si="0"/>
        <v>38620.186783582896</v>
      </c>
      <c r="P15" s="723">
        <f t="shared" si="0"/>
        <v>320.48333333333335</v>
      </c>
      <c r="Q15" s="724">
        <f t="shared" si="0"/>
        <v>819.86666666666667</v>
      </c>
      <c r="R15" s="725">
        <f ca="1">SUM(R9:R14)</f>
        <v>258293.37469018373</v>
      </c>
      <c r="S15" s="67"/>
    </row>
    <row r="16" spans="1:19" s="474" customFormat="1" ht="15.75">
      <c r="A16" s="872" t="s">
        <v>227</v>
      </c>
      <c r="B16" s="768"/>
      <c r="C16" s="1120"/>
      <c r="D16" s="1120"/>
      <c r="E16" s="1120"/>
      <c r="F16" s="1120"/>
      <c r="G16" s="1120"/>
      <c r="H16" s="1120"/>
      <c r="I16" s="1120"/>
      <c r="J16" s="1120"/>
      <c r="K16" s="1120"/>
      <c r="L16" s="1120"/>
      <c r="M16" s="1120"/>
      <c r="N16" s="1120"/>
      <c r="O16" s="1120"/>
      <c r="P16" s="1120"/>
      <c r="Q16" s="1120"/>
      <c r="R16" s="726"/>
      <c r="S16" s="67"/>
    </row>
    <row r="17" spans="1:19" s="474" customFormat="1">
      <c r="A17" s="870" t="s">
        <v>228</v>
      </c>
      <c r="B17" s="875"/>
      <c r="C17" s="718">
        <f>'Eigen vloot'!B27</f>
        <v>0</v>
      </c>
      <c r="D17" s="718">
        <f>'Eigen vloot'!C27</f>
        <v>0</v>
      </c>
      <c r="E17" s="718">
        <f>'Eigen vloot'!D27</f>
        <v>0</v>
      </c>
      <c r="F17" s="718">
        <f>'Eigen vloot'!E27</f>
        <v>0</v>
      </c>
      <c r="G17" s="718">
        <f>'Eigen vloot'!F27</f>
        <v>0</v>
      </c>
      <c r="H17" s="718">
        <f>'Eigen vloot'!G27</f>
        <v>0</v>
      </c>
      <c r="I17" s="718">
        <f>'Eigen vloot'!H27</f>
        <v>0</v>
      </c>
      <c r="J17" s="718">
        <f>'Eigen vloot'!I27</f>
        <v>0</v>
      </c>
      <c r="K17" s="718">
        <f>'Eigen vloot'!J27</f>
        <v>0</v>
      </c>
      <c r="L17" s="718">
        <f>'Eigen vloot'!K27</f>
        <v>0</v>
      </c>
      <c r="M17" s="718">
        <f>'Eigen vloot'!L27</f>
        <v>0</v>
      </c>
      <c r="N17" s="718">
        <f>'Eigen vloot'!M27</f>
        <v>0</v>
      </c>
      <c r="O17" s="718">
        <f>'Eigen vloot'!N27</f>
        <v>0</v>
      </c>
      <c r="P17" s="718">
        <f>'Eigen vloot'!O27</f>
        <v>0</v>
      </c>
      <c r="Q17" s="719">
        <f>'Eigen vloot'!P27</f>
        <v>0</v>
      </c>
      <c r="R17" s="721">
        <f>SUM(C17:Q17)</f>
        <v>0</v>
      </c>
      <c r="S17" s="67"/>
    </row>
    <row r="18" spans="1:19" s="474" customFormat="1">
      <c r="A18" s="870" t="s">
        <v>229</v>
      </c>
      <c r="B18" s="875"/>
      <c r="C18" s="718">
        <f>transport!B54</f>
        <v>0</v>
      </c>
      <c r="D18" s="718">
        <f>transport!C54</f>
        <v>0</v>
      </c>
      <c r="E18" s="718">
        <f>transport!D54</f>
        <v>0</v>
      </c>
      <c r="F18" s="718">
        <f>transport!E54</f>
        <v>0</v>
      </c>
      <c r="G18" s="718">
        <f>transport!F54</f>
        <v>0</v>
      </c>
      <c r="H18" s="718">
        <f>transport!G54</f>
        <v>635.68327251311905</v>
      </c>
      <c r="I18" s="718">
        <f>transport!H54</f>
        <v>0</v>
      </c>
      <c r="J18" s="718">
        <f>transport!I54</f>
        <v>0</v>
      </c>
      <c r="K18" s="718">
        <f>transport!J54</f>
        <v>0</v>
      </c>
      <c r="L18" s="718">
        <f>transport!K54</f>
        <v>0</v>
      </c>
      <c r="M18" s="718">
        <f>transport!L54</f>
        <v>0</v>
      </c>
      <c r="N18" s="718">
        <f>transport!M54</f>
        <v>36.104003606382264</v>
      </c>
      <c r="O18" s="718">
        <f>transport!N54</f>
        <v>0</v>
      </c>
      <c r="P18" s="718">
        <f>transport!O54</f>
        <v>0</v>
      </c>
      <c r="Q18" s="719">
        <f>transport!P54</f>
        <v>0</v>
      </c>
      <c r="R18" s="721">
        <f>SUM(C18:Q18)</f>
        <v>671.78727611950126</v>
      </c>
      <c r="S18" s="67"/>
    </row>
    <row r="19" spans="1:19" s="474" customFormat="1" ht="15" thickBot="1">
      <c r="A19" s="870" t="s">
        <v>307</v>
      </c>
      <c r="B19" s="875"/>
      <c r="C19" s="727">
        <f>transport!B14</f>
        <v>28.385586487061929</v>
      </c>
      <c r="D19" s="727">
        <f>transport!C14</f>
        <v>0</v>
      </c>
      <c r="E19" s="727">
        <f>transport!D14</f>
        <v>106.41650753258577</v>
      </c>
      <c r="F19" s="727">
        <f>transport!E14</f>
        <v>144.94256431405307</v>
      </c>
      <c r="G19" s="727">
        <f>transport!F14</f>
        <v>0</v>
      </c>
      <c r="H19" s="727">
        <f>transport!G14</f>
        <v>56349.79450373866</v>
      </c>
      <c r="I19" s="727">
        <f>transport!H14</f>
        <v>12017.318777458533</v>
      </c>
      <c r="J19" s="727">
        <f>transport!I14</f>
        <v>0</v>
      </c>
      <c r="K19" s="727">
        <f>transport!J14</f>
        <v>0</v>
      </c>
      <c r="L19" s="727">
        <f>transport!K14</f>
        <v>0</v>
      </c>
      <c r="M19" s="727">
        <f>transport!L14</f>
        <v>0</v>
      </c>
      <c r="N19" s="727">
        <f>transport!M14</f>
        <v>3648.9415953507514</v>
      </c>
      <c r="O19" s="727">
        <f>transport!N14</f>
        <v>0</v>
      </c>
      <c r="P19" s="727">
        <f>transport!O14</f>
        <v>0</v>
      </c>
      <c r="Q19" s="728">
        <f>transport!P14</f>
        <v>0</v>
      </c>
      <c r="R19" s="729">
        <f>SUM(C19:Q19)</f>
        <v>72295.799534881648</v>
      </c>
      <c r="S19" s="67"/>
    </row>
    <row r="20" spans="1:19" s="474" customFormat="1" ht="15.75" thickBot="1">
      <c r="A20" s="730" t="s">
        <v>230</v>
      </c>
      <c r="B20" s="878"/>
      <c r="C20" s="873">
        <f>SUM(C17:C19)</f>
        <v>28.385586487061929</v>
      </c>
      <c r="D20" s="731">
        <f t="shared" ref="D20:R20" si="1">SUM(D17:D19)</f>
        <v>0</v>
      </c>
      <c r="E20" s="731">
        <f t="shared" si="1"/>
        <v>106.41650753258577</v>
      </c>
      <c r="F20" s="731">
        <f t="shared" si="1"/>
        <v>144.94256431405307</v>
      </c>
      <c r="G20" s="731">
        <f t="shared" si="1"/>
        <v>0</v>
      </c>
      <c r="H20" s="731">
        <f t="shared" si="1"/>
        <v>56985.477776251777</v>
      </c>
      <c r="I20" s="731">
        <f t="shared" si="1"/>
        <v>12017.318777458533</v>
      </c>
      <c r="J20" s="731">
        <f t="shared" si="1"/>
        <v>0</v>
      </c>
      <c r="K20" s="731">
        <f t="shared" si="1"/>
        <v>0</v>
      </c>
      <c r="L20" s="731">
        <f t="shared" si="1"/>
        <v>0</v>
      </c>
      <c r="M20" s="731">
        <f t="shared" si="1"/>
        <v>0</v>
      </c>
      <c r="N20" s="731">
        <f t="shared" si="1"/>
        <v>3685.0455989571337</v>
      </c>
      <c r="O20" s="731">
        <f t="shared" si="1"/>
        <v>0</v>
      </c>
      <c r="P20" s="731">
        <f t="shared" si="1"/>
        <v>0</v>
      </c>
      <c r="Q20" s="732">
        <f t="shared" si="1"/>
        <v>0</v>
      </c>
      <c r="R20" s="733">
        <f t="shared" si="1"/>
        <v>72967.586811001151</v>
      </c>
      <c r="S20" s="67"/>
    </row>
    <row r="21" spans="1:19" s="474" customFormat="1" ht="15.75">
      <c r="A21" s="872" t="s">
        <v>237</v>
      </c>
      <c r="B21" s="768"/>
      <c r="C21" s="1120"/>
      <c r="D21" s="1120"/>
      <c r="E21" s="1120"/>
      <c r="F21" s="1120"/>
      <c r="G21" s="1120"/>
      <c r="H21" s="1120"/>
      <c r="I21" s="1120"/>
      <c r="J21" s="1120"/>
      <c r="K21" s="1120"/>
      <c r="L21" s="1120"/>
      <c r="M21" s="1120"/>
      <c r="N21" s="1120"/>
      <c r="O21" s="1120"/>
      <c r="P21" s="1120"/>
      <c r="Q21" s="1120"/>
      <c r="R21" s="726"/>
      <c r="S21" s="67"/>
    </row>
    <row r="22" spans="1:19" s="474" customFormat="1" ht="15" thickBot="1">
      <c r="A22" s="870" t="s">
        <v>633</v>
      </c>
      <c r="B22" s="879"/>
      <c r="C22" s="727">
        <f>+landbouw!B8</f>
        <v>9343.603938383596</v>
      </c>
      <c r="D22" s="727">
        <f>+landbouw!C8</f>
        <v>0</v>
      </c>
      <c r="E22" s="727">
        <f>+landbouw!D8</f>
        <v>6054.8663034390765</v>
      </c>
      <c r="F22" s="727">
        <f>+landbouw!E8</f>
        <v>274.63705840949666</v>
      </c>
      <c r="G22" s="727">
        <f>+landbouw!F8</f>
        <v>38924.94910545036</v>
      </c>
      <c r="H22" s="727">
        <f>+landbouw!G8</f>
        <v>0</v>
      </c>
      <c r="I22" s="727">
        <f>+landbouw!H8</f>
        <v>0</v>
      </c>
      <c r="J22" s="727">
        <f>+landbouw!I8</f>
        <v>0</v>
      </c>
      <c r="K22" s="727">
        <f>+landbouw!J8</f>
        <v>1353.6875544803177</v>
      </c>
      <c r="L22" s="727">
        <f>+landbouw!K8</f>
        <v>0</v>
      </c>
      <c r="M22" s="727">
        <f>+landbouw!L8</f>
        <v>0</v>
      </c>
      <c r="N22" s="727">
        <f>+landbouw!M8</f>
        <v>0</v>
      </c>
      <c r="O22" s="727">
        <f>+landbouw!N8</f>
        <v>0</v>
      </c>
      <c r="P22" s="727">
        <f>+landbouw!O8</f>
        <v>0</v>
      </c>
      <c r="Q22" s="728">
        <f>+landbouw!P8</f>
        <v>0</v>
      </c>
      <c r="R22" s="729">
        <f>SUM(C22:Q22)</f>
        <v>55951.74396016285</v>
      </c>
      <c r="S22" s="67"/>
    </row>
    <row r="23" spans="1:19" s="474" customFormat="1" ht="17.25" thickTop="1" thickBot="1">
      <c r="A23" s="734" t="s">
        <v>116</v>
      </c>
      <c r="B23" s="864"/>
      <c r="C23" s="735">
        <f ca="1">C20+C15+C22</f>
        <v>82284.474491346511</v>
      </c>
      <c r="D23" s="735">
        <f t="shared" ref="D23:Q23" ca="1" si="2">D20+D15+D22</f>
        <v>0</v>
      </c>
      <c r="E23" s="735">
        <f t="shared" ca="1" si="2"/>
        <v>106077.19313352898</v>
      </c>
      <c r="F23" s="735">
        <f t="shared" si="2"/>
        <v>15831.104993840112</v>
      </c>
      <c r="G23" s="735">
        <f t="shared" ca="1" si="2"/>
        <v>65476.005805361201</v>
      </c>
      <c r="H23" s="735">
        <f t="shared" si="2"/>
        <v>56985.477776251777</v>
      </c>
      <c r="I23" s="735">
        <f t="shared" si="2"/>
        <v>12017.318777458533</v>
      </c>
      <c r="J23" s="735">
        <f t="shared" si="2"/>
        <v>0</v>
      </c>
      <c r="K23" s="735">
        <f t="shared" si="2"/>
        <v>5095.5481010205258</v>
      </c>
      <c r="L23" s="735">
        <f t="shared" si="2"/>
        <v>0</v>
      </c>
      <c r="M23" s="735">
        <f t="shared" ca="1" si="2"/>
        <v>0</v>
      </c>
      <c r="N23" s="735">
        <f t="shared" si="2"/>
        <v>3685.0455989571337</v>
      </c>
      <c r="O23" s="735">
        <f t="shared" ca="1" si="2"/>
        <v>38620.186783582896</v>
      </c>
      <c r="P23" s="735">
        <f t="shared" si="2"/>
        <v>320.48333333333335</v>
      </c>
      <c r="Q23" s="736">
        <f t="shared" si="2"/>
        <v>819.86666666666667</v>
      </c>
      <c r="R23" s="737">
        <f ca="1">R20+R15+R22</f>
        <v>387212.70546134771</v>
      </c>
      <c r="S23" s="67"/>
    </row>
    <row r="24" spans="1:19" ht="15.75" customHeight="1" thickBot="1">
      <c r="A24" s="738"/>
      <c r="B24" s="738"/>
      <c r="C24" s="739"/>
      <c r="D24" s="739"/>
      <c r="E24" s="739"/>
      <c r="F24" s="739"/>
      <c r="G24" s="739"/>
      <c r="H24" s="739"/>
      <c r="I24" s="739"/>
      <c r="J24" s="739"/>
      <c r="K24" s="739"/>
      <c r="L24" s="739"/>
      <c r="M24" s="739"/>
      <c r="N24" s="739"/>
      <c r="O24" s="739"/>
      <c r="P24" s="739"/>
      <c r="Q24" s="739"/>
      <c r="R24" s="739"/>
    </row>
    <row r="25" spans="1:19" ht="41.25" customHeight="1" thickTop="1" thickBot="1">
      <c r="A25" s="740" t="s">
        <v>345</v>
      </c>
      <c r="B25" s="740"/>
      <c r="C25" s="741">
        <f>'EF ele_warmte'!B5</f>
        <v>0</v>
      </c>
      <c r="D25" s="742"/>
      <c r="E25" s="743"/>
      <c r="F25" s="742"/>
      <c r="G25" s="742"/>
      <c r="H25" s="742"/>
      <c r="I25" s="742"/>
      <c r="J25" s="742"/>
      <c r="K25" s="742"/>
      <c r="L25" s="742"/>
      <c r="M25" s="742"/>
      <c r="N25" s="742"/>
      <c r="O25" s="742"/>
      <c r="P25" s="742"/>
      <c r="Q25" s="742"/>
      <c r="R25" s="742"/>
    </row>
    <row r="26" spans="1:19" ht="31.5" thickTop="1" thickBot="1">
      <c r="A26" s="744" t="s">
        <v>346</v>
      </c>
      <c r="B26" s="744"/>
      <c r="C26" s="745" t="s">
        <v>211</v>
      </c>
      <c r="D26" s="746"/>
      <c r="E26" s="746"/>
      <c r="F26" s="746"/>
      <c r="G26" s="746"/>
      <c r="H26" s="747"/>
      <c r="I26" s="748"/>
      <c r="J26" s="748"/>
      <c r="K26" s="748"/>
      <c r="L26" s="748"/>
      <c r="M26" s="748"/>
      <c r="N26" s="748"/>
      <c r="O26" s="748"/>
      <c r="P26" s="748"/>
      <c r="Q26" s="748"/>
      <c r="R26" s="748"/>
    </row>
    <row r="27" spans="1:19" ht="15" thickTop="1">
      <c r="A27" s="1121"/>
      <c r="B27" s="1121"/>
      <c r="C27" s="1121"/>
      <c r="D27" s="749"/>
      <c r="E27" s="748"/>
      <c r="F27" s="748"/>
      <c r="G27" s="748"/>
      <c r="H27" s="748"/>
      <c r="I27" s="748"/>
      <c r="J27" s="748"/>
      <c r="K27" s="748"/>
      <c r="L27" s="748"/>
      <c r="M27" s="748"/>
      <c r="N27" s="748"/>
      <c r="O27" s="748"/>
      <c r="P27" s="748"/>
      <c r="Q27" s="748"/>
      <c r="R27" s="748"/>
    </row>
    <row r="28" spans="1:19" ht="15.75">
      <c r="A28" s="750" t="s">
        <v>231</v>
      </c>
      <c r="B28" s="750"/>
      <c r="C28" s="749"/>
      <c r="D28" s="749"/>
      <c r="E28" s="748"/>
      <c r="F28" s="748"/>
      <c r="G28" s="748"/>
      <c r="H28" s="748"/>
      <c r="I28" s="748"/>
      <c r="J28" s="748"/>
      <c r="K28" s="748"/>
      <c r="L28" s="748"/>
      <c r="M28" s="748"/>
      <c r="N28" s="748"/>
      <c r="O28" s="748"/>
      <c r="P28" s="748"/>
      <c r="Q28" s="748"/>
      <c r="R28" s="748"/>
    </row>
    <row r="29" spans="1:19">
      <c r="A29" s="1070"/>
      <c r="B29" s="1070"/>
      <c r="C29" s="1070"/>
      <c r="D29" s="1070"/>
      <c r="E29" s="1070"/>
      <c r="F29" s="1070"/>
      <c r="G29" s="1070"/>
      <c r="H29" s="1070"/>
      <c r="I29" s="1070"/>
      <c r="J29" s="1070"/>
      <c r="K29" s="1070"/>
      <c r="L29" s="1070"/>
      <c r="M29" s="1070"/>
      <c r="N29" s="1070"/>
      <c r="O29" s="1070"/>
      <c r="P29" s="1070"/>
      <c r="Q29" s="1070"/>
      <c r="R29" s="1070"/>
    </row>
    <row r="30" spans="1:19" ht="15.75" thickBot="1">
      <c r="A30" s="751"/>
      <c r="B30" s="751"/>
      <c r="C30" s="752"/>
      <c r="D30" s="752"/>
      <c r="E30" s="752"/>
      <c r="F30" s="752"/>
      <c r="G30" s="752"/>
      <c r="H30" s="752"/>
      <c r="I30" s="752"/>
      <c r="J30" s="752"/>
      <c r="K30" s="752"/>
      <c r="L30" s="752"/>
      <c r="M30" s="752"/>
      <c r="N30" s="752"/>
      <c r="O30" s="752"/>
      <c r="P30" s="752"/>
      <c r="Q30" s="752"/>
      <c r="R30" s="752"/>
    </row>
    <row r="31" spans="1:19" ht="17.25" thickTop="1" thickBot="1">
      <c r="A31" s="1122"/>
      <c r="B31" s="882"/>
      <c r="C31" s="1124" t="s">
        <v>347</v>
      </c>
      <c r="D31" s="1125"/>
      <c r="E31" s="1125"/>
      <c r="F31" s="1125"/>
      <c r="G31" s="1125"/>
      <c r="H31" s="1125"/>
      <c r="I31" s="1125"/>
      <c r="J31" s="1125"/>
      <c r="K31" s="1125"/>
      <c r="L31" s="1125"/>
      <c r="M31" s="1125"/>
      <c r="N31" s="1125"/>
      <c r="O31" s="1125"/>
      <c r="P31" s="1125"/>
      <c r="Q31" s="1125"/>
      <c r="R31" s="1126"/>
    </row>
    <row r="32" spans="1:19" ht="16.5" thickTop="1">
      <c r="A32" s="1123"/>
      <c r="B32" s="883"/>
      <c r="C32" s="1127" t="s">
        <v>21</v>
      </c>
      <c r="D32" s="1087" t="s">
        <v>232</v>
      </c>
      <c r="E32" s="1129" t="s">
        <v>197</v>
      </c>
      <c r="F32" s="1130"/>
      <c r="G32" s="1130"/>
      <c r="H32" s="1130"/>
      <c r="I32" s="1130"/>
      <c r="J32" s="1130"/>
      <c r="K32" s="1130"/>
      <c r="L32" s="1131"/>
      <c r="M32" s="1129" t="s">
        <v>198</v>
      </c>
      <c r="N32" s="1130"/>
      <c r="O32" s="1130"/>
      <c r="P32" s="1130"/>
      <c r="Q32" s="1130"/>
      <c r="R32" s="1071" t="s">
        <v>116</v>
      </c>
    </row>
    <row r="33" spans="1:18" ht="45.75" thickBot="1">
      <c r="A33" s="1123"/>
      <c r="B33" s="883"/>
      <c r="C33" s="1128"/>
      <c r="D33" s="1090"/>
      <c r="E33" s="753" t="s">
        <v>199</v>
      </c>
      <c r="F33" s="753" t="s">
        <v>200</v>
      </c>
      <c r="G33" s="753" t="s">
        <v>201</v>
      </c>
      <c r="H33" s="753" t="s">
        <v>202</v>
      </c>
      <c r="I33" s="753" t="s">
        <v>120</v>
      </c>
      <c r="J33" s="753" t="s">
        <v>203</v>
      </c>
      <c r="K33" s="754" t="s">
        <v>233</v>
      </c>
      <c r="L33" s="754" t="s">
        <v>205</v>
      </c>
      <c r="M33" s="64" t="s">
        <v>206</v>
      </c>
      <c r="N33" s="65" t="s">
        <v>207</v>
      </c>
      <c r="O33" s="753" t="s">
        <v>234</v>
      </c>
      <c r="P33" s="753" t="s">
        <v>235</v>
      </c>
      <c r="Q33" s="754" t="s">
        <v>210</v>
      </c>
      <c r="R33" s="1073"/>
    </row>
    <row r="34" spans="1:18" ht="17.25" thickTop="1" thickBot="1">
      <c r="A34" s="895" t="s">
        <v>344</v>
      </c>
      <c r="B34" s="896"/>
      <c r="C34" s="755" t="s">
        <v>236</v>
      </c>
      <c r="D34" s="756"/>
      <c r="E34" s="757"/>
      <c r="F34" s="757"/>
      <c r="G34" s="757"/>
      <c r="H34" s="757"/>
      <c r="I34" s="757"/>
      <c r="J34" s="757"/>
      <c r="K34" s="757"/>
      <c r="L34" s="757"/>
      <c r="M34" s="758"/>
      <c r="N34" s="758"/>
      <c r="O34" s="757"/>
      <c r="P34" s="758"/>
      <c r="Q34" s="759"/>
      <c r="R34" s="760"/>
    </row>
    <row r="35" spans="1:18" ht="15" thickTop="1">
      <c r="A35" s="865" t="s">
        <v>223</v>
      </c>
      <c r="B35" s="892"/>
      <c r="C35" s="718">
        <f ca="1">'Eigen gebouwen'!B19</f>
        <v>0</v>
      </c>
      <c r="D35" s="718">
        <f ca="1">'Eigen gebouwen'!C19</f>
        <v>0</v>
      </c>
      <c r="E35" s="718">
        <f>'Eigen gebouwen'!D19</f>
        <v>0</v>
      </c>
      <c r="F35" s="718">
        <f>'Eigen gebouwen'!E19</f>
        <v>0</v>
      </c>
      <c r="G35" s="718">
        <f>'Eigen gebouwen'!F19</f>
        <v>0</v>
      </c>
      <c r="H35" s="718">
        <f>'Eigen gebouwen'!G19</f>
        <v>0</v>
      </c>
      <c r="I35" s="718">
        <f>'Eigen gebouwen'!H19</f>
        <v>0</v>
      </c>
      <c r="J35" s="718">
        <f>'Eigen gebouwen'!I19</f>
        <v>0</v>
      </c>
      <c r="K35" s="718">
        <f>'Eigen gebouwen'!J19</f>
        <v>0</v>
      </c>
      <c r="L35" s="718">
        <f>'Eigen gebouwen'!K19</f>
        <v>0</v>
      </c>
      <c r="M35" s="718">
        <f>'Eigen gebouwen'!L19</f>
        <v>0</v>
      </c>
      <c r="N35" s="718">
        <f>'Eigen gebouwen'!M19</f>
        <v>0</v>
      </c>
      <c r="O35" s="718">
        <f>'Eigen gebouwen'!N19</f>
        <v>0</v>
      </c>
      <c r="P35" s="718">
        <f>'Eigen gebouwen'!O19</f>
        <v>0</v>
      </c>
      <c r="Q35" s="828">
        <f>'Eigen gebouwen'!P19</f>
        <v>0</v>
      </c>
      <c r="R35" s="916">
        <f ca="1">SUM(C35:Q35)</f>
        <v>0</v>
      </c>
    </row>
    <row r="36" spans="1:18">
      <c r="A36" s="871" t="s">
        <v>224</v>
      </c>
      <c r="B36" s="893"/>
      <c r="C36" s="718">
        <f ca="1">tertiair!B20+'openbare verlichting'!B12</f>
        <v>3128.3211922852224</v>
      </c>
      <c r="D36" s="718">
        <f ca="1">tertiair!C20</f>
        <v>0</v>
      </c>
      <c r="E36" s="718">
        <f ca="1">tertiair!D20</f>
        <v>2616.6826197829978</v>
      </c>
      <c r="F36" s="718">
        <f>tertiair!E20</f>
        <v>53.795891169537121</v>
      </c>
      <c r="G36" s="718">
        <f ca="1">tertiair!F20</f>
        <v>728.5780340165752</v>
      </c>
      <c r="H36" s="718">
        <f>tertiair!G20</f>
        <v>0</v>
      </c>
      <c r="I36" s="718">
        <f>tertiair!H20</f>
        <v>0</v>
      </c>
      <c r="J36" s="718">
        <f>tertiair!I20</f>
        <v>0</v>
      </c>
      <c r="K36" s="718">
        <f>tertiair!J20</f>
        <v>1.9911793864123648E-2</v>
      </c>
      <c r="L36" s="718">
        <f>tertiair!K20</f>
        <v>0</v>
      </c>
      <c r="M36" s="718">
        <f ca="1">tertiair!L20</f>
        <v>0</v>
      </c>
      <c r="N36" s="718">
        <f>tertiair!M20</f>
        <v>0</v>
      </c>
      <c r="O36" s="718">
        <f ca="1">tertiair!N20</f>
        <v>0</v>
      </c>
      <c r="P36" s="718">
        <f>tertiair!O20</f>
        <v>0</v>
      </c>
      <c r="Q36" s="828">
        <f>tertiair!P20</f>
        <v>0</v>
      </c>
      <c r="R36" s="917">
        <f ca="1">SUM(C36:Q36)</f>
        <v>6527.3976490481955</v>
      </c>
    </row>
    <row r="37" spans="1:18">
      <c r="A37" s="885" t="s">
        <v>225</v>
      </c>
      <c r="B37" s="892"/>
      <c r="C37" s="718">
        <f ca="1">huishoudens!B12</f>
        <v>5053.0350702722126</v>
      </c>
      <c r="D37" s="718">
        <f ca="1">huishoudens!C12</f>
        <v>0</v>
      </c>
      <c r="E37" s="718">
        <f>huishoudens!D12</f>
        <v>8787.7537026827249</v>
      </c>
      <c r="F37" s="718">
        <f>huishoudens!E12</f>
        <v>3016.0217544400784</v>
      </c>
      <c r="G37" s="718">
        <f>huishoudens!F12</f>
        <v>4557.1953511907323</v>
      </c>
      <c r="H37" s="718">
        <f>huishoudens!G12</f>
        <v>0</v>
      </c>
      <c r="I37" s="718">
        <f>huishoudens!H12</f>
        <v>0</v>
      </c>
      <c r="J37" s="718">
        <f>huishoudens!I12</f>
        <v>0</v>
      </c>
      <c r="K37" s="718">
        <f>huishoudens!J12</f>
        <v>1306.8817066595957</v>
      </c>
      <c r="L37" s="718">
        <f>huishoudens!K12</f>
        <v>0</v>
      </c>
      <c r="M37" s="718">
        <f>huishoudens!L12</f>
        <v>0</v>
      </c>
      <c r="N37" s="718">
        <f>huishoudens!M12</f>
        <v>0</v>
      </c>
      <c r="O37" s="718">
        <f>huishoudens!N12</f>
        <v>0</v>
      </c>
      <c r="P37" s="718">
        <f>huishoudens!O12</f>
        <v>0</v>
      </c>
      <c r="Q37" s="828">
        <f>huishoudens!P12</f>
        <v>0</v>
      </c>
      <c r="R37" s="917">
        <f ca="1">SUM(C37:Q37)</f>
        <v>22720.887585245342</v>
      </c>
    </row>
    <row r="38" spans="1:18">
      <c r="A38" s="885" t="s">
        <v>501</v>
      </c>
      <c r="B38" s="892"/>
      <c r="C38" s="718">
        <f ca="1">'Eigen openbare verlichting'!B19</f>
        <v>0</v>
      </c>
      <c r="D38" s="718"/>
      <c r="E38" s="718"/>
      <c r="F38" s="718"/>
      <c r="G38" s="718"/>
      <c r="H38" s="718"/>
      <c r="I38" s="718"/>
      <c r="J38" s="718"/>
      <c r="K38" s="718"/>
      <c r="L38" s="718"/>
      <c r="M38" s="718"/>
      <c r="N38" s="718"/>
      <c r="O38" s="718"/>
      <c r="P38" s="718"/>
      <c r="Q38" s="828"/>
      <c r="R38" s="917">
        <f ca="1">SUM(C38:Q38)</f>
        <v>0</v>
      </c>
    </row>
    <row r="39" spans="1:18">
      <c r="A39" s="885" t="s">
        <v>639</v>
      </c>
      <c r="B39" s="900" t="s">
        <v>636</v>
      </c>
      <c r="C39" s="718">
        <f ca="1">industrie!B22</f>
        <v>6292.1980568154404</v>
      </c>
      <c r="D39" s="718">
        <f ca="1">industrie!C22</f>
        <v>0</v>
      </c>
      <c r="E39" s="718">
        <f>industrie!D22</f>
        <v>8778.5775626908562</v>
      </c>
      <c r="F39" s="718">
        <f>industrie!E22</f>
        <v>428.59861363384408</v>
      </c>
      <c r="G39" s="718">
        <f>industrie!F22</f>
        <v>1803.3587536688865</v>
      </c>
      <c r="H39" s="718">
        <f>industrie!G22</f>
        <v>0</v>
      </c>
      <c r="I39" s="718">
        <f>industrie!H22</f>
        <v>0</v>
      </c>
      <c r="J39" s="718">
        <f>industrie!I22</f>
        <v>0</v>
      </c>
      <c r="K39" s="718">
        <f>industrie!J22</f>
        <v>17.717015021774014</v>
      </c>
      <c r="L39" s="718">
        <f>industrie!K22</f>
        <v>0</v>
      </c>
      <c r="M39" s="718">
        <f>industrie!L22</f>
        <v>0</v>
      </c>
      <c r="N39" s="718">
        <f>industrie!M22</f>
        <v>0</v>
      </c>
      <c r="O39" s="718">
        <f>industrie!N22</f>
        <v>0</v>
      </c>
      <c r="P39" s="718">
        <f>industrie!O22</f>
        <v>0</v>
      </c>
      <c r="Q39" s="828">
        <f>industrie!P22</f>
        <v>0</v>
      </c>
      <c r="R39" s="918">
        <f ca="1">SUM(C39:Q39)</f>
        <v>17320.450001830803</v>
      </c>
    </row>
    <row r="40" spans="1:18" ht="15" thickBot="1">
      <c r="A40" s="894"/>
      <c r="B40" s="901" t="s">
        <v>637</v>
      </c>
      <c r="C40" s="718"/>
      <c r="D40" s="718"/>
      <c r="E40" s="718"/>
      <c r="F40" s="718"/>
      <c r="G40" s="718"/>
      <c r="H40" s="718"/>
      <c r="I40" s="718"/>
      <c r="J40" s="718"/>
      <c r="K40" s="718"/>
      <c r="L40" s="718"/>
      <c r="M40" s="718"/>
      <c r="N40" s="718"/>
      <c r="O40" s="718"/>
      <c r="P40" s="718"/>
      <c r="Q40" s="920"/>
      <c r="R40" s="919">
        <f t="shared" ref="R40" si="3">SUM(C40:Q40)</f>
        <v>0</v>
      </c>
    </row>
    <row r="41" spans="1:18" ht="15.75" thickBot="1">
      <c r="A41" s="767" t="s">
        <v>226</v>
      </c>
      <c r="B41" s="866"/>
      <c r="C41" s="763">
        <f ca="1">SUM(C35:C40)</f>
        <v>14473.554319372875</v>
      </c>
      <c r="D41" s="763">
        <f t="shared" ref="D41:R41" ca="1" si="4">SUM(D35:D40)</f>
        <v>0</v>
      </c>
      <c r="E41" s="763">
        <f t="shared" ca="1" si="4"/>
        <v>20183.013885156579</v>
      </c>
      <c r="F41" s="763">
        <f t="shared" si="4"/>
        <v>3498.41625924346</v>
      </c>
      <c r="G41" s="763">
        <f t="shared" ca="1" si="4"/>
        <v>7089.1321388761935</v>
      </c>
      <c r="H41" s="763">
        <f t="shared" si="4"/>
        <v>0</v>
      </c>
      <c r="I41" s="763">
        <f t="shared" si="4"/>
        <v>0</v>
      </c>
      <c r="J41" s="763">
        <f t="shared" si="4"/>
        <v>0</v>
      </c>
      <c r="K41" s="763">
        <f t="shared" si="4"/>
        <v>1324.6186334752338</v>
      </c>
      <c r="L41" s="763">
        <f t="shared" si="4"/>
        <v>0</v>
      </c>
      <c r="M41" s="763">
        <f t="shared" ca="1" si="4"/>
        <v>0</v>
      </c>
      <c r="N41" s="763">
        <f t="shared" si="4"/>
        <v>0</v>
      </c>
      <c r="O41" s="763">
        <f t="shared" ca="1" si="4"/>
        <v>0</v>
      </c>
      <c r="P41" s="763">
        <f t="shared" si="4"/>
        <v>0</v>
      </c>
      <c r="Q41" s="764">
        <f t="shared" si="4"/>
        <v>0</v>
      </c>
      <c r="R41" s="765">
        <f t="shared" ca="1" si="4"/>
        <v>46568.735236124339</v>
      </c>
    </row>
    <row r="42" spans="1:18" ht="15.75">
      <c r="A42" s="887" t="s">
        <v>227</v>
      </c>
      <c r="B42" s="897"/>
      <c r="C42" s="755"/>
      <c r="D42" s="756"/>
      <c r="E42" s="756"/>
      <c r="F42" s="756"/>
      <c r="G42" s="756"/>
      <c r="H42" s="756"/>
      <c r="I42" s="756"/>
      <c r="J42" s="756"/>
      <c r="K42" s="756"/>
      <c r="L42" s="756"/>
      <c r="M42" s="766"/>
      <c r="N42" s="766"/>
      <c r="O42" s="756"/>
      <c r="P42" s="766"/>
      <c r="Q42" s="766"/>
      <c r="R42" s="760"/>
    </row>
    <row r="43" spans="1:18">
      <c r="A43" s="885" t="s">
        <v>228</v>
      </c>
      <c r="B43" s="892"/>
      <c r="C43" s="718">
        <f ca="1">'Eigen vloot'!B31</f>
        <v>0</v>
      </c>
      <c r="D43" s="718">
        <f>'Eigen vloot'!C31</f>
        <v>0</v>
      </c>
      <c r="E43" s="718">
        <f>'Eigen vloot'!D31</f>
        <v>0</v>
      </c>
      <c r="F43" s="718">
        <f>'Eigen vloot'!E31</f>
        <v>0</v>
      </c>
      <c r="G43" s="718">
        <f>'Eigen vloot'!F31</f>
        <v>0</v>
      </c>
      <c r="H43" s="718">
        <f>'Eigen vloot'!G31</f>
        <v>0</v>
      </c>
      <c r="I43" s="718">
        <f>'Eigen vloot'!H31</f>
        <v>0</v>
      </c>
      <c r="J43" s="718">
        <f>'Eigen vloot'!I31</f>
        <v>0</v>
      </c>
      <c r="K43" s="718">
        <f>'Eigen vloot'!J31</f>
        <v>0</v>
      </c>
      <c r="L43" s="718">
        <f>'Eigen vloot'!K31</f>
        <v>0</v>
      </c>
      <c r="M43" s="718">
        <f>'Eigen vloot'!L31</f>
        <v>0</v>
      </c>
      <c r="N43" s="718">
        <f>'Eigen vloot'!M31</f>
        <v>0</v>
      </c>
      <c r="O43" s="718">
        <f>'Eigen vloot'!N31</f>
        <v>0</v>
      </c>
      <c r="P43" s="718">
        <f>'Eigen vloot'!O31</f>
        <v>0</v>
      </c>
      <c r="Q43" s="718">
        <f>'Eigen vloot'!P31</f>
        <v>0</v>
      </c>
      <c r="R43" s="761">
        <f ca="1">SUM(C43:Q43)</f>
        <v>0</v>
      </c>
    </row>
    <row r="44" spans="1:18">
      <c r="A44" s="885" t="s">
        <v>229</v>
      </c>
      <c r="B44" s="892"/>
      <c r="C44" s="718">
        <f ca="1">transport!B58</f>
        <v>0</v>
      </c>
      <c r="D44" s="718">
        <f ca="1">transport!C58</f>
        <v>0</v>
      </c>
      <c r="E44" s="718">
        <f>transport!D58</f>
        <v>0</v>
      </c>
      <c r="F44" s="718">
        <f>transport!E58</f>
        <v>0</v>
      </c>
      <c r="G44" s="718">
        <f>transport!F58</f>
        <v>0</v>
      </c>
      <c r="H44" s="718">
        <f>transport!G58</f>
        <v>169.7274337610028</v>
      </c>
      <c r="I44" s="718">
        <f>transport!H58</f>
        <v>0</v>
      </c>
      <c r="J44" s="718">
        <f>transport!I58</f>
        <v>0</v>
      </c>
      <c r="K44" s="718">
        <f>transport!J58</f>
        <v>0</v>
      </c>
      <c r="L44" s="718">
        <f>transport!K58</f>
        <v>0</v>
      </c>
      <c r="M44" s="718">
        <f>transport!L58</f>
        <v>0</v>
      </c>
      <c r="N44" s="718">
        <f>transport!M58</f>
        <v>0</v>
      </c>
      <c r="O44" s="718">
        <f>transport!N58</f>
        <v>0</v>
      </c>
      <c r="P44" s="718">
        <f>transport!O58</f>
        <v>0</v>
      </c>
      <c r="Q44" s="719">
        <f>transport!P58</f>
        <v>0</v>
      </c>
      <c r="R44" s="761">
        <f ca="1">SUM(C44:Q44)</f>
        <v>169.7274337610028</v>
      </c>
    </row>
    <row r="45" spans="1:18" ht="15" thickBot="1">
      <c r="A45" s="888" t="s">
        <v>307</v>
      </c>
      <c r="B45" s="898"/>
      <c r="C45" s="727">
        <f ca="1">transport!B18</f>
        <v>5.6347047847381164</v>
      </c>
      <c r="D45" s="727">
        <f>transport!C18</f>
        <v>0</v>
      </c>
      <c r="E45" s="727">
        <f>transport!D18</f>
        <v>21.496134521582327</v>
      </c>
      <c r="F45" s="727">
        <f>transport!E18</f>
        <v>32.901962099290046</v>
      </c>
      <c r="G45" s="727">
        <f>transport!F18</f>
        <v>0</v>
      </c>
      <c r="H45" s="727">
        <f>transport!G18</f>
        <v>15045.395132498223</v>
      </c>
      <c r="I45" s="727">
        <f>transport!H18</f>
        <v>2992.3123755871748</v>
      </c>
      <c r="J45" s="727">
        <f>transport!I18</f>
        <v>0</v>
      </c>
      <c r="K45" s="727">
        <f>transport!J18</f>
        <v>0</v>
      </c>
      <c r="L45" s="727">
        <f>transport!K18</f>
        <v>0</v>
      </c>
      <c r="M45" s="727">
        <f>transport!L18</f>
        <v>0</v>
      </c>
      <c r="N45" s="727">
        <f>transport!M18</f>
        <v>0</v>
      </c>
      <c r="O45" s="727">
        <f>transport!N18</f>
        <v>0</v>
      </c>
      <c r="P45" s="727">
        <f>transport!O18</f>
        <v>0</v>
      </c>
      <c r="Q45" s="728">
        <f>transport!P18</f>
        <v>0</v>
      </c>
      <c r="R45" s="762">
        <f ca="1">SUM(C45:Q45)</f>
        <v>18097.740309491008</v>
      </c>
    </row>
    <row r="46" spans="1:18" ht="15.75" thickBot="1">
      <c r="A46" s="886" t="s">
        <v>230</v>
      </c>
      <c r="B46" s="899"/>
      <c r="C46" s="763">
        <f t="shared" ref="C46:R46" ca="1" si="5">SUM(C43:C45)</f>
        <v>5.6347047847381164</v>
      </c>
      <c r="D46" s="763">
        <f t="shared" ca="1" si="5"/>
        <v>0</v>
      </c>
      <c r="E46" s="763">
        <f t="shared" si="5"/>
        <v>21.496134521582327</v>
      </c>
      <c r="F46" s="763">
        <f t="shared" si="5"/>
        <v>32.901962099290046</v>
      </c>
      <c r="G46" s="763">
        <f t="shared" si="5"/>
        <v>0</v>
      </c>
      <c r="H46" s="763">
        <f t="shared" si="5"/>
        <v>15215.122566259226</v>
      </c>
      <c r="I46" s="763">
        <f t="shared" si="5"/>
        <v>2992.3123755871748</v>
      </c>
      <c r="J46" s="763">
        <f t="shared" si="5"/>
        <v>0</v>
      </c>
      <c r="K46" s="763">
        <f t="shared" si="5"/>
        <v>0</v>
      </c>
      <c r="L46" s="763">
        <f t="shared" si="5"/>
        <v>0</v>
      </c>
      <c r="M46" s="763">
        <f t="shared" si="5"/>
        <v>0</v>
      </c>
      <c r="N46" s="763">
        <f t="shared" si="5"/>
        <v>0</v>
      </c>
      <c r="O46" s="763">
        <f t="shared" si="5"/>
        <v>0</v>
      </c>
      <c r="P46" s="763">
        <f t="shared" si="5"/>
        <v>0</v>
      </c>
      <c r="Q46" s="764">
        <f t="shared" si="5"/>
        <v>0</v>
      </c>
      <c r="R46" s="765">
        <f t="shared" ca="1" si="5"/>
        <v>18267.467743252011</v>
      </c>
    </row>
    <row r="47" spans="1:18" ht="15.75">
      <c r="A47" s="887" t="s">
        <v>237</v>
      </c>
      <c r="B47" s="863"/>
      <c r="C47" s="755"/>
      <c r="D47" s="756"/>
      <c r="E47" s="756"/>
      <c r="F47" s="756"/>
      <c r="G47" s="756"/>
      <c r="H47" s="756"/>
      <c r="I47" s="756"/>
      <c r="J47" s="756"/>
      <c r="K47" s="756"/>
      <c r="L47" s="756"/>
      <c r="M47" s="766"/>
      <c r="N47" s="766"/>
      <c r="O47" s="756"/>
      <c r="P47" s="766"/>
      <c r="Q47" s="766"/>
      <c r="R47" s="760"/>
    </row>
    <row r="48" spans="1:18" ht="15" thickBot="1">
      <c r="A48" s="885" t="s">
        <v>633</v>
      </c>
      <c r="B48" s="904"/>
      <c r="C48" s="718">
        <f ca="1">+landbouw!B12</f>
        <v>1854.7599797631442</v>
      </c>
      <c r="D48" s="718">
        <f ca="1">+landbouw!C12</f>
        <v>0</v>
      </c>
      <c r="E48" s="718">
        <f>+landbouw!D12</f>
        <v>1223.0829932946936</v>
      </c>
      <c r="F48" s="718">
        <f>+landbouw!E12</f>
        <v>62.342612258955747</v>
      </c>
      <c r="G48" s="718">
        <f>+landbouw!F12</f>
        <v>10392.961411155247</v>
      </c>
      <c r="H48" s="718">
        <f>+landbouw!G12</f>
        <v>0</v>
      </c>
      <c r="I48" s="718">
        <f>+landbouw!H12</f>
        <v>0</v>
      </c>
      <c r="J48" s="718">
        <f>+landbouw!I12</f>
        <v>0</v>
      </c>
      <c r="K48" s="718">
        <f>+landbouw!J12</f>
        <v>479.2053942860324</v>
      </c>
      <c r="L48" s="718">
        <f>+landbouw!K12</f>
        <v>0</v>
      </c>
      <c r="M48" s="718">
        <f>+landbouw!L12</f>
        <v>0</v>
      </c>
      <c r="N48" s="718">
        <f>+landbouw!M12</f>
        <v>0</v>
      </c>
      <c r="O48" s="718">
        <f>+landbouw!N12</f>
        <v>0</v>
      </c>
      <c r="P48" s="718">
        <f>+landbouw!O12</f>
        <v>0</v>
      </c>
      <c r="Q48" s="719">
        <f>+landbouw!P12</f>
        <v>0</v>
      </c>
      <c r="R48" s="761">
        <f ca="1">SUM(C48:Q48)</f>
        <v>14012.352390758075</v>
      </c>
    </row>
    <row r="49" spans="1:18" ht="15.75">
      <c r="A49" s="863" t="s">
        <v>634</v>
      </c>
      <c r="B49" s="863"/>
      <c r="C49" s="769"/>
      <c r="D49" s="756"/>
      <c r="E49" s="756"/>
      <c r="F49" s="756"/>
      <c r="G49" s="756"/>
      <c r="H49" s="756"/>
      <c r="I49" s="756"/>
      <c r="J49" s="756"/>
      <c r="K49" s="756"/>
      <c r="L49" s="756"/>
      <c r="M49" s="766"/>
      <c r="N49" s="766"/>
      <c r="O49" s="756"/>
      <c r="P49" s="766"/>
      <c r="Q49" s="766"/>
      <c r="R49" s="760"/>
    </row>
    <row r="50" spans="1:18" ht="15">
      <c r="A50" s="889" t="s">
        <v>238</v>
      </c>
      <c r="B50" s="905"/>
      <c r="C50" s="1102"/>
      <c r="D50" s="1103"/>
      <c r="E50" s="1103"/>
      <c r="F50" s="1103"/>
      <c r="G50" s="1103"/>
      <c r="H50" s="1103"/>
      <c r="I50" s="1103"/>
      <c r="J50" s="1103"/>
      <c r="K50" s="1103"/>
      <c r="L50" s="1103"/>
      <c r="M50" s="1103"/>
      <c r="N50" s="1103"/>
      <c r="O50" s="1103"/>
      <c r="P50" s="1103"/>
      <c r="Q50" s="1103"/>
      <c r="R50" s="770"/>
    </row>
    <row r="51" spans="1:18" ht="15">
      <c r="A51" s="890" t="s">
        <v>239</v>
      </c>
      <c r="B51" s="875"/>
      <c r="C51" s="1104"/>
      <c r="D51" s="1105"/>
      <c r="E51" s="1105"/>
      <c r="F51" s="1105"/>
      <c r="G51" s="1105"/>
      <c r="H51" s="1105"/>
      <c r="I51" s="1105"/>
      <c r="J51" s="1105"/>
      <c r="K51" s="1105"/>
      <c r="L51" s="1105"/>
      <c r="M51" s="1105"/>
      <c r="N51" s="1105"/>
      <c r="O51" s="1105"/>
      <c r="P51" s="1105"/>
      <c r="Q51" s="1105"/>
      <c r="R51" s="771"/>
    </row>
    <row r="52" spans="1:18" ht="15" thickBot="1">
      <c r="A52" s="902" t="s">
        <v>240</v>
      </c>
      <c r="B52" s="903"/>
      <c r="C52" s="1104"/>
      <c r="D52" s="1105"/>
      <c r="E52" s="1105"/>
      <c r="F52" s="1105"/>
      <c r="G52" s="1105"/>
      <c r="H52" s="1105"/>
      <c r="I52" s="1105"/>
      <c r="J52" s="1105"/>
      <c r="K52" s="1105"/>
      <c r="L52" s="1105"/>
      <c r="M52" s="1105"/>
      <c r="N52" s="1105"/>
      <c r="O52" s="1105"/>
      <c r="P52" s="1105"/>
      <c r="Q52" s="1105"/>
      <c r="R52" s="762"/>
    </row>
    <row r="53" spans="1:18" ht="16.5" thickBot="1">
      <c r="A53" s="906" t="s">
        <v>116</v>
      </c>
      <c r="B53" s="907"/>
      <c r="C53" s="772">
        <f ca="1">C41+C46+C48</f>
        <v>16333.949003920758</v>
      </c>
      <c r="D53" s="773">
        <f t="shared" ref="D53:Q53" ca="1" si="6">D41+D46+D48</f>
        <v>0</v>
      </c>
      <c r="E53" s="773">
        <f t="shared" ca="1" si="6"/>
        <v>21427.593012972855</v>
      </c>
      <c r="F53" s="773">
        <f t="shared" si="6"/>
        <v>3593.6608336017057</v>
      </c>
      <c r="G53" s="773">
        <f t="shared" ca="1" si="6"/>
        <v>17482.093550031441</v>
      </c>
      <c r="H53" s="773">
        <f t="shared" si="6"/>
        <v>15215.122566259226</v>
      </c>
      <c r="I53" s="773">
        <f t="shared" si="6"/>
        <v>2992.3123755871748</v>
      </c>
      <c r="J53" s="773">
        <f t="shared" si="6"/>
        <v>0</v>
      </c>
      <c r="K53" s="773">
        <f t="shared" si="6"/>
        <v>1803.8240277612663</v>
      </c>
      <c r="L53" s="773">
        <f t="shared" si="6"/>
        <v>0</v>
      </c>
      <c r="M53" s="773">
        <f t="shared" ca="1" si="6"/>
        <v>0</v>
      </c>
      <c r="N53" s="773">
        <f t="shared" si="6"/>
        <v>0</v>
      </c>
      <c r="O53" s="773">
        <f t="shared" ca="1" si="6"/>
        <v>0</v>
      </c>
      <c r="P53" s="773">
        <f>P41+P46+P48</f>
        <v>0</v>
      </c>
      <c r="Q53" s="774">
        <f t="shared" si="6"/>
        <v>0</v>
      </c>
      <c r="R53" s="775">
        <f ca="1">R41+R46+R48</f>
        <v>78848.555370134418</v>
      </c>
    </row>
    <row r="54" spans="1:18" ht="15.75" thickTop="1" thickBot="1">
      <c r="A54" s="856"/>
      <c r="B54" s="856"/>
      <c r="C54" s="777"/>
      <c r="D54" s="777"/>
      <c r="E54" s="778"/>
      <c r="F54" s="778"/>
      <c r="G54" s="778"/>
      <c r="H54" s="778"/>
      <c r="I54" s="778"/>
      <c r="J54" s="778"/>
      <c r="K54" s="778"/>
      <c r="L54" s="778"/>
      <c r="M54" s="778"/>
      <c r="N54" s="778"/>
      <c r="O54" s="778"/>
      <c r="P54" s="778"/>
      <c r="Q54" s="778"/>
      <c r="R54" s="778"/>
    </row>
    <row r="55" spans="1:18" ht="20.25" thickTop="1" thickBot="1">
      <c r="A55" s="779" t="s">
        <v>348</v>
      </c>
      <c r="B55" s="884"/>
      <c r="C55" s="836">
        <f t="shared" ref="C55:Q55" ca="1" si="7">IF(ISERROR(C53/C23),0,C53/C23)</f>
        <v>0.19850584335491533</v>
      </c>
      <c r="D55" s="836">
        <f t="shared" ca="1" si="7"/>
        <v>0</v>
      </c>
      <c r="E55" s="836">
        <f t="shared" ca="1" si="7"/>
        <v>0.20200000000000001</v>
      </c>
      <c r="F55" s="836">
        <f t="shared" si="7"/>
        <v>0.22700000000000001</v>
      </c>
      <c r="G55" s="836">
        <f t="shared" ca="1" si="7"/>
        <v>0.26700000000000002</v>
      </c>
      <c r="H55" s="836">
        <f t="shared" si="7"/>
        <v>0.26700000000000002</v>
      </c>
      <c r="I55" s="836">
        <f t="shared" si="7"/>
        <v>0.249</v>
      </c>
      <c r="J55" s="836">
        <f t="shared" si="7"/>
        <v>0</v>
      </c>
      <c r="K55" s="836">
        <f t="shared" si="7"/>
        <v>0.35400000000000004</v>
      </c>
      <c r="L55" s="836">
        <f t="shared" si="7"/>
        <v>0</v>
      </c>
      <c r="M55" s="836">
        <f t="shared" ca="1" si="7"/>
        <v>0</v>
      </c>
      <c r="N55" s="836">
        <f t="shared" si="7"/>
        <v>0</v>
      </c>
      <c r="O55" s="836">
        <f t="shared" ca="1" si="7"/>
        <v>0</v>
      </c>
      <c r="P55" s="836">
        <f t="shared" si="7"/>
        <v>0</v>
      </c>
      <c r="Q55" s="836">
        <f t="shared" si="7"/>
        <v>0</v>
      </c>
      <c r="R55" s="778"/>
    </row>
    <row r="56" spans="1:18" ht="33" thickTop="1" thickBot="1">
      <c r="A56" s="891" t="s">
        <v>349</v>
      </c>
      <c r="B56" s="867"/>
      <c r="C56" s="837">
        <f>'EF ele_warmte'!B6</f>
        <v>0.221</v>
      </c>
      <c r="D56" s="838"/>
      <c r="E56" s="839"/>
      <c r="F56" s="840"/>
      <c r="G56" s="840"/>
      <c r="H56" s="840"/>
      <c r="I56" s="840"/>
      <c r="J56" s="840"/>
      <c r="K56" s="840"/>
      <c r="L56" s="840"/>
      <c r="M56" s="840"/>
      <c r="N56" s="840"/>
      <c r="O56" s="840"/>
      <c r="P56" s="840"/>
      <c r="Q56" s="840"/>
      <c r="R56" s="778"/>
    </row>
    <row r="57" spans="1:18" ht="15" thickTop="1">
      <c r="A57" s="780"/>
      <c r="B57" s="780"/>
      <c r="C57" s="778"/>
      <c r="D57" s="778"/>
      <c r="E57" s="778"/>
      <c r="F57" s="778"/>
      <c r="G57" s="778"/>
      <c r="H57" s="778"/>
      <c r="I57" s="778"/>
      <c r="J57" s="778"/>
      <c r="K57" s="778"/>
      <c r="L57" s="778"/>
      <c r="M57" s="778"/>
      <c r="N57" s="778"/>
      <c r="O57" s="778"/>
      <c r="P57" s="778"/>
      <c r="Q57" s="778"/>
      <c r="R57" s="778"/>
    </row>
    <row r="58" spans="1:18" ht="18.75">
      <c r="A58" s="781" t="s">
        <v>350</v>
      </c>
      <c r="B58" s="781"/>
      <c r="C58" s="748"/>
      <c r="D58" s="782"/>
      <c r="E58" s="748"/>
      <c r="F58" s="748"/>
      <c r="G58" s="748"/>
      <c r="H58" s="748"/>
      <c r="I58" s="748"/>
      <c r="J58" s="748"/>
      <c r="K58" s="748"/>
      <c r="L58" s="748"/>
      <c r="M58" s="748"/>
      <c r="N58" s="748"/>
      <c r="O58" s="748"/>
      <c r="P58" s="783"/>
      <c r="Q58" s="783"/>
      <c r="R58" s="783"/>
    </row>
    <row r="59" spans="1:18">
      <c r="A59" s="1070"/>
      <c r="B59" s="1070"/>
      <c r="C59" s="1070"/>
      <c r="D59" s="1070"/>
      <c r="E59" s="1070"/>
      <c r="F59" s="1070"/>
      <c r="G59" s="1070"/>
      <c r="H59" s="1070"/>
      <c r="I59" s="1070"/>
      <c r="J59" s="1070"/>
      <c r="K59" s="1070"/>
      <c r="L59" s="1070"/>
      <c r="M59" s="1070"/>
      <c r="N59" s="1070"/>
      <c r="O59" s="1070"/>
      <c r="P59" s="1070"/>
      <c r="Q59" s="1070"/>
      <c r="R59" s="784"/>
    </row>
    <row r="60" spans="1:18" ht="16.5" customHeight="1" thickBot="1">
      <c r="A60" s="751"/>
      <c r="B60" s="751"/>
      <c r="C60" s="752"/>
      <c r="D60" s="752"/>
      <c r="E60" s="752"/>
      <c r="F60" s="752"/>
      <c r="G60" s="752"/>
      <c r="H60" s="752"/>
      <c r="I60" s="752"/>
      <c r="J60" s="752"/>
      <c r="K60" s="752"/>
      <c r="L60" s="752"/>
      <c r="M60" s="752"/>
      <c r="N60" s="752"/>
      <c r="O60" s="752"/>
      <c r="P60" s="752"/>
      <c r="Q60" s="752"/>
      <c r="R60" s="752"/>
    </row>
    <row r="61" spans="1:18" ht="48.75" customHeight="1" thickTop="1" thickBot="1">
      <c r="A61" s="1071" t="s">
        <v>241</v>
      </c>
      <c r="B61" s="1085" t="s">
        <v>351</v>
      </c>
      <c r="C61" s="1077"/>
      <c r="D61" s="1074" t="s">
        <v>352</v>
      </c>
      <c r="E61" s="1075"/>
      <c r="F61" s="1075"/>
      <c r="G61" s="1075"/>
      <c r="H61" s="1075"/>
      <c r="I61" s="1075"/>
      <c r="J61" s="1075"/>
      <c r="K61" s="1075"/>
      <c r="L61" s="1075"/>
      <c r="M61" s="1076"/>
      <c r="N61" s="1077" t="s">
        <v>642</v>
      </c>
      <c r="O61" s="1110" t="s">
        <v>641</v>
      </c>
      <c r="P61" s="1111"/>
      <c r="Q61" s="785"/>
      <c r="R61" s="742"/>
    </row>
    <row r="62" spans="1:18" ht="31.5" thickTop="1" thickBot="1">
      <c r="A62" s="1072"/>
      <c r="B62" s="1109"/>
      <c r="C62" s="1079"/>
      <c r="D62" s="1106" t="s">
        <v>197</v>
      </c>
      <c r="E62" s="1107"/>
      <c r="F62" s="1107"/>
      <c r="G62" s="1107"/>
      <c r="H62" s="1108"/>
      <c r="I62" s="786" t="s">
        <v>245</v>
      </c>
      <c r="J62" s="787" t="s">
        <v>246</v>
      </c>
      <c r="K62" s="787" t="s">
        <v>234</v>
      </c>
      <c r="L62" s="787" t="s">
        <v>247</v>
      </c>
      <c r="M62" s="1091" t="s">
        <v>127</v>
      </c>
      <c r="N62" s="1078"/>
      <c r="O62" s="926"/>
      <c r="P62" s="927"/>
      <c r="Q62" s="785"/>
      <c r="R62" s="742"/>
    </row>
    <row r="63" spans="1:18" ht="95.25" customHeight="1" thickTop="1" thickBot="1">
      <c r="A63" s="1073"/>
      <c r="B63" s="854" t="s">
        <v>555</v>
      </c>
      <c r="C63" s="854" t="s">
        <v>640</v>
      </c>
      <c r="D63" s="788" t="s">
        <v>199</v>
      </c>
      <c r="E63" s="789" t="s">
        <v>200</v>
      </c>
      <c r="F63" s="790" t="s">
        <v>201</v>
      </c>
      <c r="G63" s="791" t="s">
        <v>203</v>
      </c>
      <c r="H63" s="792" t="s">
        <v>204</v>
      </c>
      <c r="I63" s="793"/>
      <c r="J63" s="789"/>
      <c r="K63" s="789"/>
      <c r="L63" s="789"/>
      <c r="M63" s="1115"/>
      <c r="N63" s="1079"/>
      <c r="O63" s="857" t="s">
        <v>643</v>
      </c>
      <c r="P63" s="855" t="s">
        <v>644</v>
      </c>
      <c r="Q63" s="785"/>
      <c r="R63" s="742"/>
    </row>
    <row r="64" spans="1:18" ht="15.75" thickTop="1">
      <c r="A64" s="794" t="s">
        <v>249</v>
      </c>
      <c r="B64" s="908">
        <f>'lokale energieproductie'!B4</f>
        <v>0</v>
      </c>
      <c r="C64" s="795">
        <f>'lokale energieproductie'!B4</f>
        <v>0</v>
      </c>
      <c r="D64" s="1116"/>
      <c r="E64" s="1093"/>
      <c r="F64" s="1093"/>
      <c r="G64" s="1096"/>
      <c r="H64" s="1099"/>
      <c r="I64" s="796"/>
      <c r="J64" s="796"/>
      <c r="K64" s="796"/>
      <c r="L64" s="796"/>
      <c r="M64" s="1112"/>
      <c r="N64" s="921">
        <v>0</v>
      </c>
      <c r="O64" s="928"/>
      <c r="P64" s="921">
        <v>0</v>
      </c>
      <c r="Q64" s="785"/>
      <c r="R64" s="783"/>
    </row>
    <row r="65" spans="1:18" ht="15">
      <c r="A65" s="797" t="s">
        <v>250</v>
      </c>
      <c r="B65" s="794">
        <f>'lokale energieproductie'!B5</f>
        <v>0</v>
      </c>
      <c r="C65" s="795">
        <f>'lokale energieproductie'!B5</f>
        <v>0</v>
      </c>
      <c r="D65" s="1117"/>
      <c r="E65" s="1094"/>
      <c r="F65" s="1094"/>
      <c r="G65" s="1097"/>
      <c r="H65" s="1100"/>
      <c r="I65" s="798"/>
      <c r="J65" s="798"/>
      <c r="K65" s="798"/>
      <c r="L65" s="798"/>
      <c r="M65" s="1113"/>
      <c r="N65" s="922">
        <v>0</v>
      </c>
      <c r="O65" s="928"/>
      <c r="P65" s="922">
        <v>0</v>
      </c>
      <c r="Q65" s="785"/>
      <c r="R65" s="748"/>
    </row>
    <row r="66" spans="1:18" ht="15">
      <c r="A66" s="797" t="s">
        <v>251</v>
      </c>
      <c r="B66" s="794">
        <f>'lokale energieproductie'!B6</f>
        <v>8375.2029803928581</v>
      </c>
      <c r="C66" s="795">
        <f>'lokale energieproductie'!B6</f>
        <v>8375.2029803928581</v>
      </c>
      <c r="D66" s="1118"/>
      <c r="E66" s="1095"/>
      <c r="F66" s="1095"/>
      <c r="G66" s="1098"/>
      <c r="H66" s="1101"/>
      <c r="I66" s="799"/>
      <c r="J66" s="799"/>
      <c r="K66" s="799"/>
      <c r="L66" s="799"/>
      <c r="M66" s="1114"/>
      <c r="N66" s="922">
        <v>0</v>
      </c>
      <c r="O66" s="928"/>
      <c r="P66" s="922">
        <v>0</v>
      </c>
      <c r="Q66" s="785"/>
      <c r="R66" s="783"/>
    </row>
    <row r="67" spans="1:18" ht="15">
      <c r="A67" s="800" t="s">
        <v>252</v>
      </c>
      <c r="B67" s="794">
        <f>'lokale energieproductie'!B7</f>
        <v>0</v>
      </c>
      <c r="C67" s="794">
        <f>B67*IFERROR(SUM(J67:L67)/SUM(D67:M67),0)</f>
        <v>0</v>
      </c>
      <c r="D67" s="826">
        <f>'lokale energieproductie'!C7</f>
        <v>0</v>
      </c>
      <c r="E67" s="827">
        <f>'lokale energieproductie'!D7</f>
        <v>0</v>
      </c>
      <c r="F67" s="827">
        <f>'lokale energieproductie'!E7</f>
        <v>0</v>
      </c>
      <c r="G67" s="827">
        <f>'lokale energieproductie'!F7</f>
        <v>0</v>
      </c>
      <c r="H67" s="827">
        <f>'lokale energieproductie'!G7</f>
        <v>0</v>
      </c>
      <c r="I67" s="827">
        <f>'lokale energieproductie'!H7</f>
        <v>0</v>
      </c>
      <c r="J67" s="827">
        <f>'lokale energieproductie'!I7</f>
        <v>0</v>
      </c>
      <c r="K67" s="827">
        <f>'lokale energieproductie'!J7</f>
        <v>0</v>
      </c>
      <c r="L67" s="827">
        <f>'lokale energieproductie'!K7</f>
        <v>0</v>
      </c>
      <c r="M67" s="828">
        <f>'lokale energieproductie'!L7</f>
        <v>0</v>
      </c>
      <c r="N67" s="911"/>
      <c r="O67" s="923">
        <f>D67*EF_CO2_aardgas+E67*EF_VLgas_CO2+'SEAP template'!F67*EF_stookolie_CO2+EF_bruinkool_CO2*'SEAP template'!G67+'SEAP template'!H67*EF_steenkool_CO2+'EF brandstof'!M4*'SEAP template'!I67+'SEAP template'!M67*EF_anderfossiel_CO2</f>
        <v>0</v>
      </c>
      <c r="P67" s="922">
        <v>0</v>
      </c>
      <c r="Q67" s="785"/>
      <c r="R67" s="742"/>
    </row>
    <row r="68" spans="1:18" ht="30.75" thickBot="1">
      <c r="A68" s="801" t="s">
        <v>353</v>
      </c>
      <c r="B68" s="794">
        <f>'lokale energieproductie'!B8</f>
        <v>0</v>
      </c>
      <c r="C68" s="794">
        <f>B68*IFERROR(SUM(J68:L68)/SUM(D68:M68),0)</f>
        <v>0</v>
      </c>
      <c r="D68" s="829">
        <f>'lokale energieproductie'!C8</f>
        <v>0</v>
      </c>
      <c r="E68" s="830">
        <f>'lokale energieproductie'!D8</f>
        <v>0</v>
      </c>
      <c r="F68" s="830">
        <f>'lokale energieproductie'!E8</f>
        <v>0</v>
      </c>
      <c r="G68" s="830">
        <f>'lokale energieproductie'!F8</f>
        <v>0</v>
      </c>
      <c r="H68" s="830">
        <f>'lokale energieproductie'!G8</f>
        <v>0</v>
      </c>
      <c r="I68" s="830">
        <f>'lokale energieproductie'!H8</f>
        <v>0</v>
      </c>
      <c r="J68" s="830">
        <f>'lokale energieproductie'!I8</f>
        <v>0</v>
      </c>
      <c r="K68" s="830">
        <f>'lokale energieproductie'!J8</f>
        <v>0</v>
      </c>
      <c r="L68" s="830">
        <f>'lokale energieproductie'!K8</f>
        <v>0</v>
      </c>
      <c r="M68" s="831">
        <f>'lokale energieproductie'!L8</f>
        <v>0</v>
      </c>
      <c r="N68" s="912"/>
      <c r="O68" s="923">
        <f>D68*EF_CO2_aardgas+E68*EF_VLgas_CO2+'SEAP template'!F68*EF_stookolie_CO2+EF_bruinkool_CO2*'SEAP template'!G68+'SEAP template'!H68*EF_steenkool_CO2+'EF brandstof'!M4*'SEAP template'!I68+'SEAP template'!M68*EF_anderfossiel_CO2</f>
        <v>0</v>
      </c>
      <c r="P68" s="925">
        <v>0</v>
      </c>
      <c r="Q68" s="785"/>
      <c r="R68" s="742"/>
    </row>
    <row r="69" spans="1:18" ht="16.5" thickTop="1" thickBot="1">
      <c r="A69" s="802" t="s">
        <v>116</v>
      </c>
      <c r="B69" s="803">
        <f>SUM(B64:B68)</f>
        <v>8375.2029803928581</v>
      </c>
      <c r="C69" s="803">
        <f>SUM(C64:C68)</f>
        <v>8375.2029803928581</v>
      </c>
      <c r="D69" s="804">
        <f t="shared" ref="D69:M69" si="8">SUM(D67:D68)</f>
        <v>0</v>
      </c>
      <c r="E69" s="804">
        <f t="shared" si="8"/>
        <v>0</v>
      </c>
      <c r="F69" s="804">
        <f t="shared" si="8"/>
        <v>0</v>
      </c>
      <c r="G69" s="804">
        <f t="shared" si="8"/>
        <v>0</v>
      </c>
      <c r="H69" s="804">
        <f t="shared" si="8"/>
        <v>0</v>
      </c>
      <c r="I69" s="804">
        <f t="shared" si="8"/>
        <v>0</v>
      </c>
      <c r="J69" s="804">
        <f t="shared" si="8"/>
        <v>0</v>
      </c>
      <c r="K69" s="804">
        <f t="shared" si="8"/>
        <v>0</v>
      </c>
      <c r="L69" s="804">
        <f t="shared" si="8"/>
        <v>0</v>
      </c>
      <c r="M69" s="930">
        <f t="shared" si="8"/>
        <v>0</v>
      </c>
      <c r="N69" s="805">
        <v>0</v>
      </c>
      <c r="O69" s="805">
        <f>SUM(O67:O68)</f>
        <v>0</v>
      </c>
      <c r="P69" s="805">
        <f>SUM(P64:P68)</f>
        <v>0</v>
      </c>
      <c r="Q69" s="785"/>
      <c r="R69" s="742"/>
    </row>
    <row r="70" spans="1:18" ht="15.75" thickTop="1">
      <c r="A70" s="806"/>
      <c r="B70" s="868"/>
      <c r="C70" s="807"/>
      <c r="D70" s="807"/>
      <c r="E70" s="749"/>
      <c r="F70" s="748"/>
      <c r="G70" s="748"/>
      <c r="H70" s="748"/>
      <c r="I70" s="808"/>
      <c r="J70" s="748"/>
      <c r="K70" s="748"/>
      <c r="L70" s="748"/>
      <c r="M70" s="748"/>
      <c r="N70" s="809"/>
      <c r="O70" s="748"/>
      <c r="P70" s="748"/>
      <c r="Q70" s="748"/>
      <c r="R70" s="748"/>
    </row>
    <row r="71" spans="1:18" ht="15">
      <c r="A71" s="776"/>
      <c r="B71" s="856"/>
      <c r="C71" s="807"/>
      <c r="D71" s="807"/>
      <c r="E71" s="748"/>
      <c r="F71" s="748"/>
      <c r="G71" s="748"/>
      <c r="H71" s="748"/>
      <c r="I71" s="748"/>
      <c r="J71" s="748"/>
      <c r="K71" s="748"/>
      <c r="L71" s="748"/>
      <c r="M71" s="748"/>
      <c r="N71" s="748"/>
      <c r="O71" s="748"/>
      <c r="P71" s="748"/>
      <c r="Q71" s="748"/>
      <c r="R71" s="748"/>
    </row>
    <row r="72" spans="1:18" ht="18.75">
      <c r="A72" s="810" t="s">
        <v>354</v>
      </c>
      <c r="B72" s="810"/>
      <c r="C72" s="811"/>
      <c r="D72" s="782"/>
      <c r="E72" s="748"/>
      <c r="F72" s="748"/>
      <c r="G72" s="748"/>
      <c r="H72" s="748"/>
      <c r="I72" s="748"/>
      <c r="J72" s="748"/>
      <c r="K72" s="748"/>
      <c r="L72" s="748"/>
      <c r="M72" s="748"/>
      <c r="N72" s="748"/>
      <c r="O72" s="748"/>
      <c r="P72" s="748"/>
      <c r="Q72" s="748"/>
      <c r="R72" s="748"/>
    </row>
    <row r="73" spans="1:18">
      <c r="A73" s="1070"/>
      <c r="B73" s="1070"/>
      <c r="C73" s="1070"/>
      <c r="D73" s="1070"/>
      <c r="E73" s="1070"/>
      <c r="F73" s="1070"/>
      <c r="G73" s="1070"/>
      <c r="H73" s="1070"/>
      <c r="I73" s="1070"/>
      <c r="J73" s="1070"/>
      <c r="K73" s="1070"/>
      <c r="L73" s="1070"/>
      <c r="M73" s="1070"/>
      <c r="N73" s="1070"/>
      <c r="O73" s="1070"/>
      <c r="P73" s="1070"/>
      <c r="Q73" s="784"/>
      <c r="R73" s="784"/>
    </row>
    <row r="74" spans="1:18" ht="15.75" thickBot="1">
      <c r="A74" s="751"/>
      <c r="B74" s="751"/>
      <c r="C74" s="752"/>
      <c r="D74" s="752"/>
      <c r="E74" s="752"/>
      <c r="F74" s="752"/>
      <c r="G74" s="752"/>
      <c r="H74" s="752"/>
      <c r="I74" s="752"/>
      <c r="J74" s="752"/>
      <c r="K74" s="752"/>
      <c r="L74" s="752"/>
      <c r="M74" s="752"/>
      <c r="N74" s="752"/>
      <c r="O74" s="752"/>
      <c r="P74" s="752"/>
      <c r="Q74" s="752"/>
      <c r="R74" s="752"/>
    </row>
    <row r="75" spans="1:18" ht="48.2" customHeight="1" thickTop="1" thickBot="1">
      <c r="A75" s="1071" t="s">
        <v>253</v>
      </c>
      <c r="B75" s="1085" t="s">
        <v>355</v>
      </c>
      <c r="C75" s="1077"/>
      <c r="D75" s="1074" t="s">
        <v>356</v>
      </c>
      <c r="E75" s="1075"/>
      <c r="F75" s="1075"/>
      <c r="G75" s="1075"/>
      <c r="H75" s="1075"/>
      <c r="I75" s="1075"/>
      <c r="J75" s="1075"/>
      <c r="K75" s="1075"/>
      <c r="L75" s="1075"/>
      <c r="M75" s="1076"/>
      <c r="N75" s="1077" t="s">
        <v>642</v>
      </c>
      <c r="O75" s="1085" t="s">
        <v>641</v>
      </c>
      <c r="P75" s="1077"/>
      <c r="Q75" s="812"/>
      <c r="R75" s="742"/>
    </row>
    <row r="76" spans="1:18" ht="16.5" thickTop="1" thickBot="1">
      <c r="A76" s="1072"/>
      <c r="B76" s="1086"/>
      <c r="C76" s="1078"/>
      <c r="D76" s="1080" t="s">
        <v>197</v>
      </c>
      <c r="E76" s="1081"/>
      <c r="F76" s="1081"/>
      <c r="G76" s="1081"/>
      <c r="H76" s="1082"/>
      <c r="I76" s="1083" t="s">
        <v>245</v>
      </c>
      <c r="J76" s="1083" t="s">
        <v>246</v>
      </c>
      <c r="K76" s="1087" t="s">
        <v>234</v>
      </c>
      <c r="L76" s="1089" t="s">
        <v>257</v>
      </c>
      <c r="M76" s="1091" t="s">
        <v>127</v>
      </c>
      <c r="N76" s="1078"/>
      <c r="O76" s="926"/>
      <c r="P76" s="927"/>
      <c r="Q76" s="812"/>
      <c r="R76" s="742"/>
    </row>
    <row r="77" spans="1:18" ht="110.25" customHeight="1" thickTop="1" thickBot="1">
      <c r="A77" s="1073"/>
      <c r="B77" s="909" t="s">
        <v>555</v>
      </c>
      <c r="C77" s="909" t="s">
        <v>640</v>
      </c>
      <c r="D77" s="813" t="s">
        <v>199</v>
      </c>
      <c r="E77" s="789" t="s">
        <v>200</v>
      </c>
      <c r="F77" s="814" t="s">
        <v>201</v>
      </c>
      <c r="G77" s="789" t="s">
        <v>203</v>
      </c>
      <c r="H77" s="815" t="s">
        <v>204</v>
      </c>
      <c r="I77" s="1084"/>
      <c r="J77" s="1084"/>
      <c r="K77" s="1088"/>
      <c r="L77" s="1090"/>
      <c r="M77" s="1092"/>
      <c r="N77" s="1079"/>
      <c r="O77" s="857" t="s">
        <v>643</v>
      </c>
      <c r="P77" s="855" t="s">
        <v>644</v>
      </c>
      <c r="Q77" s="812"/>
      <c r="R77" s="742"/>
    </row>
    <row r="78" spans="1:18" ht="15.75" thickTop="1">
      <c r="A78" s="816" t="s">
        <v>252</v>
      </c>
      <c r="B78" s="817">
        <f>'lokale energieproductie'!B16</f>
        <v>0</v>
      </c>
      <c r="C78" s="817">
        <f>B78*IFERROR(SUM(I78:L78)/SUM(D78:M78),0)</f>
        <v>0</v>
      </c>
      <c r="D78" s="832">
        <f>'lokale energieproductie'!C16</f>
        <v>0</v>
      </c>
      <c r="E78" s="832">
        <f>'lokale energieproductie'!D16</f>
        <v>0</v>
      </c>
      <c r="F78" s="832">
        <f>'lokale energieproductie'!E16</f>
        <v>0</v>
      </c>
      <c r="G78" s="832">
        <f>'lokale energieproductie'!F16</f>
        <v>0</v>
      </c>
      <c r="H78" s="832">
        <f>'lokale energieproductie'!G16</f>
        <v>0</v>
      </c>
      <c r="I78" s="832">
        <f>'lokale energieproductie'!H16</f>
        <v>0</v>
      </c>
      <c r="J78" s="832">
        <f>'lokale energieproductie'!I16</f>
        <v>0</v>
      </c>
      <c r="K78" s="832">
        <f>'lokale energieproductie'!J16</f>
        <v>0</v>
      </c>
      <c r="L78" s="832">
        <f>'lokale energieproductie'!K16</f>
        <v>0</v>
      </c>
      <c r="M78" s="832">
        <f>'lokale energieproductie'!L16</f>
        <v>0</v>
      </c>
      <c r="N78" s="910"/>
      <c r="O78" s="929">
        <f>D78*EF_CO2_aardgas+E78*EF_VLgas_CO2+'SEAP template'!F78*EF_stookolie_CO2+EF_bruinkool_CO2*'SEAP template'!G78+'SEAP template'!H78*EF_steenkool_CO2+'EF brandstof'!M4*'SEAP template'!I78+'SEAP template'!M78*EF_anderfossiel_CO2</f>
        <v>0</v>
      </c>
      <c r="P78" s="913">
        <v>0</v>
      </c>
      <c r="Q78" s="812"/>
      <c r="R78" s="742"/>
    </row>
    <row r="79" spans="1:18" ht="15">
      <c r="A79" s="818" t="s">
        <v>258</v>
      </c>
      <c r="B79" s="817">
        <f>'lokale energieproductie'!B17</f>
        <v>0</v>
      </c>
      <c r="C79" s="817">
        <f>B79*IFERROR(SUM(J79:L79)/SUM(D79:M79),0)</f>
        <v>0</v>
      </c>
      <c r="D79" s="832">
        <f>'lokale energieproductie'!C17</f>
        <v>0</v>
      </c>
      <c r="E79" s="832">
        <f>'lokale energieproductie'!D17</f>
        <v>0</v>
      </c>
      <c r="F79" s="832">
        <f>'lokale energieproductie'!E17</f>
        <v>0</v>
      </c>
      <c r="G79" s="832">
        <f>'lokale energieproductie'!F17</f>
        <v>0</v>
      </c>
      <c r="H79" s="832">
        <f>'lokale energieproductie'!G17</f>
        <v>0</v>
      </c>
      <c r="I79" s="832">
        <f>'lokale energieproductie'!H17</f>
        <v>0</v>
      </c>
      <c r="J79" s="832">
        <f>'lokale energieproductie'!I17</f>
        <v>0</v>
      </c>
      <c r="K79" s="832">
        <f>'lokale energieproductie'!J17</f>
        <v>0</v>
      </c>
      <c r="L79" s="832">
        <f>'lokale energieproductie'!K17</f>
        <v>0</v>
      </c>
      <c r="M79" s="832">
        <f>'lokale energieproductie'!L17</f>
        <v>0</v>
      </c>
      <c r="N79" s="911"/>
      <c r="O79" s="923">
        <f>D79*EF_CO2_aardgas+E79*EF_VLgas_CO2+'SEAP template'!F79*EF_stookolie_CO2+EF_bruinkool_CO2*'SEAP template'!G79+'SEAP template'!H79*EF_steenkool_CO2+'EF brandstof'!M4*'SEAP template'!I79+'SEAP template'!M79*EF_anderfossiel_CO2</f>
        <v>0</v>
      </c>
      <c r="P79" s="914">
        <v>0</v>
      </c>
      <c r="Q79" s="819"/>
      <c r="R79" s="742"/>
    </row>
    <row r="80" spans="1:18" ht="30.75" thickBot="1">
      <c r="A80" s="801" t="s">
        <v>353</v>
      </c>
      <c r="B80" s="817">
        <f>'lokale energieproductie'!B18</f>
        <v>0</v>
      </c>
      <c r="C80" s="817">
        <f>B80*IFERROR(SUM(J80:L80)/SUM(D80:M80),0)</f>
        <v>0</v>
      </c>
      <c r="D80" s="832">
        <f>'lokale energieproductie'!C18</f>
        <v>0</v>
      </c>
      <c r="E80" s="832">
        <f>'lokale energieproductie'!D18</f>
        <v>0</v>
      </c>
      <c r="F80" s="832">
        <f>'lokale energieproductie'!E18</f>
        <v>0</v>
      </c>
      <c r="G80" s="832">
        <f>'lokale energieproductie'!F18</f>
        <v>0</v>
      </c>
      <c r="H80" s="832">
        <f>'lokale energieproductie'!G18</f>
        <v>0</v>
      </c>
      <c r="I80" s="832">
        <f>'lokale energieproductie'!H18</f>
        <v>0</v>
      </c>
      <c r="J80" s="832">
        <f>'lokale energieproductie'!I18</f>
        <v>0</v>
      </c>
      <c r="K80" s="832">
        <f>'lokale energieproductie'!J18</f>
        <v>0</v>
      </c>
      <c r="L80" s="832">
        <f>'lokale energieproductie'!K18</f>
        <v>0</v>
      </c>
      <c r="M80" s="832">
        <f>'lokale energieproductie'!L18</f>
        <v>0</v>
      </c>
      <c r="N80" s="911"/>
      <c r="O80" s="924">
        <f>D80*EF_CO2_aardgas+E80*EF_VLgas_CO2+'SEAP template'!F80*EF_stookolie_CO2+EF_bruinkool_CO2*'SEAP template'!G80+'SEAP template'!H80*EF_steenkool_CO2+'EF brandstof'!M4*'SEAP template'!I80+'SEAP template'!M80*EF_anderfossiel_CO2</f>
        <v>0</v>
      </c>
      <c r="P80" s="915">
        <v>0</v>
      </c>
      <c r="Q80" s="819"/>
      <c r="R80" s="742"/>
    </row>
    <row r="81" spans="1:18" ht="16.5" thickTop="1" thickBot="1">
      <c r="A81" s="820" t="s">
        <v>116</v>
      </c>
      <c r="B81" s="803">
        <f>SUM(B78:B80)</f>
        <v>0</v>
      </c>
      <c r="C81" s="803">
        <f>SUM(C78:C80)</f>
        <v>0</v>
      </c>
      <c r="D81" s="803">
        <f t="shared" ref="D81:P81" si="9">SUM(D78:D80)</f>
        <v>0</v>
      </c>
      <c r="E81" s="803">
        <f t="shared" si="9"/>
        <v>0</v>
      </c>
      <c r="F81" s="803">
        <f t="shared" si="9"/>
        <v>0</v>
      </c>
      <c r="G81" s="803">
        <f t="shared" si="9"/>
        <v>0</v>
      </c>
      <c r="H81" s="803">
        <f t="shared" si="9"/>
        <v>0</v>
      </c>
      <c r="I81" s="803">
        <f t="shared" si="9"/>
        <v>0</v>
      </c>
      <c r="J81" s="803">
        <f t="shared" si="9"/>
        <v>0</v>
      </c>
      <c r="K81" s="803">
        <f t="shared" si="9"/>
        <v>0</v>
      </c>
      <c r="L81" s="803">
        <f t="shared" si="9"/>
        <v>0</v>
      </c>
      <c r="M81" s="803">
        <f t="shared" si="9"/>
        <v>0</v>
      </c>
      <c r="N81" s="803">
        <v>0</v>
      </c>
      <c r="O81" s="803">
        <f>SUM(O78:O80)</f>
        <v>0</v>
      </c>
      <c r="P81" s="930">
        <f t="shared" si="9"/>
        <v>0</v>
      </c>
      <c r="Q81" s="819"/>
      <c r="R81" s="742"/>
    </row>
    <row r="82" spans="1:18" ht="15.75" thickTop="1">
      <c r="A82" s="821"/>
      <c r="B82" s="821"/>
      <c r="C82" s="822"/>
      <c r="D82" s="823"/>
      <c r="E82" s="824"/>
      <c r="F82" s="808"/>
      <c r="G82" s="808"/>
      <c r="H82" s="808"/>
      <c r="I82" s="808"/>
      <c r="J82" s="808"/>
      <c r="K82" s="808"/>
      <c r="L82" s="808"/>
      <c r="M82" s="748"/>
      <c r="N82" s="808"/>
      <c r="O82" s="748"/>
      <c r="P82" s="783"/>
      <c r="Q82" s="748"/>
      <c r="R82" s="748"/>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E10" sqref="E10:F10"/>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49" t="s">
        <v>550</v>
      </c>
      <c r="B1" s="1150" t="s">
        <v>546</v>
      </c>
      <c r="C1" s="1150"/>
      <c r="D1" s="1150"/>
      <c r="E1" s="1150"/>
      <c r="F1" s="1150"/>
      <c r="G1" s="1150"/>
      <c r="H1" s="1150"/>
      <c r="I1" s="1150"/>
      <c r="J1" s="1150"/>
      <c r="K1" s="1150"/>
      <c r="L1" s="1150"/>
      <c r="M1" s="1150"/>
      <c r="N1" s="1150"/>
      <c r="O1" s="1150"/>
      <c r="P1" s="1151"/>
      <c r="Q1" s="475"/>
    </row>
    <row r="2" spans="1:17">
      <c r="A2" s="1149"/>
      <c r="B2" s="1152" t="s">
        <v>21</v>
      </c>
      <c r="C2" s="1154" t="s">
        <v>196</v>
      </c>
      <c r="D2" s="1156" t="s">
        <v>197</v>
      </c>
      <c r="E2" s="1157"/>
      <c r="F2" s="1157"/>
      <c r="G2" s="1157"/>
      <c r="H2" s="1157"/>
      <c r="I2" s="1157"/>
      <c r="J2" s="1157"/>
      <c r="K2" s="1153"/>
      <c r="L2" s="1156" t="s">
        <v>198</v>
      </c>
      <c r="M2" s="1157"/>
      <c r="N2" s="1157"/>
      <c r="O2" s="1157"/>
      <c r="P2" s="1153"/>
      <c r="Q2" s="475"/>
    </row>
    <row r="3" spans="1:17" ht="45">
      <c r="A3" s="1149"/>
      <c r="B3" s="1153"/>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c r="Q3" s="475" t="s">
        <v>116</v>
      </c>
    </row>
    <row r="4" spans="1:17">
      <c r="A4" s="477" t="s">
        <v>155</v>
      </c>
      <c r="B4" s="478">
        <f>huishoudens!B8</f>
        <v>25455.346728699162</v>
      </c>
      <c r="C4" s="478">
        <f>huishoudens!C8</f>
        <v>0</v>
      </c>
      <c r="D4" s="478">
        <f>huishoudens!D8</f>
        <v>43503.731201399627</v>
      </c>
      <c r="E4" s="478">
        <f>huishoudens!E8</f>
        <v>13286.439446872591</v>
      </c>
      <c r="F4" s="478">
        <f>huishoudens!F8</f>
        <v>17068.147382736825</v>
      </c>
      <c r="G4" s="478">
        <f>huishoudens!G8</f>
        <v>0</v>
      </c>
      <c r="H4" s="478">
        <f>huishoudens!H8</f>
        <v>0</v>
      </c>
      <c r="I4" s="478">
        <f>huishoudens!I8</f>
        <v>0</v>
      </c>
      <c r="J4" s="478">
        <f>huishoudens!J8</f>
        <v>3691.7562335016828</v>
      </c>
      <c r="K4" s="478">
        <f>huishoudens!K8</f>
        <v>0</v>
      </c>
      <c r="L4" s="478">
        <f>huishoudens!L8</f>
        <v>0</v>
      </c>
      <c r="M4" s="478">
        <f>huishoudens!M8</f>
        <v>0</v>
      </c>
      <c r="N4" s="478">
        <f>huishoudens!N8</f>
        <v>29675.464333796965</v>
      </c>
      <c r="O4" s="478">
        <f>huishoudens!O8</f>
        <v>314.23</v>
      </c>
      <c r="P4" s="479">
        <f>huishoudens!P8</f>
        <v>819.86666666666667</v>
      </c>
      <c r="Q4" s="480">
        <f>SUM(B4:P4)</f>
        <v>133814.98199367354</v>
      </c>
    </row>
    <row r="5" spans="1:17">
      <c r="A5" s="477" t="s">
        <v>156</v>
      </c>
      <c r="B5" s="478">
        <f ca="1">tertiair!B16</f>
        <v>14791.335578664935</v>
      </c>
      <c r="C5" s="478">
        <f ca="1">tertiair!C16</f>
        <v>0</v>
      </c>
      <c r="D5" s="478">
        <f ca="1">tertiair!D16</f>
        <v>12953.874355361375</v>
      </c>
      <c r="E5" s="478">
        <f>tertiair!E16</f>
        <v>236.98630471161727</v>
      </c>
      <c r="F5" s="478">
        <f ca="1">tertiair!F16</f>
        <v>2728.7566817100192</v>
      </c>
      <c r="G5" s="478">
        <f>tertiair!G16</f>
        <v>0</v>
      </c>
      <c r="H5" s="478">
        <f>tertiair!H16</f>
        <v>0</v>
      </c>
      <c r="I5" s="478">
        <f>tertiair!I16</f>
        <v>0</v>
      </c>
      <c r="J5" s="478">
        <f>tertiair!J16</f>
        <v>5.6248005265886018E-2</v>
      </c>
      <c r="K5" s="478">
        <f>tertiair!K16</f>
        <v>0</v>
      </c>
      <c r="L5" s="478">
        <f ca="1">tertiair!L16</f>
        <v>0</v>
      </c>
      <c r="M5" s="478">
        <f>tertiair!M16</f>
        <v>0</v>
      </c>
      <c r="N5" s="478">
        <f ca="1">tertiair!N16</f>
        <v>2223.0411730325659</v>
      </c>
      <c r="O5" s="478">
        <f>tertiair!O16</f>
        <v>6.2533333333333339</v>
      </c>
      <c r="P5" s="479">
        <f>tertiair!P16</f>
        <v>0</v>
      </c>
      <c r="Q5" s="477">
        <f t="shared" ref="Q5:Q13" ca="1" si="0">SUM(B5:P5)</f>
        <v>32940.303674819108</v>
      </c>
    </row>
    <row r="6" spans="1:17">
      <c r="A6" s="477" t="s">
        <v>194</v>
      </c>
      <c r="B6" s="478">
        <f>'openbare verlichting'!B8</f>
        <v>968.005</v>
      </c>
      <c r="C6" s="478"/>
      <c r="D6" s="478"/>
      <c r="E6" s="478"/>
      <c r="F6" s="478"/>
      <c r="G6" s="478"/>
      <c r="H6" s="478"/>
      <c r="I6" s="478"/>
      <c r="J6" s="478"/>
      <c r="K6" s="478"/>
      <c r="L6" s="478"/>
      <c r="M6" s="478"/>
      <c r="N6" s="478"/>
      <c r="O6" s="478"/>
      <c r="P6" s="479"/>
      <c r="Q6" s="477">
        <f t="shared" si="0"/>
        <v>968.005</v>
      </c>
    </row>
    <row r="7" spans="1:17">
      <c r="A7" s="477" t="s">
        <v>112</v>
      </c>
      <c r="B7" s="478">
        <f>landbouw!B8</f>
        <v>9343.603938383596</v>
      </c>
      <c r="C7" s="478">
        <f>landbouw!C8</f>
        <v>0</v>
      </c>
      <c r="D7" s="478">
        <f>landbouw!D8</f>
        <v>6054.8663034390765</v>
      </c>
      <c r="E7" s="478">
        <f>landbouw!E8</f>
        <v>274.63705840949666</v>
      </c>
      <c r="F7" s="478">
        <f>landbouw!F8</f>
        <v>38924.94910545036</v>
      </c>
      <c r="G7" s="478">
        <f>landbouw!G8</f>
        <v>0</v>
      </c>
      <c r="H7" s="478">
        <f>landbouw!H8</f>
        <v>0</v>
      </c>
      <c r="I7" s="478">
        <f>landbouw!I8</f>
        <v>0</v>
      </c>
      <c r="J7" s="478">
        <f>landbouw!J8</f>
        <v>1353.6875544803177</v>
      </c>
      <c r="K7" s="478">
        <f>landbouw!K8</f>
        <v>0</v>
      </c>
      <c r="L7" s="478">
        <f>landbouw!L8</f>
        <v>0</v>
      </c>
      <c r="M7" s="478">
        <f>landbouw!M8</f>
        <v>0</v>
      </c>
      <c r="N7" s="478">
        <f>landbouw!N8</f>
        <v>0</v>
      </c>
      <c r="O7" s="478">
        <f>landbouw!O8</f>
        <v>0</v>
      </c>
      <c r="P7" s="479">
        <f>landbouw!P8</f>
        <v>0</v>
      </c>
      <c r="Q7" s="477">
        <f t="shared" si="0"/>
        <v>55951.74396016285</v>
      </c>
    </row>
    <row r="8" spans="1:17">
      <c r="A8" s="477" t="s">
        <v>635</v>
      </c>
      <c r="B8" s="478">
        <f>industrie!B18</f>
        <v>31697.797659111755</v>
      </c>
      <c r="C8" s="478">
        <f>industrie!C18</f>
        <v>0</v>
      </c>
      <c r="D8" s="478">
        <f>industrie!D18</f>
        <v>43458.304765796318</v>
      </c>
      <c r="E8" s="478">
        <f>industrie!E18</f>
        <v>1888.0996195323528</v>
      </c>
      <c r="F8" s="478">
        <f>industrie!F18</f>
        <v>6754.1526354639936</v>
      </c>
      <c r="G8" s="478">
        <f>industrie!G18</f>
        <v>0</v>
      </c>
      <c r="H8" s="478">
        <f>industrie!H18</f>
        <v>0</v>
      </c>
      <c r="I8" s="478">
        <f>industrie!I18</f>
        <v>0</v>
      </c>
      <c r="J8" s="478">
        <f>industrie!J18</f>
        <v>50.048065033259931</v>
      </c>
      <c r="K8" s="478">
        <f>industrie!K18</f>
        <v>0</v>
      </c>
      <c r="L8" s="478">
        <f>industrie!L18</f>
        <v>0</v>
      </c>
      <c r="M8" s="478">
        <f>industrie!M18</f>
        <v>0</v>
      </c>
      <c r="N8" s="478">
        <f>industrie!N18</f>
        <v>6721.6812767533684</v>
      </c>
      <c r="O8" s="478">
        <f>industrie!O18</f>
        <v>0</v>
      </c>
      <c r="P8" s="479">
        <f>industrie!P18</f>
        <v>0</v>
      </c>
      <c r="Q8" s="477">
        <f t="shared" si="0"/>
        <v>90570.084021691058</v>
      </c>
    </row>
    <row r="9" spans="1:17" s="483" customFormat="1">
      <c r="A9" s="481" t="s">
        <v>561</v>
      </c>
      <c r="B9" s="482">
        <f>transport!B14</f>
        <v>28.385586487061929</v>
      </c>
      <c r="C9" s="482"/>
      <c r="D9" s="482">
        <f>transport!D14</f>
        <v>106.41650753258577</v>
      </c>
      <c r="E9" s="482">
        <f>transport!E14</f>
        <v>144.94256431405307</v>
      </c>
      <c r="F9" s="482"/>
      <c r="G9" s="482">
        <f>transport!G14</f>
        <v>56349.79450373866</v>
      </c>
      <c r="H9" s="482">
        <f>transport!H14</f>
        <v>12017.318777458533</v>
      </c>
      <c r="I9" s="482"/>
      <c r="J9" s="482"/>
      <c r="K9" s="482"/>
      <c r="L9" s="482"/>
      <c r="M9" s="482">
        <f>transport!M14</f>
        <v>3648.9415953507514</v>
      </c>
      <c r="N9" s="482"/>
      <c r="O9" s="482"/>
      <c r="P9" s="482"/>
      <c r="Q9" s="481">
        <f>SUM(B9:P9)</f>
        <v>72295.799534881648</v>
      </c>
    </row>
    <row r="10" spans="1:17">
      <c r="A10" s="477" t="s">
        <v>551</v>
      </c>
      <c r="B10" s="478">
        <f>transport!B54</f>
        <v>0</v>
      </c>
      <c r="C10" s="478"/>
      <c r="D10" s="478">
        <f>transport!D54</f>
        <v>0</v>
      </c>
      <c r="E10" s="478"/>
      <c r="F10" s="478"/>
      <c r="G10" s="478">
        <f>transport!G54</f>
        <v>635.68327251311905</v>
      </c>
      <c r="H10" s="478"/>
      <c r="I10" s="478"/>
      <c r="J10" s="478"/>
      <c r="K10" s="478"/>
      <c r="L10" s="478"/>
      <c r="M10" s="478">
        <f>transport!M54</f>
        <v>36.104003606382264</v>
      </c>
      <c r="N10" s="478"/>
      <c r="O10" s="478"/>
      <c r="P10" s="479"/>
      <c r="Q10" s="477">
        <f t="shared" si="0"/>
        <v>671.78727611950126</v>
      </c>
    </row>
    <row r="11" spans="1:17">
      <c r="A11" s="477" t="s">
        <v>552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553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84" t="s">
        <v>554</v>
      </c>
      <c r="B13" s="485">
        <f>'Eigen vloot'!B27</f>
        <v>0</v>
      </c>
      <c r="C13" s="485"/>
      <c r="D13" s="485">
        <f>'Eigen vloot'!D27</f>
        <v>0</v>
      </c>
      <c r="E13" s="485">
        <f>'Eigen vloot'!E27</f>
        <v>0</v>
      </c>
      <c r="F13" s="485"/>
      <c r="G13" s="485">
        <f>'Eigen vloot'!G27</f>
        <v>0</v>
      </c>
      <c r="H13" s="485">
        <f>'Eigen vloot'!H27</f>
        <v>0</v>
      </c>
      <c r="I13" s="485"/>
      <c r="J13" s="485"/>
      <c r="K13" s="485"/>
      <c r="L13" s="485"/>
      <c r="M13" s="485">
        <f>'Eigen vloot'!M27</f>
        <v>0</v>
      </c>
      <c r="N13" s="485"/>
      <c r="O13" s="485"/>
      <c r="P13" s="486"/>
      <c r="Q13" s="484">
        <f t="shared" si="0"/>
        <v>0</v>
      </c>
    </row>
    <row r="14" spans="1:17" s="490" customFormat="1">
      <c r="A14" s="487" t="s">
        <v>555</v>
      </c>
      <c r="B14" s="488">
        <f ca="1">SUM(B4:B13)</f>
        <v>82284.474491346497</v>
      </c>
      <c r="C14" s="488">
        <f t="shared" ref="C14:Q14" ca="1" si="1">SUM(C4:C13)</f>
        <v>0</v>
      </c>
      <c r="D14" s="488">
        <f t="shared" ca="1" si="1"/>
        <v>106077.19313352898</v>
      </c>
      <c r="E14" s="488">
        <f t="shared" si="1"/>
        <v>15831.104993840112</v>
      </c>
      <c r="F14" s="488">
        <f t="shared" ca="1" si="1"/>
        <v>65476.005805361201</v>
      </c>
      <c r="G14" s="488">
        <f t="shared" si="1"/>
        <v>56985.477776251777</v>
      </c>
      <c r="H14" s="488">
        <f t="shared" si="1"/>
        <v>12017.318777458533</v>
      </c>
      <c r="I14" s="488">
        <f t="shared" si="1"/>
        <v>0</v>
      </c>
      <c r="J14" s="488">
        <f t="shared" si="1"/>
        <v>5095.5481010205267</v>
      </c>
      <c r="K14" s="488">
        <f t="shared" si="1"/>
        <v>0</v>
      </c>
      <c r="L14" s="488">
        <f t="shared" ca="1" si="1"/>
        <v>0</v>
      </c>
      <c r="M14" s="488">
        <f t="shared" si="1"/>
        <v>3685.0455989571337</v>
      </c>
      <c r="N14" s="488">
        <f t="shared" ca="1" si="1"/>
        <v>38620.186783582896</v>
      </c>
      <c r="O14" s="488">
        <f t="shared" si="1"/>
        <v>320.48333333333335</v>
      </c>
      <c r="P14" s="489">
        <f t="shared" si="1"/>
        <v>819.86666666666667</v>
      </c>
      <c r="Q14" s="489">
        <f t="shared" ca="1" si="1"/>
        <v>387212.70546134777</v>
      </c>
    </row>
    <row r="16" spans="1:17">
      <c r="A16" s="491" t="s">
        <v>556</v>
      </c>
      <c r="B16" s="841">
        <f ca="1">huishoudens!B10</f>
        <v>0.19850584335491533</v>
      </c>
      <c r="C16" s="841">
        <f ca="1">huishoudens!C10</f>
        <v>0</v>
      </c>
      <c r="D16" s="841">
        <f>huishoudens!D10</f>
        <v>0.20200000000000001</v>
      </c>
      <c r="E16" s="841">
        <f>huishoudens!E10</f>
        <v>0.22700000000000001</v>
      </c>
      <c r="F16" s="841">
        <f>huishoudens!F10</f>
        <v>0.26700000000000002</v>
      </c>
      <c r="G16" s="841">
        <f>huishoudens!G10</f>
        <v>0.26700000000000002</v>
      </c>
      <c r="H16" s="841">
        <f>huishoudens!H10</f>
        <v>0.249</v>
      </c>
      <c r="I16" s="841">
        <f>huishoudens!I10</f>
        <v>0.35099999999999998</v>
      </c>
      <c r="J16" s="841">
        <f>huishoudens!J10</f>
        <v>0.35399999999999998</v>
      </c>
      <c r="K16" s="841">
        <f>huishoudens!K10</f>
        <v>0.26400000000000001</v>
      </c>
      <c r="L16" s="841">
        <f>huishoudens!L10</f>
        <v>0</v>
      </c>
      <c r="M16" s="841">
        <f>huishoudens!M10</f>
        <v>0</v>
      </c>
      <c r="N16" s="841">
        <f>huishoudens!N10</f>
        <v>0</v>
      </c>
      <c r="O16" s="841">
        <f>huishoudens!O10</f>
        <v>0</v>
      </c>
      <c r="P16" s="841">
        <f>huishoudens!P10</f>
        <v>0</v>
      </c>
    </row>
    <row r="18" spans="1:17" ht="15.75">
      <c r="A18" s="1149" t="s">
        <v>558</v>
      </c>
      <c r="B18" s="1150" t="s">
        <v>557</v>
      </c>
      <c r="C18" s="1150"/>
      <c r="D18" s="1150"/>
      <c r="E18" s="1150"/>
      <c r="F18" s="1150"/>
      <c r="G18" s="1150"/>
      <c r="H18" s="1150"/>
      <c r="I18" s="1150"/>
      <c r="J18" s="1150"/>
      <c r="K18" s="1150"/>
      <c r="L18" s="1150"/>
      <c r="M18" s="1150"/>
      <c r="N18" s="1150"/>
      <c r="O18" s="1150"/>
      <c r="P18" s="1151"/>
      <c r="Q18" s="475"/>
    </row>
    <row r="19" spans="1:17" ht="15" customHeight="1">
      <c r="A19" s="1149"/>
      <c r="B19" s="1152" t="s">
        <v>21</v>
      </c>
      <c r="C19" s="1154" t="s">
        <v>196</v>
      </c>
      <c r="D19" s="1156" t="s">
        <v>197</v>
      </c>
      <c r="E19" s="1157"/>
      <c r="F19" s="1157"/>
      <c r="G19" s="1157"/>
      <c r="H19" s="1157"/>
      <c r="I19" s="1157"/>
      <c r="J19" s="1157"/>
      <c r="K19" s="1153"/>
      <c r="L19" s="1156" t="s">
        <v>198</v>
      </c>
      <c r="M19" s="1157"/>
      <c r="N19" s="1157"/>
      <c r="O19" s="1157"/>
      <c r="P19" s="1153"/>
      <c r="Q19" s="475"/>
    </row>
    <row r="20" spans="1:17" ht="45">
      <c r="A20" s="1149"/>
      <c r="B20" s="1153"/>
      <c r="C20" s="1155"/>
      <c r="D20" s="475" t="s">
        <v>199</v>
      </c>
      <c r="E20" s="475" t="s">
        <v>200</v>
      </c>
      <c r="F20" s="475" t="s">
        <v>201</v>
      </c>
      <c r="G20" s="475" t="s">
        <v>202</v>
      </c>
      <c r="H20" s="475" t="s">
        <v>120</v>
      </c>
      <c r="I20" s="475" t="s">
        <v>203</v>
      </c>
      <c r="J20" s="475" t="s">
        <v>204</v>
      </c>
      <c r="K20" s="475" t="s">
        <v>205</v>
      </c>
      <c r="L20" s="475" t="s">
        <v>206</v>
      </c>
      <c r="M20" s="475" t="s">
        <v>207</v>
      </c>
      <c r="N20" s="475" t="s">
        <v>208</v>
      </c>
      <c r="O20" s="475" t="s">
        <v>209</v>
      </c>
      <c r="P20" s="475" t="s">
        <v>210</v>
      </c>
      <c r="Q20" s="475" t="s">
        <v>116</v>
      </c>
    </row>
    <row r="21" spans="1:17">
      <c r="A21" s="477" t="s">
        <v>155</v>
      </c>
      <c r="B21" s="478">
        <f t="shared" ref="B21:B30" ca="1" si="2">B4*$B$16</f>
        <v>5053.0350702722126</v>
      </c>
      <c r="C21" s="478">
        <f t="shared" ref="C21:C28" ca="1" si="3">C4*$C$16</f>
        <v>0</v>
      </c>
      <c r="D21" s="478">
        <f t="shared" ref="D21:D30" si="4">D4*$D$16</f>
        <v>8787.7537026827249</v>
      </c>
      <c r="E21" s="478">
        <f t="shared" ref="E21:E30" si="5">E4*$E$16</f>
        <v>3016.0217544400784</v>
      </c>
      <c r="F21" s="478">
        <f t="shared" ref="F21:F28" si="6">F4*$F$16</f>
        <v>4557.1953511907323</v>
      </c>
      <c r="G21" s="478">
        <f t="shared" ref="G21:G30" si="7">G4*$G$16</f>
        <v>0</v>
      </c>
      <c r="H21" s="478">
        <f t="shared" ref="H21:H30" si="8">H4*$H$16</f>
        <v>0</v>
      </c>
      <c r="I21" s="478">
        <f t="shared" ref="I21:I28" si="9">I4*$I$16</f>
        <v>0</v>
      </c>
      <c r="J21" s="478">
        <f t="shared" ref="J21:J28" si="10">J4*$J$16</f>
        <v>1306.8817066595957</v>
      </c>
      <c r="K21" s="478">
        <f t="shared" ref="K21:K28" si="11">K4*$K$16</f>
        <v>0</v>
      </c>
      <c r="L21" s="478">
        <f t="shared" ref="L21:L28" si="12">L4*$L$16</f>
        <v>0</v>
      </c>
      <c r="M21" s="478">
        <f t="shared" ref="M21:M30" si="13">M4*$M$16</f>
        <v>0</v>
      </c>
      <c r="N21" s="478">
        <f t="shared" ref="N21:N28" si="14">N4*$N$16</f>
        <v>0</v>
      </c>
      <c r="O21" s="478">
        <f t="shared" ref="O21:O28" si="15">O4*$O$16</f>
        <v>0</v>
      </c>
      <c r="P21" s="492">
        <f t="shared" ref="P21:P28" si="16">P4*$P$16</f>
        <v>0</v>
      </c>
      <c r="Q21" s="480">
        <f ca="1">SUM(B21:P21)</f>
        <v>22720.887585245342</v>
      </c>
    </row>
    <row r="22" spans="1:17">
      <c r="A22" s="477" t="s">
        <v>156</v>
      </c>
      <c r="B22" s="478">
        <f t="shared" ca="1" si="2"/>
        <v>2936.1665433884477</v>
      </c>
      <c r="C22" s="478">
        <f t="shared" ca="1" si="3"/>
        <v>0</v>
      </c>
      <c r="D22" s="478">
        <f t="shared" ca="1" si="4"/>
        <v>2616.6826197829978</v>
      </c>
      <c r="E22" s="478">
        <f t="shared" si="5"/>
        <v>53.795891169537121</v>
      </c>
      <c r="F22" s="478">
        <f t="shared" ca="1" si="6"/>
        <v>728.5780340165752</v>
      </c>
      <c r="G22" s="478">
        <f t="shared" si="7"/>
        <v>0</v>
      </c>
      <c r="H22" s="478">
        <f t="shared" si="8"/>
        <v>0</v>
      </c>
      <c r="I22" s="478">
        <f t="shared" si="9"/>
        <v>0</v>
      </c>
      <c r="J22" s="478">
        <f t="shared" si="10"/>
        <v>1.9911793864123648E-2</v>
      </c>
      <c r="K22" s="478">
        <f t="shared" si="11"/>
        <v>0</v>
      </c>
      <c r="L22" s="478">
        <f t="shared" ca="1" si="12"/>
        <v>0</v>
      </c>
      <c r="M22" s="478">
        <f t="shared" si="13"/>
        <v>0</v>
      </c>
      <c r="N22" s="478">
        <f t="shared" ca="1" si="14"/>
        <v>0</v>
      </c>
      <c r="O22" s="478">
        <f t="shared" si="15"/>
        <v>0</v>
      </c>
      <c r="P22" s="479">
        <f t="shared" si="16"/>
        <v>0</v>
      </c>
      <c r="Q22" s="477">
        <f t="shared" ref="Q22:Q30" ca="1" si="17">SUM(B22:P22)</f>
        <v>6335.2430001514213</v>
      </c>
    </row>
    <row r="23" spans="1:17">
      <c r="A23" s="477" t="s">
        <v>194</v>
      </c>
      <c r="B23" s="478">
        <f t="shared" ca="1" si="2"/>
        <v>192.15464889677483</v>
      </c>
      <c r="C23" s="478"/>
      <c r="D23" s="478"/>
      <c r="E23" s="478"/>
      <c r="F23" s="478"/>
      <c r="G23" s="478"/>
      <c r="H23" s="478"/>
      <c r="I23" s="478"/>
      <c r="J23" s="478"/>
      <c r="K23" s="478"/>
      <c r="L23" s="478"/>
      <c r="M23" s="478"/>
      <c r="N23" s="478"/>
      <c r="O23" s="478"/>
      <c r="P23" s="479"/>
      <c r="Q23" s="477">
        <f t="shared" ca="1" si="17"/>
        <v>192.15464889677483</v>
      </c>
    </row>
    <row r="24" spans="1:17">
      <c r="A24" s="477" t="s">
        <v>112</v>
      </c>
      <c r="B24" s="478">
        <f t="shared" ca="1" si="2"/>
        <v>1854.7599797631442</v>
      </c>
      <c r="C24" s="478">
        <f t="shared" ca="1" si="3"/>
        <v>0</v>
      </c>
      <c r="D24" s="478">
        <f t="shared" si="4"/>
        <v>1223.0829932946936</v>
      </c>
      <c r="E24" s="478">
        <f t="shared" si="5"/>
        <v>62.342612258955747</v>
      </c>
      <c r="F24" s="478">
        <f t="shared" si="6"/>
        <v>10392.961411155247</v>
      </c>
      <c r="G24" s="478">
        <f t="shared" si="7"/>
        <v>0</v>
      </c>
      <c r="H24" s="478">
        <f t="shared" si="8"/>
        <v>0</v>
      </c>
      <c r="I24" s="478">
        <f t="shared" si="9"/>
        <v>0</v>
      </c>
      <c r="J24" s="478">
        <f t="shared" si="10"/>
        <v>479.2053942860324</v>
      </c>
      <c r="K24" s="478">
        <f t="shared" si="11"/>
        <v>0</v>
      </c>
      <c r="L24" s="478">
        <f t="shared" si="12"/>
        <v>0</v>
      </c>
      <c r="M24" s="478">
        <f t="shared" si="13"/>
        <v>0</v>
      </c>
      <c r="N24" s="478">
        <f t="shared" si="14"/>
        <v>0</v>
      </c>
      <c r="O24" s="478">
        <f t="shared" si="15"/>
        <v>0</v>
      </c>
      <c r="P24" s="479">
        <f t="shared" si="16"/>
        <v>0</v>
      </c>
      <c r="Q24" s="477">
        <f t="shared" ca="1" si="17"/>
        <v>14012.352390758075</v>
      </c>
    </row>
    <row r="25" spans="1:17">
      <c r="A25" s="477" t="s">
        <v>635</v>
      </c>
      <c r="B25" s="478">
        <f t="shared" ca="1" si="2"/>
        <v>6292.1980568154404</v>
      </c>
      <c r="C25" s="478">
        <f t="shared" ca="1" si="3"/>
        <v>0</v>
      </c>
      <c r="D25" s="478">
        <f t="shared" si="4"/>
        <v>8778.5775626908562</v>
      </c>
      <c r="E25" s="478">
        <f t="shared" si="5"/>
        <v>428.59861363384408</v>
      </c>
      <c r="F25" s="478">
        <f t="shared" si="6"/>
        <v>1803.3587536688865</v>
      </c>
      <c r="G25" s="478">
        <f t="shared" si="7"/>
        <v>0</v>
      </c>
      <c r="H25" s="478">
        <f t="shared" si="8"/>
        <v>0</v>
      </c>
      <c r="I25" s="478">
        <f t="shared" si="9"/>
        <v>0</v>
      </c>
      <c r="J25" s="478">
        <f t="shared" si="10"/>
        <v>17.717015021774014</v>
      </c>
      <c r="K25" s="478">
        <f t="shared" si="11"/>
        <v>0</v>
      </c>
      <c r="L25" s="478">
        <f t="shared" si="12"/>
        <v>0</v>
      </c>
      <c r="M25" s="478">
        <f t="shared" si="13"/>
        <v>0</v>
      </c>
      <c r="N25" s="478">
        <f t="shared" si="14"/>
        <v>0</v>
      </c>
      <c r="O25" s="478">
        <f t="shared" si="15"/>
        <v>0</v>
      </c>
      <c r="P25" s="479">
        <f t="shared" si="16"/>
        <v>0</v>
      </c>
      <c r="Q25" s="477">
        <f t="shared" ca="1" si="17"/>
        <v>17320.450001830803</v>
      </c>
    </row>
    <row r="26" spans="1:17" s="483" customFormat="1">
      <c r="A26" s="481" t="s">
        <v>561</v>
      </c>
      <c r="B26" s="835">
        <f t="shared" ca="1" si="2"/>
        <v>5.6347047847381164</v>
      </c>
      <c r="C26" s="482"/>
      <c r="D26" s="482">
        <f t="shared" si="4"/>
        <v>21.496134521582327</v>
      </c>
      <c r="E26" s="482">
        <f t="shared" si="5"/>
        <v>32.901962099290046</v>
      </c>
      <c r="F26" s="482"/>
      <c r="G26" s="482">
        <f t="shared" si="7"/>
        <v>15045.395132498223</v>
      </c>
      <c r="H26" s="482">
        <f t="shared" si="8"/>
        <v>2992.3123755871748</v>
      </c>
      <c r="I26" s="482"/>
      <c r="J26" s="482"/>
      <c r="K26" s="482"/>
      <c r="L26" s="482"/>
      <c r="M26" s="482">
        <f t="shared" si="13"/>
        <v>0</v>
      </c>
      <c r="N26" s="482"/>
      <c r="O26" s="482"/>
      <c r="P26" s="493"/>
      <c r="Q26" s="481">
        <f t="shared" ca="1" si="17"/>
        <v>18097.740309491008</v>
      </c>
    </row>
    <row r="27" spans="1:17">
      <c r="A27" s="477" t="s">
        <v>551</v>
      </c>
      <c r="B27" s="478">
        <f t="shared" ca="1" si="2"/>
        <v>0</v>
      </c>
      <c r="C27" s="478"/>
      <c r="D27" s="482">
        <f t="shared" si="4"/>
        <v>0</v>
      </c>
      <c r="E27" s="478"/>
      <c r="F27" s="478"/>
      <c r="G27" s="478">
        <f t="shared" si="7"/>
        <v>169.7274337610028</v>
      </c>
      <c r="H27" s="478"/>
      <c r="I27" s="478"/>
      <c r="J27" s="478"/>
      <c r="K27" s="478"/>
      <c r="L27" s="478"/>
      <c r="M27" s="478">
        <f t="shared" si="13"/>
        <v>0</v>
      </c>
      <c r="N27" s="478"/>
      <c r="O27" s="478"/>
      <c r="P27" s="479"/>
      <c r="Q27" s="477">
        <f t="shared" ca="1" si="17"/>
        <v>169.7274337610028</v>
      </c>
    </row>
    <row r="28" spans="1:17">
      <c r="A28" s="477" t="s">
        <v>552</v>
      </c>
      <c r="B28" s="478">
        <f t="shared" ca="1" si="2"/>
        <v>0</v>
      </c>
      <c r="C28" s="478">
        <f t="shared" ca="1" si="3"/>
        <v>0</v>
      </c>
      <c r="D28" s="478">
        <f t="shared" si="4"/>
        <v>0</v>
      </c>
      <c r="E28" s="478">
        <f t="shared" si="5"/>
        <v>0</v>
      </c>
      <c r="F28" s="478">
        <f t="shared" si="6"/>
        <v>0</v>
      </c>
      <c r="G28" s="478">
        <f t="shared" si="7"/>
        <v>0</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0</v>
      </c>
    </row>
    <row r="29" spans="1:17">
      <c r="A29" s="477" t="s">
        <v>553</v>
      </c>
      <c r="B29" s="478">
        <f t="shared" ca="1" si="2"/>
        <v>0</v>
      </c>
      <c r="C29" s="478"/>
      <c r="D29" s="478"/>
      <c r="E29" s="478"/>
      <c r="F29" s="478"/>
      <c r="G29" s="478"/>
      <c r="H29" s="478"/>
      <c r="I29" s="478"/>
      <c r="J29" s="478"/>
      <c r="K29" s="478"/>
      <c r="L29" s="478"/>
      <c r="M29" s="478"/>
      <c r="N29" s="478"/>
      <c r="O29" s="478"/>
      <c r="P29" s="479"/>
      <c r="Q29" s="477">
        <f t="shared" ca="1" si="17"/>
        <v>0</v>
      </c>
    </row>
    <row r="30" spans="1:17">
      <c r="A30" s="484" t="s">
        <v>554</v>
      </c>
      <c r="B30" s="478">
        <f t="shared" ca="1" si="2"/>
        <v>0</v>
      </c>
      <c r="C30" s="478"/>
      <c r="D30" s="478">
        <f t="shared" si="4"/>
        <v>0</v>
      </c>
      <c r="E30" s="478">
        <f t="shared" si="5"/>
        <v>0</v>
      </c>
      <c r="F30" s="478"/>
      <c r="G30" s="478">
        <f t="shared" si="7"/>
        <v>0</v>
      </c>
      <c r="H30" s="478">
        <f t="shared" si="8"/>
        <v>0</v>
      </c>
      <c r="I30" s="478"/>
      <c r="J30" s="478"/>
      <c r="K30" s="478"/>
      <c r="L30" s="478"/>
      <c r="M30" s="478">
        <f t="shared" si="13"/>
        <v>0</v>
      </c>
      <c r="N30" s="478"/>
      <c r="O30" s="478"/>
      <c r="P30" s="479"/>
      <c r="Q30" s="477">
        <f t="shared" ca="1" si="17"/>
        <v>0</v>
      </c>
    </row>
    <row r="31" spans="1:17" s="490" customFormat="1">
      <c r="A31" s="487" t="s">
        <v>555</v>
      </c>
      <c r="B31" s="488">
        <f t="shared" ref="B31:Q31" ca="1" si="18">SUM(B21:B30)</f>
        <v>16333.949003920756</v>
      </c>
      <c r="C31" s="488">
        <f t="shared" ca="1" si="18"/>
        <v>0</v>
      </c>
      <c r="D31" s="488">
        <f t="shared" ca="1" si="18"/>
        <v>21427.593012972855</v>
      </c>
      <c r="E31" s="488">
        <f t="shared" si="18"/>
        <v>3593.6608336017057</v>
      </c>
      <c r="F31" s="488">
        <f t="shared" ca="1" si="18"/>
        <v>17482.093550031441</v>
      </c>
      <c r="G31" s="488">
        <f t="shared" si="18"/>
        <v>15215.122566259226</v>
      </c>
      <c r="H31" s="488">
        <f t="shared" si="18"/>
        <v>2992.3123755871748</v>
      </c>
      <c r="I31" s="488">
        <f t="shared" si="18"/>
        <v>0</v>
      </c>
      <c r="J31" s="488">
        <f t="shared" si="18"/>
        <v>1803.8240277612663</v>
      </c>
      <c r="K31" s="488">
        <f t="shared" si="18"/>
        <v>0</v>
      </c>
      <c r="L31" s="488">
        <f t="shared" ca="1" si="18"/>
        <v>0</v>
      </c>
      <c r="M31" s="488">
        <f t="shared" si="18"/>
        <v>0</v>
      </c>
      <c r="N31" s="488">
        <f t="shared" ca="1" si="18"/>
        <v>0</v>
      </c>
      <c r="O31" s="488">
        <f t="shared" si="18"/>
        <v>0</v>
      </c>
      <c r="P31" s="489">
        <f t="shared" si="18"/>
        <v>0</v>
      </c>
      <c r="Q31" s="489">
        <f t="shared" ca="1" si="18"/>
        <v>78848.555370134432</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showGridLines="0" zoomScale="40" zoomScaleNormal="40" workbookViewId="0">
      <pane xSplit="1" ySplit="3" topLeftCell="B4" activePane="bottomRight" state="frozen"/>
      <selection pane="topRight" activeCell="B1" sqref="B1"/>
      <selection pane="bottomLeft" activeCell="A4" sqref="A4"/>
      <selection pane="bottomRight" activeCell="B11" sqref="B11"/>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6" customFormat="1" ht="21">
      <c r="A1" s="1158" t="s">
        <v>550</v>
      </c>
      <c r="B1" s="1159" t="s">
        <v>819</v>
      </c>
      <c r="C1" s="1159"/>
      <c r="D1" s="1159"/>
      <c r="E1" s="1159"/>
      <c r="F1" s="1159"/>
      <c r="G1" s="1159"/>
      <c r="H1" s="1159"/>
      <c r="I1" s="1159"/>
      <c r="J1" s="1159"/>
      <c r="K1" s="1159"/>
      <c r="L1" s="1159"/>
      <c r="M1" s="1159"/>
      <c r="N1" s="1159"/>
      <c r="O1" s="1159"/>
      <c r="P1" s="1160"/>
      <c r="Q1" s="1049"/>
    </row>
    <row r="2" spans="1:17" s="1016" customFormat="1" ht="21">
      <c r="A2" s="1158"/>
      <c r="B2" s="1161" t="s">
        <v>21</v>
      </c>
      <c r="C2" s="1163" t="s">
        <v>196</v>
      </c>
      <c r="D2" s="1165" t="s">
        <v>197</v>
      </c>
      <c r="E2" s="1166"/>
      <c r="F2" s="1166"/>
      <c r="G2" s="1166"/>
      <c r="H2" s="1166"/>
      <c r="I2" s="1166"/>
      <c r="J2" s="1166"/>
      <c r="K2" s="1162"/>
      <c r="L2" s="1165" t="s">
        <v>198</v>
      </c>
      <c r="M2" s="1166"/>
      <c r="N2" s="1166"/>
      <c r="O2" s="1166"/>
      <c r="P2" s="1162"/>
      <c r="Q2" s="1049"/>
    </row>
    <row r="3" spans="1:17" s="1016" customFormat="1" ht="42">
      <c r="A3" s="1158"/>
      <c r="B3" s="1162"/>
      <c r="C3" s="1164"/>
      <c r="D3" s="1050" t="s">
        <v>199</v>
      </c>
      <c r="E3" s="1050" t="s">
        <v>200</v>
      </c>
      <c r="F3" s="1050" t="s">
        <v>201</v>
      </c>
      <c r="G3" s="1050" t="s">
        <v>202</v>
      </c>
      <c r="H3" s="1050" t="s">
        <v>120</v>
      </c>
      <c r="I3" s="1050" t="s">
        <v>203</v>
      </c>
      <c r="J3" s="1050" t="s">
        <v>204</v>
      </c>
      <c r="K3" s="1050" t="s">
        <v>205</v>
      </c>
      <c r="L3" s="1050" t="s">
        <v>206</v>
      </c>
      <c r="M3" s="1050" t="s">
        <v>207</v>
      </c>
      <c r="N3" s="1050" t="s">
        <v>208</v>
      </c>
      <c r="O3" s="1050" t="s">
        <v>209</v>
      </c>
      <c r="P3" s="1050" t="s">
        <v>210</v>
      </c>
      <c r="Q3" s="1049" t="s">
        <v>116</v>
      </c>
    </row>
    <row r="4" spans="1:17" ht="124.15" customHeight="1">
      <c r="A4" s="1041" t="s">
        <v>155</v>
      </c>
      <c r="B4" s="1042" t="s">
        <v>802</v>
      </c>
      <c r="C4" s="1043" t="s">
        <v>823</v>
      </c>
      <c r="D4" s="1044" t="s">
        <v>803</v>
      </c>
      <c r="E4" s="1045" t="s">
        <v>801</v>
      </c>
      <c r="F4" s="1045" t="s">
        <v>805</v>
      </c>
      <c r="G4" s="1046" t="s">
        <v>825</v>
      </c>
      <c r="H4" s="1046" t="s">
        <v>825</v>
      </c>
      <c r="I4" s="1046" t="s">
        <v>825</v>
      </c>
      <c r="J4" s="1045" t="s">
        <v>804</v>
      </c>
      <c r="K4" s="1046" t="s">
        <v>825</v>
      </c>
      <c r="L4" s="1046" t="s">
        <v>825</v>
      </c>
      <c r="M4" s="1046" t="s">
        <v>825</v>
      </c>
      <c r="N4" s="1045" t="s">
        <v>806</v>
      </c>
      <c r="O4" s="1047" t="s">
        <v>807</v>
      </c>
      <c r="P4" s="1048" t="s">
        <v>808</v>
      </c>
      <c r="Q4" s="1051"/>
    </row>
    <row r="5" spans="1:17" ht="124.15" customHeight="1">
      <c r="A5" s="1024" t="s">
        <v>156</v>
      </c>
      <c r="B5" s="1025" t="s">
        <v>814</v>
      </c>
      <c r="C5" s="1031" t="s">
        <v>824</v>
      </c>
      <c r="D5" s="1031" t="s">
        <v>815</v>
      </c>
      <c r="E5" s="1027" t="s">
        <v>813</v>
      </c>
      <c r="F5" s="1027" t="s">
        <v>812</v>
      </c>
      <c r="G5" s="1028" t="s">
        <v>825</v>
      </c>
      <c r="H5" s="1028" t="s">
        <v>825</v>
      </c>
      <c r="I5" s="1028" t="s">
        <v>825</v>
      </c>
      <c r="J5" s="1027" t="s">
        <v>811</v>
      </c>
      <c r="K5" s="1025" t="s">
        <v>810</v>
      </c>
      <c r="L5" s="1028" t="s">
        <v>825</v>
      </c>
      <c r="M5" s="1028" t="s">
        <v>825</v>
      </c>
      <c r="N5" s="1027" t="s">
        <v>809</v>
      </c>
      <c r="O5" s="1029" t="s">
        <v>807</v>
      </c>
      <c r="P5" s="1030" t="s">
        <v>808</v>
      </c>
      <c r="Q5" s="1052"/>
    </row>
    <row r="6" spans="1:17" ht="124.15" customHeight="1">
      <c r="A6" s="1024" t="s">
        <v>194</v>
      </c>
      <c r="B6" s="1032" t="s">
        <v>816</v>
      </c>
      <c r="C6" s="1026" t="s">
        <v>822</v>
      </c>
      <c r="D6" s="1028" t="s">
        <v>822</v>
      </c>
      <c r="E6" s="1028" t="s">
        <v>822</v>
      </c>
      <c r="F6" s="1028" t="s">
        <v>822</v>
      </c>
      <c r="G6" s="1028" t="s">
        <v>822</v>
      </c>
      <c r="H6" s="1028" t="s">
        <v>822</v>
      </c>
      <c r="I6" s="1028" t="s">
        <v>822</v>
      </c>
      <c r="J6" s="1028" t="s">
        <v>822</v>
      </c>
      <c r="K6" s="1028" t="s">
        <v>822</v>
      </c>
      <c r="L6" s="1028" t="s">
        <v>822</v>
      </c>
      <c r="M6" s="1028" t="s">
        <v>822</v>
      </c>
      <c r="N6" s="1028" t="s">
        <v>822</v>
      </c>
      <c r="O6" s="1033" t="s">
        <v>822</v>
      </c>
      <c r="P6" s="1034" t="s">
        <v>822</v>
      </c>
      <c r="Q6" s="1053"/>
    </row>
    <row r="7" spans="1:17" ht="124.15" customHeight="1">
      <c r="A7" s="1024" t="s">
        <v>112</v>
      </c>
      <c r="B7" s="1032" t="s">
        <v>816</v>
      </c>
      <c r="C7" s="1031" t="s">
        <v>824</v>
      </c>
      <c r="D7" s="1031" t="s">
        <v>815</v>
      </c>
      <c r="E7" s="1027" t="s">
        <v>813</v>
      </c>
      <c r="F7" s="1027" t="s">
        <v>812</v>
      </c>
      <c r="G7" s="1028" t="s">
        <v>825</v>
      </c>
      <c r="H7" s="1028" t="s">
        <v>825</v>
      </c>
      <c r="I7" s="1028" t="s">
        <v>825</v>
      </c>
      <c r="J7" s="1027" t="s">
        <v>811</v>
      </c>
      <c r="K7" s="1028" t="s">
        <v>825</v>
      </c>
      <c r="L7" s="1028" t="s">
        <v>825</v>
      </c>
      <c r="M7" s="1028" t="s">
        <v>825</v>
      </c>
      <c r="N7" s="1035" t="s">
        <v>825</v>
      </c>
      <c r="O7" s="1026" t="s">
        <v>825</v>
      </c>
      <c r="P7" s="1036" t="s">
        <v>825</v>
      </c>
      <c r="Q7" s="1052"/>
    </row>
    <row r="8" spans="1:17" ht="124.15" customHeight="1">
      <c r="A8" s="1024" t="s">
        <v>635</v>
      </c>
      <c r="B8" s="1025" t="s">
        <v>817</v>
      </c>
      <c r="C8" s="1031" t="s">
        <v>824</v>
      </c>
      <c r="D8" s="1031" t="s">
        <v>815</v>
      </c>
      <c r="E8" s="1027" t="s">
        <v>813</v>
      </c>
      <c r="F8" s="1027" t="s">
        <v>812</v>
      </c>
      <c r="G8" s="1028" t="s">
        <v>825</v>
      </c>
      <c r="H8" s="1028" t="s">
        <v>825</v>
      </c>
      <c r="I8" s="1028" t="s">
        <v>825</v>
      </c>
      <c r="J8" s="1027" t="s">
        <v>811</v>
      </c>
      <c r="K8" s="1025" t="s">
        <v>810</v>
      </c>
      <c r="L8" s="1028" t="s">
        <v>825</v>
      </c>
      <c r="M8" s="1028" t="s">
        <v>825</v>
      </c>
      <c r="N8" s="1027" t="s">
        <v>809</v>
      </c>
      <c r="O8" s="1029" t="s">
        <v>807</v>
      </c>
      <c r="P8" s="1030" t="s">
        <v>808</v>
      </c>
      <c r="Q8" s="1052"/>
    </row>
    <row r="9" spans="1:17" s="483" customFormat="1" ht="124.15" customHeight="1">
      <c r="A9" s="1037" t="s">
        <v>561</v>
      </c>
      <c r="B9" s="1027" t="s">
        <v>827</v>
      </c>
      <c r="C9" s="1033" t="s">
        <v>822</v>
      </c>
      <c r="D9" s="1027" t="s">
        <v>828</v>
      </c>
      <c r="E9" s="1027" t="s">
        <v>829</v>
      </c>
      <c r="F9" s="1028" t="s">
        <v>822</v>
      </c>
      <c r="G9" s="1027" t="s">
        <v>830</v>
      </c>
      <c r="H9" s="1027" t="s">
        <v>831</v>
      </c>
      <c r="I9" s="1028" t="s">
        <v>822</v>
      </c>
      <c r="J9" s="1028" t="s">
        <v>822</v>
      </c>
      <c r="K9" s="1028" t="s">
        <v>822</v>
      </c>
      <c r="L9" s="1028" t="s">
        <v>822</v>
      </c>
      <c r="M9" s="1027" t="s">
        <v>827</v>
      </c>
      <c r="N9" s="1028" t="s">
        <v>822</v>
      </c>
      <c r="O9" s="1028" t="s">
        <v>822</v>
      </c>
      <c r="P9" s="1038" t="s">
        <v>822</v>
      </c>
      <c r="Q9" s="1054"/>
    </row>
    <row r="10" spans="1:17" ht="124.15" customHeight="1">
      <c r="A10" s="1024" t="s">
        <v>551</v>
      </c>
      <c r="B10" s="1025" t="s">
        <v>835</v>
      </c>
      <c r="C10" s="1033" t="s">
        <v>822</v>
      </c>
      <c r="D10" s="1033" t="s">
        <v>822</v>
      </c>
      <c r="E10" s="1033" t="s">
        <v>822</v>
      </c>
      <c r="F10" s="1028" t="s">
        <v>822</v>
      </c>
      <c r="G10" s="1025" t="s">
        <v>832</v>
      </c>
      <c r="H10" s="1028" t="s">
        <v>822</v>
      </c>
      <c r="I10" s="1028" t="s">
        <v>822</v>
      </c>
      <c r="J10" s="1028" t="s">
        <v>822</v>
      </c>
      <c r="K10" s="1028" t="s">
        <v>822</v>
      </c>
      <c r="L10" s="1028" t="s">
        <v>822</v>
      </c>
      <c r="M10" s="1025" t="s">
        <v>818</v>
      </c>
      <c r="N10" s="1028" t="s">
        <v>822</v>
      </c>
      <c r="O10" s="1028" t="s">
        <v>822</v>
      </c>
      <c r="P10" s="1038" t="s">
        <v>822</v>
      </c>
      <c r="Q10" s="1052"/>
    </row>
    <row r="11" spans="1:17" ht="21">
      <c r="A11" s="1024" t="s">
        <v>552</v>
      </c>
      <c r="B11" s="1039" t="s">
        <v>826</v>
      </c>
      <c r="C11" s="1039" t="s">
        <v>826</v>
      </c>
      <c r="D11" s="1039" t="s">
        <v>826</v>
      </c>
      <c r="E11" s="1039" t="s">
        <v>826</v>
      </c>
      <c r="F11" s="1039" t="s">
        <v>826</v>
      </c>
      <c r="G11" s="1039" t="s">
        <v>826</v>
      </c>
      <c r="H11" s="1039" t="s">
        <v>826</v>
      </c>
      <c r="I11" s="1039" t="s">
        <v>826</v>
      </c>
      <c r="J11" s="1039" t="s">
        <v>826</v>
      </c>
      <c r="K11" s="1039" t="s">
        <v>826</v>
      </c>
      <c r="L11" s="1039" t="s">
        <v>826</v>
      </c>
      <c r="M11" s="1039" t="s">
        <v>826</v>
      </c>
      <c r="N11" s="1039" t="s">
        <v>826</v>
      </c>
      <c r="O11" s="1039" t="s">
        <v>826</v>
      </c>
      <c r="P11" s="1063" t="s">
        <v>826</v>
      </c>
      <c r="Q11" s="1064"/>
    </row>
    <row r="12" spans="1:17" ht="21">
      <c r="A12" s="1024" t="s">
        <v>553</v>
      </c>
      <c r="B12" s="1039" t="s">
        <v>826</v>
      </c>
      <c r="C12" s="1039" t="s">
        <v>822</v>
      </c>
      <c r="D12" s="1039" t="s">
        <v>822</v>
      </c>
      <c r="E12" s="1039" t="s">
        <v>822</v>
      </c>
      <c r="F12" s="1039" t="s">
        <v>822</v>
      </c>
      <c r="G12" s="1039" t="s">
        <v>822</v>
      </c>
      <c r="H12" s="1039" t="s">
        <v>822</v>
      </c>
      <c r="I12" s="1039" t="s">
        <v>822</v>
      </c>
      <c r="J12" s="1039" t="s">
        <v>822</v>
      </c>
      <c r="K12" s="1039" t="s">
        <v>822</v>
      </c>
      <c r="L12" s="1039" t="s">
        <v>822</v>
      </c>
      <c r="M12" s="1039" t="s">
        <v>822</v>
      </c>
      <c r="N12" s="1039" t="s">
        <v>822</v>
      </c>
      <c r="O12" s="1039" t="s">
        <v>822</v>
      </c>
      <c r="P12" s="1040" t="s">
        <v>822</v>
      </c>
      <c r="Q12" s="479"/>
    </row>
    <row r="13" spans="1:17" ht="21">
      <c r="A13" s="1055" t="s">
        <v>554</v>
      </c>
      <c r="B13" s="1056" t="s">
        <v>826</v>
      </c>
      <c r="C13" s="478" t="s">
        <v>822</v>
      </c>
      <c r="D13" s="485" t="s">
        <v>826</v>
      </c>
      <c r="E13" s="485" t="s">
        <v>826</v>
      </c>
      <c r="F13" s="485" t="s">
        <v>822</v>
      </c>
      <c r="G13" s="485" t="s">
        <v>826</v>
      </c>
      <c r="H13" s="485" t="s">
        <v>826</v>
      </c>
      <c r="I13" s="485" t="s">
        <v>822</v>
      </c>
      <c r="J13" s="485" t="s">
        <v>822</v>
      </c>
      <c r="K13" s="485" t="s">
        <v>822</v>
      </c>
      <c r="L13" s="485" t="s">
        <v>822</v>
      </c>
      <c r="M13" s="1057" t="s">
        <v>826</v>
      </c>
      <c r="N13" s="485" t="s">
        <v>822</v>
      </c>
      <c r="O13" s="485" t="s">
        <v>822</v>
      </c>
      <c r="P13" s="485" t="s">
        <v>822</v>
      </c>
      <c r="Q13" s="484"/>
    </row>
    <row r="14" spans="1:17" s="490" customFormat="1" ht="21">
      <c r="A14" s="1058" t="s">
        <v>555</v>
      </c>
      <c r="B14" s="1059"/>
      <c r="C14" s="1059"/>
      <c r="D14" s="1059"/>
      <c r="E14" s="1059"/>
      <c r="F14" s="1059"/>
      <c r="G14" s="1059"/>
      <c r="H14" s="1059"/>
      <c r="I14" s="1059"/>
      <c r="J14" s="1059"/>
      <c r="K14" s="1059"/>
      <c r="L14" s="1059"/>
      <c r="M14" s="1060"/>
      <c r="N14" s="1059"/>
      <c r="O14" s="1059"/>
      <c r="P14" s="1061"/>
      <c r="Q14" s="1062"/>
    </row>
    <row r="15" spans="1:17">
      <c r="M15" s="1015"/>
    </row>
    <row r="16" spans="1:17">
      <c r="B16" s="1021">
        <v>1</v>
      </c>
      <c r="C16" s="1022">
        <v>2</v>
      </c>
      <c r="D16" s="1023">
        <v>3</v>
      </c>
    </row>
    <row r="17" spans="1:4" ht="257.25" customHeight="1">
      <c r="A17" s="1019" t="s">
        <v>820</v>
      </c>
      <c r="B17" s="1018" t="s">
        <v>821</v>
      </c>
      <c r="C17" s="1017" t="s">
        <v>833</v>
      </c>
      <c r="D17" s="1020" t="s">
        <v>834</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49" t="s">
        <v>386</v>
      </c>
      <c r="B1" s="1167" t="s">
        <v>195</v>
      </c>
      <c r="C1" s="1168"/>
      <c r="D1" s="1168"/>
      <c r="E1" s="1168"/>
      <c r="F1" s="1168"/>
      <c r="G1" s="1168"/>
      <c r="H1" s="1168"/>
      <c r="I1" s="1168"/>
      <c r="J1" s="1168"/>
      <c r="K1" s="1168"/>
      <c r="L1" s="1168"/>
      <c r="M1" s="1168"/>
      <c r="N1" s="1168"/>
      <c r="O1" s="1168"/>
      <c r="P1" s="1168"/>
    </row>
    <row r="2" spans="1:16" ht="15" customHeight="1" outlineLevel="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outlineLevel="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713" t="s">
        <v>610</v>
      </c>
      <c r="B4" s="494"/>
      <c r="C4" s="494"/>
      <c r="D4" s="494"/>
      <c r="E4" s="494"/>
      <c r="F4" s="494"/>
      <c r="G4" s="526"/>
      <c r="H4" s="526"/>
      <c r="I4" s="494"/>
      <c r="J4" s="494"/>
      <c r="K4" s="494"/>
      <c r="L4" s="494"/>
      <c r="M4" s="494"/>
      <c r="N4" s="494"/>
      <c r="O4" s="494"/>
      <c r="P4" s="494"/>
    </row>
    <row r="5" spans="1:16" outlineLevel="1">
      <c r="A5" s="713" t="s">
        <v>611</v>
      </c>
      <c r="B5" s="494"/>
      <c r="C5" s="494"/>
      <c r="D5" s="494"/>
      <c r="E5" s="494"/>
      <c r="F5" s="494"/>
      <c r="G5" s="526"/>
      <c r="H5" s="526"/>
      <c r="I5" s="494"/>
      <c r="J5" s="494"/>
      <c r="K5" s="494"/>
      <c r="L5" s="494"/>
      <c r="M5" s="494"/>
      <c r="N5" s="494"/>
      <c r="O5" s="494"/>
      <c r="P5" s="494"/>
    </row>
    <row r="6" spans="1:16" outlineLevel="1">
      <c r="A6" s="713" t="s">
        <v>612</v>
      </c>
      <c r="B6" s="494"/>
      <c r="C6" s="494"/>
      <c r="D6" s="494"/>
      <c r="E6" s="494"/>
      <c r="F6" s="494"/>
      <c r="G6" s="526"/>
      <c r="H6" s="526"/>
      <c r="I6" s="494"/>
      <c r="J6" s="494"/>
      <c r="K6" s="494"/>
      <c r="L6" s="494"/>
      <c r="M6" s="494"/>
      <c r="N6" s="494"/>
      <c r="O6" s="494"/>
      <c r="P6" s="494"/>
    </row>
    <row r="7" spans="1:16" outlineLevel="1">
      <c r="A7" s="496"/>
      <c r="B7" s="494"/>
      <c r="C7" s="494"/>
      <c r="D7" s="494"/>
      <c r="E7" s="494"/>
      <c r="F7" s="494"/>
      <c r="G7" s="526"/>
      <c r="H7" s="526"/>
      <c r="I7" s="494"/>
      <c r="J7" s="494"/>
      <c r="K7" s="494"/>
      <c r="L7" s="494"/>
      <c r="M7" s="494"/>
      <c r="N7" s="494"/>
      <c r="O7" s="494"/>
      <c r="P7" s="494"/>
    </row>
    <row r="8" spans="1:16" outlineLevel="1">
      <c r="A8" s="714" t="s">
        <v>613</v>
      </c>
      <c r="B8" s="494"/>
      <c r="C8" s="494"/>
      <c r="D8" s="494"/>
      <c r="E8" s="494"/>
      <c r="F8" s="494"/>
      <c r="G8" s="526"/>
      <c r="H8" s="526"/>
      <c r="I8" s="494"/>
      <c r="J8" s="494"/>
      <c r="K8" s="494"/>
      <c r="L8" s="494"/>
      <c r="M8" s="494"/>
      <c r="N8" s="494"/>
      <c r="O8" s="494"/>
      <c r="P8" s="494"/>
    </row>
    <row r="9" spans="1:16" outlineLevel="1">
      <c r="A9" s="496"/>
      <c r="B9" s="494"/>
      <c r="C9" s="494"/>
      <c r="D9" s="494"/>
      <c r="E9" s="494"/>
      <c r="F9" s="494"/>
      <c r="G9" s="526"/>
      <c r="H9" s="526"/>
      <c r="I9" s="494"/>
      <c r="J9" s="494"/>
      <c r="K9" s="494"/>
      <c r="L9" s="494"/>
      <c r="M9" s="494"/>
      <c r="N9" s="494"/>
      <c r="O9" s="494"/>
      <c r="P9" s="494"/>
    </row>
    <row r="10" spans="1:16" outlineLevel="1">
      <c r="A10" s="496" t="s">
        <v>614</v>
      </c>
      <c r="B10" s="494"/>
      <c r="C10" s="494"/>
      <c r="D10" s="494"/>
      <c r="E10" s="494"/>
      <c r="F10" s="494"/>
      <c r="G10" s="526"/>
      <c r="H10" s="526"/>
      <c r="I10" s="494"/>
      <c r="J10" s="494"/>
      <c r="K10" s="494"/>
      <c r="L10" s="494"/>
      <c r="M10" s="494"/>
      <c r="N10" s="494"/>
      <c r="O10" s="494"/>
      <c r="P10" s="494"/>
    </row>
    <row r="11" spans="1:16" outlineLevel="1">
      <c r="A11" s="496"/>
      <c r="B11" s="494"/>
      <c r="C11" s="494"/>
      <c r="D11" s="494"/>
      <c r="E11" s="494"/>
      <c r="F11" s="494"/>
      <c r="G11" s="526"/>
      <c r="H11" s="526"/>
      <c r="I11" s="494"/>
      <c r="J11" s="494"/>
      <c r="K11" s="494"/>
      <c r="L11" s="494"/>
      <c r="M11" s="494"/>
      <c r="N11" s="494"/>
      <c r="O11" s="494"/>
      <c r="P11" s="494"/>
    </row>
    <row r="12" spans="1:16" ht="15.75" outlineLevel="1" thickBot="1">
      <c r="B12" s="494"/>
      <c r="C12" s="494"/>
      <c r="D12" s="494"/>
      <c r="E12" s="494"/>
      <c r="F12" s="494"/>
      <c r="G12" s="526"/>
      <c r="H12" s="526"/>
      <c r="I12" s="494"/>
      <c r="J12" s="494"/>
      <c r="K12" s="494"/>
      <c r="L12" s="494"/>
      <c r="M12" s="494"/>
      <c r="N12" s="494"/>
      <c r="O12" s="494"/>
      <c r="P12" s="494"/>
    </row>
    <row r="13" spans="1:16" ht="25.5" customHeight="1" outlineLevel="1" thickBot="1">
      <c r="A13" s="497" t="s">
        <v>576</v>
      </c>
      <c r="B13" s="478"/>
      <c r="C13" s="498"/>
      <c r="D13" s="498"/>
      <c r="E13" s="498"/>
      <c r="F13" s="498"/>
      <c r="G13" s="498"/>
      <c r="H13" s="498"/>
      <c r="I13" s="498"/>
      <c r="J13" s="498"/>
      <c r="K13" s="498"/>
      <c r="L13" s="498"/>
      <c r="M13" s="498"/>
      <c r="N13" s="498"/>
      <c r="O13" s="842" t="s">
        <v>631</v>
      </c>
      <c r="P13" s="842" t="s">
        <v>630</v>
      </c>
    </row>
    <row r="14" spans="1:16" outlineLevel="1"/>
    <row r="15" spans="1:16" s="490" customFormat="1" outlineLevel="1">
      <c r="A15" s="499" t="s">
        <v>305</v>
      </c>
      <c r="B15" s="500">
        <f>SUM(B4:B12)</f>
        <v>0</v>
      </c>
      <c r="C15" s="500">
        <f t="shared" ref="C15:P15" si="0">SUM(C4:C13)</f>
        <v>0</v>
      </c>
      <c r="D15" s="500">
        <f t="shared" si="0"/>
        <v>0</v>
      </c>
      <c r="E15" s="500">
        <f t="shared" si="0"/>
        <v>0</v>
      </c>
      <c r="F15" s="500">
        <f t="shared" si="0"/>
        <v>0</v>
      </c>
      <c r="G15" s="500"/>
      <c r="H15" s="500"/>
      <c r="I15" s="500">
        <f t="shared" si="0"/>
        <v>0</v>
      </c>
      <c r="J15" s="500">
        <f t="shared" si="0"/>
        <v>0</v>
      </c>
      <c r="K15" s="500">
        <f t="shared" si="0"/>
        <v>0</v>
      </c>
      <c r="L15" s="500">
        <f t="shared" si="0"/>
        <v>0</v>
      </c>
      <c r="M15" s="500">
        <f>SUM(M4:M13)</f>
        <v>0</v>
      </c>
      <c r="N15" s="500">
        <f t="shared" si="0"/>
        <v>0</v>
      </c>
      <c r="O15" s="500">
        <f>SUM(O4:O13)</f>
        <v>0</v>
      </c>
      <c r="P15" s="500">
        <f t="shared" si="0"/>
        <v>0</v>
      </c>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0.19850584335491533</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f ca="1">C15*C17</f>
        <v>0</v>
      </c>
      <c r="D19" s="505">
        <f>D15*D17</f>
        <v>0</v>
      </c>
      <c r="E19" s="505">
        <f>E15*E17</f>
        <v>0</v>
      </c>
      <c r="F19" s="505">
        <f>F15*F17</f>
        <v>0</v>
      </c>
      <c r="G19" s="505"/>
      <c r="H19" s="505"/>
      <c r="I19" s="505">
        <f t="shared" ref="I19:P19" si="1">I15*I17</f>
        <v>0</v>
      </c>
      <c r="J19" s="505">
        <f t="shared" si="1"/>
        <v>0</v>
      </c>
      <c r="K19" s="505">
        <f t="shared" si="1"/>
        <v>0</v>
      </c>
      <c r="L19" s="505">
        <f t="shared" si="1"/>
        <v>0</v>
      </c>
      <c r="M19" s="505">
        <f t="shared" si="1"/>
        <v>0</v>
      </c>
      <c r="N19" s="505">
        <f t="shared" si="1"/>
        <v>0</v>
      </c>
      <c r="O19" s="505">
        <f t="shared" si="1"/>
        <v>0</v>
      </c>
      <c r="P19" s="505">
        <f t="shared" si="1"/>
        <v>0</v>
      </c>
    </row>
    <row r="22" spans="1:16" s="478" customFormat="1" ht="15" customHeight="1" outlineLevel="1">
      <c r="A22" s="506" t="s">
        <v>483</v>
      </c>
      <c r="B22" s="507"/>
      <c r="C22" s="508"/>
      <c r="D22" s="509"/>
      <c r="E22" s="510"/>
    </row>
    <row r="23" spans="1:16" s="48" customFormat="1" ht="15" customHeight="1" outlineLevel="1">
      <c r="A23" s="511"/>
      <c r="B23" s="512"/>
      <c r="C23" s="513" t="s">
        <v>377</v>
      </c>
      <c r="D23" s="513" t="s">
        <v>182</v>
      </c>
      <c r="E23" s="514"/>
    </row>
    <row r="24" spans="1:16" s="478" customFormat="1" ht="15" customHeight="1" outlineLevel="1">
      <c r="A24" s="515" t="s">
        <v>266</v>
      </c>
      <c r="B24" s="47">
        <f>EigenZB</f>
        <v>1</v>
      </c>
      <c r="C24" s="516"/>
      <c r="D24" s="964" t="s">
        <v>652</v>
      </c>
      <c r="E24" s="479"/>
    </row>
    <row r="25" spans="1:16" s="478" customFormat="1" outlineLevel="1">
      <c r="A25" s="515" t="s">
        <v>450</v>
      </c>
      <c r="B25" s="48">
        <v>4.2</v>
      </c>
      <c r="C25" s="516"/>
      <c r="D25" s="517" t="s">
        <v>507</v>
      </c>
      <c r="E25" s="493"/>
    </row>
    <row r="26" spans="1:16" s="478" customFormat="1" outlineLevel="1">
      <c r="A26" s="846" t="s">
        <v>451</v>
      </c>
      <c r="B26" s="847">
        <f>1.34/3.6</f>
        <v>0.37222222222222223</v>
      </c>
      <c r="C26" s="516" t="s">
        <v>218</v>
      </c>
      <c r="D26" s="517" t="s">
        <v>507</v>
      </c>
      <c r="E26" s="493"/>
    </row>
    <row r="27" spans="1:16" s="478" customFormat="1" outlineLevel="1">
      <c r="A27" s="518" t="s">
        <v>622</v>
      </c>
      <c r="B27" s="849">
        <f>B24*B25*B26</f>
        <v>1.5633333333333335</v>
      </c>
      <c r="C27" s="519" t="s">
        <v>623</v>
      </c>
      <c r="D27" s="520"/>
      <c r="E27" s="521"/>
    </row>
    <row r="28" spans="1:16" s="478" customFormat="1" outlineLevel="1">
      <c r="A28" s="48"/>
      <c r="B28" s="48"/>
      <c r="C28" s="522"/>
      <c r="D28" s="516"/>
    </row>
    <row r="29" spans="1:16" s="478" customFormat="1" outlineLevel="1">
      <c r="A29" s="523" t="s">
        <v>484</v>
      </c>
      <c r="B29" s="507"/>
      <c r="C29" s="508"/>
      <c r="D29" s="509"/>
      <c r="E29" s="510"/>
    </row>
    <row r="30" spans="1:16" s="48" customFormat="1" outlineLevel="1">
      <c r="A30" s="524"/>
      <c r="B30" s="512"/>
      <c r="C30" s="513" t="s">
        <v>377</v>
      </c>
      <c r="D30" s="513" t="s">
        <v>182</v>
      </c>
      <c r="E30" s="514"/>
    </row>
    <row r="31" spans="1:16" s="478" customFormat="1" outlineLevel="1">
      <c r="A31" s="515" t="s">
        <v>449</v>
      </c>
      <c r="B31" s="47">
        <f>EigenWP</f>
        <v>0</v>
      </c>
      <c r="C31" s="516"/>
      <c r="D31" s="964" t="s">
        <v>652</v>
      </c>
      <c r="E31" s="479"/>
    </row>
    <row r="32" spans="1:16" s="478" customFormat="1" outlineLevel="1">
      <c r="A32" s="515" t="s">
        <v>447</v>
      </c>
      <c r="B32" s="48">
        <v>13</v>
      </c>
      <c r="C32" s="522" t="s">
        <v>263</v>
      </c>
      <c r="D32" s="517" t="s">
        <v>507</v>
      </c>
      <c r="E32" s="479"/>
    </row>
    <row r="33" spans="1:5" s="478" customFormat="1" outlineLevel="1">
      <c r="A33" s="515" t="s">
        <v>448</v>
      </c>
      <c r="B33" s="48">
        <v>2000</v>
      </c>
      <c r="C33" s="522" t="s">
        <v>265</v>
      </c>
      <c r="D33" s="517" t="s">
        <v>507</v>
      </c>
      <c r="E33" s="479"/>
    </row>
    <row r="34" spans="1:5" s="478" customFormat="1" outlineLevel="1">
      <c r="A34" s="846" t="s">
        <v>382</v>
      </c>
      <c r="B34" s="48">
        <v>3.75</v>
      </c>
      <c r="C34" s="522"/>
      <c r="D34" s="517" t="s">
        <v>507</v>
      </c>
      <c r="E34" s="479"/>
    </row>
    <row r="35" spans="1:5" s="478" customFormat="1" outlineLevel="1">
      <c r="A35" s="518" t="s">
        <v>622</v>
      </c>
      <c r="B35" s="848">
        <f>B31*B32*B33/1000-B31*B32*B33/1000/B34</f>
        <v>0</v>
      </c>
      <c r="C35" s="525" t="s">
        <v>623</v>
      </c>
      <c r="D35" s="520"/>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49" t="s">
        <v>386</v>
      </c>
      <c r="B1" s="1167" t="s">
        <v>195</v>
      </c>
      <c r="C1" s="1168"/>
      <c r="D1" s="1168"/>
      <c r="E1" s="1168"/>
      <c r="F1" s="1168"/>
      <c r="G1" s="1168"/>
      <c r="H1" s="1168"/>
      <c r="I1" s="1168"/>
      <c r="J1" s="1168"/>
      <c r="K1" s="1168"/>
      <c r="L1" s="1168"/>
      <c r="M1" s="1168"/>
      <c r="N1" s="1168"/>
      <c r="O1" s="1168"/>
      <c r="P1" s="1168"/>
    </row>
    <row r="2" spans="1:16" ht="15" customHeight="1" outlineLevel="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outlineLevel="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6"/>
      <c r="B4" s="494"/>
      <c r="C4" s="526"/>
      <c r="D4" s="526"/>
      <c r="E4" s="526"/>
      <c r="F4" s="526"/>
      <c r="G4" s="526"/>
      <c r="H4" s="526"/>
      <c r="I4" s="526"/>
      <c r="J4" s="526"/>
      <c r="K4" s="526"/>
      <c r="L4" s="526"/>
      <c r="M4" s="526"/>
      <c r="N4" s="526"/>
      <c r="O4" s="526"/>
      <c r="P4" s="526"/>
    </row>
    <row r="5" spans="1:16" outlineLevel="1">
      <c r="A5" s="496"/>
      <c r="B5" s="494"/>
      <c r="C5" s="526"/>
      <c r="D5" s="526"/>
      <c r="E5" s="526"/>
      <c r="F5" s="526"/>
      <c r="G5" s="526"/>
      <c r="H5" s="526"/>
      <c r="I5" s="526"/>
      <c r="J5" s="526"/>
      <c r="K5" s="526"/>
      <c r="L5" s="526"/>
      <c r="M5" s="526"/>
      <c r="N5" s="526"/>
      <c r="O5" s="526"/>
      <c r="P5" s="526"/>
    </row>
    <row r="6" spans="1:16" outlineLevel="1">
      <c r="A6" s="496"/>
      <c r="B6" s="494"/>
      <c r="C6" s="526"/>
      <c r="D6" s="526"/>
      <c r="E6" s="526"/>
      <c r="F6" s="526"/>
      <c r="G6" s="526"/>
      <c r="H6" s="526"/>
      <c r="I6" s="526"/>
      <c r="J6" s="526"/>
      <c r="K6" s="526"/>
      <c r="L6" s="526"/>
      <c r="M6" s="526"/>
      <c r="N6" s="526"/>
      <c r="O6" s="526"/>
      <c r="P6" s="526"/>
    </row>
    <row r="7" spans="1:16" outlineLevel="1">
      <c r="A7" s="496"/>
      <c r="B7" s="494"/>
      <c r="C7" s="526"/>
      <c r="D7" s="526"/>
      <c r="E7" s="526"/>
      <c r="F7" s="526"/>
      <c r="G7" s="526"/>
      <c r="H7" s="526"/>
      <c r="I7" s="526"/>
      <c r="J7" s="526"/>
      <c r="K7" s="526"/>
      <c r="L7" s="526"/>
      <c r="M7" s="526"/>
      <c r="N7" s="526"/>
      <c r="O7" s="526"/>
      <c r="P7" s="526"/>
    </row>
    <row r="8" spans="1:16" outlineLevel="1">
      <c r="A8" s="714"/>
      <c r="B8" s="494"/>
      <c r="C8" s="526"/>
      <c r="D8" s="526"/>
      <c r="E8" s="526"/>
      <c r="F8" s="526"/>
      <c r="G8" s="526"/>
      <c r="H8" s="526"/>
      <c r="I8" s="526"/>
      <c r="J8" s="526"/>
      <c r="K8" s="526"/>
      <c r="L8" s="526"/>
      <c r="M8" s="526"/>
      <c r="N8" s="526"/>
      <c r="O8" s="526"/>
      <c r="P8" s="526"/>
    </row>
    <row r="9" spans="1:16" outlineLevel="1">
      <c r="A9" s="496"/>
      <c r="B9" s="494"/>
      <c r="C9" s="526"/>
      <c r="D9" s="526"/>
      <c r="E9" s="526"/>
      <c r="F9" s="526"/>
      <c r="G9" s="526"/>
      <c r="H9" s="526"/>
      <c r="I9" s="526"/>
      <c r="J9" s="526"/>
      <c r="K9" s="526"/>
      <c r="L9" s="526"/>
      <c r="M9" s="526"/>
      <c r="N9" s="526"/>
      <c r="O9" s="526"/>
      <c r="P9" s="526"/>
    </row>
    <row r="10" spans="1:16" outlineLevel="1">
      <c r="A10" s="496"/>
      <c r="B10" s="494"/>
      <c r="C10" s="526"/>
      <c r="D10" s="526"/>
      <c r="E10" s="526"/>
      <c r="F10" s="526"/>
      <c r="G10" s="526"/>
      <c r="H10" s="526"/>
      <c r="I10" s="526"/>
      <c r="J10" s="526"/>
      <c r="K10" s="526"/>
      <c r="L10" s="526"/>
      <c r="M10" s="526"/>
      <c r="N10" s="526"/>
      <c r="O10" s="526"/>
      <c r="P10" s="526"/>
    </row>
    <row r="11" spans="1:16" outlineLevel="1">
      <c r="A11" s="496"/>
      <c r="B11" s="494"/>
      <c r="C11" s="526"/>
      <c r="D11" s="526"/>
      <c r="E11" s="526"/>
      <c r="F11" s="526"/>
      <c r="G11" s="526"/>
      <c r="H11" s="526"/>
      <c r="I11" s="526"/>
      <c r="J11" s="526"/>
      <c r="K11" s="526"/>
      <c r="L11" s="526"/>
      <c r="M11" s="526"/>
      <c r="N11" s="526"/>
      <c r="O11" s="526"/>
      <c r="P11" s="526"/>
    </row>
    <row r="12" spans="1:16" ht="15.75" outlineLevel="1" thickBot="1">
      <c r="A12" s="496"/>
      <c r="B12" s="494"/>
      <c r="C12" s="526"/>
      <c r="D12" s="526"/>
      <c r="E12" s="526"/>
      <c r="F12" s="526"/>
      <c r="G12" s="526"/>
      <c r="H12" s="526"/>
      <c r="I12" s="526"/>
      <c r="J12" s="526"/>
      <c r="K12" s="526"/>
      <c r="L12" s="526"/>
      <c r="M12" s="526"/>
      <c r="N12" s="526"/>
      <c r="O12" s="526"/>
      <c r="P12" s="526"/>
    </row>
    <row r="13" spans="1:16" ht="25.5" customHeight="1" outlineLevel="1" thickBot="1">
      <c r="A13" s="497" t="s">
        <v>576</v>
      </c>
      <c r="B13" s="478"/>
      <c r="C13" s="498"/>
      <c r="D13" s="498"/>
      <c r="E13" s="498"/>
      <c r="F13" s="498"/>
      <c r="G13" s="498"/>
      <c r="H13" s="498"/>
      <c r="I13" s="498"/>
      <c r="J13" s="498"/>
      <c r="K13" s="498"/>
      <c r="L13" s="498"/>
      <c r="M13" s="498"/>
      <c r="N13" s="498"/>
      <c r="O13" s="1173"/>
      <c r="P13" s="1173"/>
    </row>
    <row r="14" spans="1:16" outlineLevel="1">
      <c r="A14" s="496"/>
      <c r="B14" s="52"/>
      <c r="C14" s="526"/>
      <c r="D14" s="526"/>
      <c r="E14" s="526"/>
      <c r="F14" s="526"/>
      <c r="G14" s="526"/>
      <c r="H14" s="526"/>
      <c r="I14" s="526"/>
      <c r="J14" s="526"/>
      <c r="K14" s="526"/>
      <c r="L14" s="526"/>
      <c r="M14" s="526"/>
      <c r="N14" s="526"/>
      <c r="O14" s="526"/>
      <c r="P14" s="526"/>
    </row>
    <row r="15" spans="1:16" s="490" customFormat="1" outlineLevel="1">
      <c r="A15" s="499" t="s">
        <v>306</v>
      </c>
      <c r="B15" s="500">
        <f>SUM(B4:B12)</f>
        <v>0</v>
      </c>
      <c r="C15" s="501"/>
      <c r="D15" s="501"/>
      <c r="E15" s="501"/>
      <c r="F15" s="501"/>
      <c r="G15" s="501"/>
      <c r="H15" s="501"/>
      <c r="I15" s="501"/>
      <c r="J15" s="501"/>
      <c r="K15" s="501"/>
      <c r="L15" s="501"/>
      <c r="M15" s="501"/>
      <c r="N15" s="501"/>
      <c r="O15" s="502"/>
      <c r="P15" s="502"/>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0.19850584335491533</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c r="D19" s="505"/>
      <c r="E19" s="505"/>
      <c r="F19" s="505"/>
      <c r="G19" s="505"/>
      <c r="H19" s="505"/>
      <c r="I19" s="505"/>
      <c r="J19" s="505"/>
      <c r="K19" s="505"/>
      <c r="L19" s="505"/>
      <c r="M19" s="505"/>
      <c r="N19" s="505"/>
      <c r="O19" s="505"/>
      <c r="P19" s="50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49" t="s">
        <v>328</v>
      </c>
      <c r="B1" s="1167" t="s">
        <v>195</v>
      </c>
      <c r="C1" s="1168"/>
      <c r="D1" s="1168"/>
      <c r="E1" s="1168"/>
      <c r="F1" s="1168"/>
      <c r="G1" s="1168"/>
      <c r="H1" s="1168"/>
      <c r="I1" s="1168"/>
      <c r="J1" s="1168"/>
      <c r="K1" s="1168"/>
      <c r="L1" s="1168"/>
      <c r="M1" s="1168"/>
      <c r="N1" s="1168"/>
      <c r="O1" s="1168"/>
      <c r="P1" s="1168"/>
    </row>
    <row r="2" spans="1:16" ht="15" customHeight="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4"/>
      <c r="C4" s="526"/>
      <c r="D4" s="495"/>
      <c r="E4" s="495"/>
      <c r="F4" s="526"/>
      <c r="G4" s="495"/>
      <c r="H4" s="495"/>
      <c r="I4" s="526"/>
      <c r="J4" s="526"/>
      <c r="K4" s="526"/>
      <c r="L4" s="526"/>
      <c r="M4" s="526"/>
      <c r="N4" s="526"/>
      <c r="O4" s="526"/>
      <c r="P4" s="526"/>
    </row>
    <row r="5" spans="1:16">
      <c r="B5" s="494"/>
      <c r="C5" s="52"/>
      <c r="D5" s="494"/>
      <c r="E5" s="494"/>
      <c r="F5" s="52"/>
      <c r="G5" s="494"/>
      <c r="H5" s="494"/>
      <c r="I5" s="52"/>
      <c r="J5" s="52"/>
      <c r="K5" s="52"/>
      <c r="L5" s="52"/>
      <c r="M5" s="52"/>
      <c r="N5" s="52"/>
      <c r="O5" s="52"/>
      <c r="P5" s="52"/>
    </row>
    <row r="6" spans="1:16">
      <c r="B6" s="494"/>
      <c r="C6" s="52"/>
      <c r="D6" s="494"/>
      <c r="E6" s="494"/>
      <c r="F6" s="52"/>
      <c r="G6" s="494"/>
      <c r="H6" s="494"/>
      <c r="I6" s="52"/>
      <c r="J6" s="52"/>
      <c r="K6" s="52"/>
      <c r="L6" s="52"/>
      <c r="M6" s="52"/>
      <c r="N6" s="52"/>
      <c r="O6" s="52"/>
      <c r="P6" s="52"/>
    </row>
    <row r="7" spans="1:16">
      <c r="B7" s="494"/>
      <c r="C7" s="52"/>
      <c r="D7" s="494"/>
      <c r="E7" s="494"/>
      <c r="F7" s="52"/>
      <c r="G7" s="494"/>
      <c r="H7" s="494"/>
      <c r="I7" s="52"/>
      <c r="J7" s="52"/>
      <c r="K7" s="52"/>
      <c r="L7" s="52"/>
      <c r="M7" s="52"/>
      <c r="N7" s="52"/>
      <c r="O7" s="52"/>
      <c r="P7" s="52"/>
    </row>
    <row r="8" spans="1:16">
      <c r="A8" s="490"/>
      <c r="B8" s="494"/>
      <c r="C8" s="52"/>
      <c r="D8" s="494"/>
      <c r="E8" s="494"/>
      <c r="F8" s="52"/>
      <c r="G8" s="494"/>
      <c r="H8" s="494"/>
      <c r="I8" s="52"/>
      <c r="J8" s="52"/>
      <c r="K8" s="52"/>
      <c r="L8" s="52"/>
      <c r="M8" s="52"/>
      <c r="N8" s="52"/>
      <c r="O8" s="52"/>
      <c r="P8" s="52"/>
    </row>
    <row r="9" spans="1:16">
      <c r="B9" s="494"/>
      <c r="C9" s="52"/>
      <c r="D9" s="494"/>
      <c r="E9" s="494"/>
      <c r="F9" s="52"/>
      <c r="G9" s="494"/>
      <c r="H9" s="494"/>
      <c r="I9" s="52"/>
      <c r="J9" s="52"/>
      <c r="K9" s="52"/>
      <c r="L9" s="52"/>
      <c r="M9" s="52"/>
      <c r="N9" s="52"/>
      <c r="O9" s="52"/>
      <c r="P9" s="52"/>
    </row>
    <row r="10" spans="1:16">
      <c r="B10" s="494"/>
      <c r="C10" s="52"/>
      <c r="D10" s="494"/>
      <c r="E10" s="494"/>
      <c r="F10" s="52"/>
      <c r="G10" s="494"/>
      <c r="H10" s="494"/>
      <c r="I10" s="52"/>
      <c r="J10" s="52"/>
      <c r="K10" s="52"/>
      <c r="L10" s="52"/>
      <c r="M10" s="52"/>
      <c r="N10" s="52"/>
      <c r="O10" s="52"/>
      <c r="P10" s="52"/>
    </row>
    <row r="11" spans="1:16">
      <c r="B11" s="494"/>
      <c r="C11" s="52"/>
      <c r="D11" s="494"/>
      <c r="E11" s="494"/>
      <c r="F11" s="52"/>
      <c r="G11" s="494"/>
      <c r="H11" s="494"/>
      <c r="I11" s="52"/>
      <c r="J11" s="52"/>
      <c r="K11" s="52"/>
      <c r="L11" s="52"/>
      <c r="M11" s="52"/>
      <c r="N11" s="52"/>
      <c r="O11" s="52"/>
      <c r="P11" s="52"/>
    </row>
    <row r="12" spans="1:16">
      <c r="B12" s="494"/>
      <c r="C12" s="52"/>
      <c r="D12" s="494"/>
      <c r="E12" s="494"/>
      <c r="F12" s="52"/>
      <c r="G12" s="494"/>
      <c r="H12" s="494"/>
      <c r="I12" s="52"/>
      <c r="J12" s="52"/>
      <c r="K12" s="52"/>
      <c r="L12" s="52"/>
      <c r="M12" s="52"/>
      <c r="N12" s="52"/>
      <c r="O12" s="52"/>
      <c r="P12" s="52"/>
    </row>
    <row r="13" spans="1:16">
      <c r="B13" s="494"/>
      <c r="C13" s="52"/>
      <c r="D13" s="494"/>
      <c r="E13" s="494"/>
      <c r="F13" s="52"/>
      <c r="G13" s="494"/>
      <c r="H13" s="494"/>
      <c r="I13" s="52"/>
      <c r="J13" s="52"/>
      <c r="K13" s="52"/>
      <c r="L13" s="52"/>
      <c r="M13" s="52"/>
      <c r="N13" s="52"/>
      <c r="O13" s="52"/>
      <c r="P13" s="52"/>
    </row>
    <row r="14" spans="1:16">
      <c r="B14" s="494"/>
      <c r="C14" s="52"/>
      <c r="D14" s="494"/>
      <c r="E14" s="494"/>
      <c r="F14" s="52"/>
      <c r="G14" s="494"/>
      <c r="H14" s="494"/>
      <c r="I14" s="52"/>
      <c r="J14" s="52"/>
      <c r="K14" s="52"/>
      <c r="L14" s="52"/>
      <c r="M14" s="52"/>
      <c r="N14" s="52"/>
      <c r="O14" s="52"/>
      <c r="P14" s="52"/>
    </row>
    <row r="15" spans="1:16">
      <c r="B15" s="494"/>
      <c r="C15" s="52"/>
      <c r="D15" s="494"/>
      <c r="E15" s="494"/>
      <c r="F15" s="52"/>
      <c r="G15" s="494"/>
      <c r="H15" s="494"/>
      <c r="I15" s="52"/>
      <c r="J15" s="52"/>
      <c r="K15" s="52"/>
      <c r="L15" s="52"/>
      <c r="M15" s="52"/>
      <c r="N15" s="52"/>
      <c r="O15" s="52"/>
      <c r="P15" s="52"/>
    </row>
    <row r="16" spans="1:16">
      <c r="B16" s="494"/>
      <c r="C16" s="52"/>
      <c r="D16" s="494"/>
      <c r="E16" s="494"/>
      <c r="F16" s="52"/>
      <c r="G16" s="494"/>
      <c r="H16" s="494"/>
      <c r="I16" s="52"/>
      <c r="J16" s="52"/>
      <c r="K16" s="52"/>
      <c r="L16" s="52"/>
      <c r="M16" s="52"/>
      <c r="N16" s="52"/>
      <c r="O16" s="52"/>
      <c r="P16" s="52"/>
    </row>
    <row r="17" spans="1:16">
      <c r="B17" s="494"/>
      <c r="C17" s="52"/>
      <c r="D17" s="494"/>
      <c r="E17" s="494"/>
      <c r="F17" s="52"/>
      <c r="G17" s="494"/>
      <c r="H17" s="494"/>
      <c r="I17" s="52"/>
      <c r="J17" s="52"/>
      <c r="K17" s="52"/>
      <c r="L17" s="52"/>
      <c r="M17" s="52"/>
      <c r="N17" s="52"/>
      <c r="O17" s="52"/>
      <c r="P17" s="52"/>
    </row>
    <row r="18" spans="1:16">
      <c r="B18" s="494"/>
      <c r="C18" s="52"/>
      <c r="D18" s="494"/>
      <c r="E18" s="494"/>
      <c r="F18" s="52"/>
      <c r="G18" s="494"/>
      <c r="H18" s="494"/>
      <c r="I18" s="52"/>
      <c r="J18" s="52"/>
      <c r="K18" s="52"/>
      <c r="L18" s="52"/>
      <c r="M18" s="52"/>
      <c r="N18" s="52"/>
      <c r="O18" s="52"/>
      <c r="P18" s="52"/>
    </row>
    <row r="19" spans="1:16">
      <c r="B19" s="494"/>
      <c r="C19" s="52"/>
      <c r="D19" s="494"/>
      <c r="E19" s="494"/>
      <c r="F19" s="52"/>
      <c r="G19" s="494"/>
      <c r="H19" s="494"/>
      <c r="I19" s="52"/>
      <c r="J19" s="52"/>
      <c r="K19" s="52"/>
      <c r="L19" s="52"/>
      <c r="M19" s="52"/>
      <c r="N19" s="52"/>
      <c r="O19" s="52"/>
      <c r="P19" s="52"/>
    </row>
    <row r="20" spans="1:16">
      <c r="B20" s="494"/>
      <c r="C20" s="52"/>
      <c r="D20" s="494"/>
      <c r="E20" s="494"/>
      <c r="F20" s="52"/>
      <c r="G20" s="494"/>
      <c r="H20" s="494"/>
      <c r="I20" s="52"/>
      <c r="J20" s="52"/>
      <c r="K20" s="52"/>
      <c r="L20" s="52"/>
      <c r="M20" s="52"/>
      <c r="N20" s="52"/>
      <c r="O20" s="52"/>
      <c r="P20" s="52"/>
    </row>
    <row r="21" spans="1:16">
      <c r="B21" s="494"/>
      <c r="C21" s="52"/>
      <c r="D21" s="494"/>
      <c r="E21" s="494"/>
      <c r="F21" s="52"/>
      <c r="G21" s="494"/>
      <c r="H21" s="494"/>
      <c r="I21" s="52"/>
      <c r="J21" s="52"/>
      <c r="K21" s="52"/>
      <c r="L21" s="52"/>
      <c r="M21" s="52"/>
      <c r="N21" s="52"/>
      <c r="O21" s="52"/>
      <c r="P21" s="52"/>
    </row>
    <row r="22" spans="1:16">
      <c r="B22" s="494"/>
      <c r="C22" s="52"/>
      <c r="D22" s="494"/>
      <c r="E22" s="494"/>
      <c r="F22" s="52"/>
      <c r="G22" s="494"/>
      <c r="H22" s="494"/>
      <c r="I22" s="52"/>
      <c r="J22" s="52"/>
      <c r="K22" s="52"/>
      <c r="L22" s="52"/>
      <c r="M22" s="52"/>
      <c r="N22" s="52"/>
      <c r="O22" s="52"/>
      <c r="P22" s="52"/>
    </row>
    <row r="23" spans="1:16" ht="15.75" thickBot="1">
      <c r="B23" s="494"/>
      <c r="C23" s="52"/>
      <c r="D23" s="494"/>
      <c r="E23" s="494"/>
      <c r="F23" s="52"/>
      <c r="G23" s="494"/>
      <c r="H23" s="494"/>
      <c r="I23" s="52"/>
      <c r="J23" s="52"/>
      <c r="K23" s="52"/>
      <c r="L23" s="52"/>
      <c r="M23" s="52"/>
      <c r="N23" s="52"/>
      <c r="O23" s="52"/>
      <c r="P23" s="52"/>
    </row>
    <row r="24" spans="1:16" ht="15.75" thickBot="1">
      <c r="A24" s="497" t="s">
        <v>576</v>
      </c>
    </row>
    <row r="26" spans="1:16" s="490" customFormat="1">
      <c r="A26" s="499" t="s">
        <v>525</v>
      </c>
      <c r="B26" s="499">
        <f t="shared" ref="B26:H26" si="0">SUM(B4:B23)</f>
        <v>0</v>
      </c>
      <c r="C26" s="499"/>
      <c r="D26" s="499">
        <f t="shared" si="0"/>
        <v>0</v>
      </c>
      <c r="E26" s="499">
        <f t="shared" si="0"/>
        <v>0</v>
      </c>
      <c r="F26" s="499"/>
      <c r="G26" s="499">
        <f t="shared" si="0"/>
        <v>0</v>
      </c>
      <c r="H26" s="499">
        <f t="shared" si="0"/>
        <v>0</v>
      </c>
      <c r="I26" s="499"/>
      <c r="J26" s="499"/>
      <c r="K26" s="499"/>
      <c r="L26" s="499"/>
      <c r="M26" s="499"/>
      <c r="N26" s="499"/>
      <c r="O26" s="499"/>
      <c r="P26" s="499"/>
    </row>
    <row r="27" spans="1:16" s="490" customFormat="1">
      <c r="A27" s="499" t="s">
        <v>594</v>
      </c>
      <c r="B27" s="499">
        <f>B26</f>
        <v>0</v>
      </c>
      <c r="C27" s="499"/>
      <c r="D27" s="499">
        <f>D26</f>
        <v>0</v>
      </c>
      <c r="E27" s="499">
        <f>E26</f>
        <v>0</v>
      </c>
      <c r="F27" s="499"/>
      <c r="G27" s="499">
        <f>(1-transport!C35)*'Eigen vloot'!G26</f>
        <v>0</v>
      </c>
      <c r="H27" s="499">
        <f>(1-transport!C42)*'Eigen vloot'!H26</f>
        <v>0</v>
      </c>
      <c r="I27" s="499"/>
      <c r="J27" s="499"/>
      <c r="K27" s="499"/>
      <c r="L27" s="499"/>
      <c r="M27" s="715">
        <f>G26*transport!C35+'Eigen vloot'!H26*transport!C42</f>
        <v>0</v>
      </c>
      <c r="N27" s="499"/>
      <c r="O27" s="499"/>
      <c r="P27" s="499"/>
    </row>
    <row r="29" spans="1:16">
      <c r="A29" s="504" t="s">
        <v>603</v>
      </c>
      <c r="B29" s="529">
        <f ca="1">'EF ele_warmte'!B12</f>
        <v>0.19850584335491533</v>
      </c>
      <c r="C29" s="529">
        <f ca="1">'EF ele_warmte'!B22</f>
        <v>0</v>
      </c>
      <c r="D29" s="529">
        <f>EF_CO2_aardgas</f>
        <v>0.20200000000000001</v>
      </c>
      <c r="E29" s="529">
        <f>EF_VLgas_CO2</f>
        <v>0.22700000000000001</v>
      </c>
      <c r="F29" s="529">
        <f>EF_stookolie_CO2</f>
        <v>0.26700000000000002</v>
      </c>
      <c r="G29" s="529">
        <f>EF_diesel_CO2</f>
        <v>0.26700000000000002</v>
      </c>
      <c r="H29" s="529">
        <f>EF_benzine_CO2</f>
        <v>0.249</v>
      </c>
      <c r="I29" s="529">
        <f>EF_bruinkool_CO2</f>
        <v>0.35099999999999998</v>
      </c>
      <c r="J29" s="529">
        <f>EF_steenkool_CO2</f>
        <v>0.35399999999999998</v>
      </c>
      <c r="K29" s="529">
        <f>EF_anderfossiel_CO2</f>
        <v>0.26400000000000001</v>
      </c>
      <c r="L29" s="529">
        <f>'EF brandstof'!J4</f>
        <v>0</v>
      </c>
      <c r="M29" s="529">
        <f>'EF brandstof'!K4</f>
        <v>0</v>
      </c>
      <c r="N29" s="529">
        <f>'EF brandstof'!L4</f>
        <v>0</v>
      </c>
      <c r="O29" s="529">
        <v>0</v>
      </c>
      <c r="P29" s="529">
        <v>0</v>
      </c>
    </row>
    <row r="31" spans="1:16">
      <c r="A31" s="499" t="s">
        <v>213</v>
      </c>
      <c r="B31" s="716">
        <f ca="1">B27*B29</f>
        <v>0</v>
      </c>
      <c r="C31" s="716"/>
      <c r="D31" s="716">
        <f>D27*D29</f>
        <v>0</v>
      </c>
      <c r="E31" s="716">
        <f>E27*E29</f>
        <v>0</v>
      </c>
      <c r="F31" s="716"/>
      <c r="G31" s="716">
        <f>G27*G29</f>
        <v>0</v>
      </c>
      <c r="H31" s="716">
        <f>H27*H29</f>
        <v>0</v>
      </c>
      <c r="I31" s="716"/>
      <c r="J31" s="716"/>
      <c r="K31" s="716"/>
      <c r="L31" s="716"/>
      <c r="M31" s="716">
        <f>M27*M29</f>
        <v>0</v>
      </c>
      <c r="N31" s="527"/>
      <c r="O31" s="527"/>
      <c r="P31" s="52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522</v>
      </c>
      <c r="B2" s="530"/>
      <c r="C2" s="185"/>
      <c r="D2" s="186"/>
    </row>
    <row r="3" spans="1:11">
      <c r="A3" s="101"/>
      <c r="B3" s="531"/>
      <c r="C3" s="141" t="s">
        <v>182</v>
      </c>
      <c r="D3" s="144" t="s">
        <v>391</v>
      </c>
    </row>
    <row r="4" spans="1:11">
      <c r="A4" s="44" t="s">
        <v>441</v>
      </c>
      <c r="B4" s="47"/>
      <c r="C4" s="32"/>
      <c r="D4" s="143" t="s">
        <v>393</v>
      </c>
    </row>
    <row r="5" spans="1:11">
      <c r="A5" s="44"/>
      <c r="B5" s="48"/>
      <c r="C5" s="32"/>
      <c r="D5" s="143"/>
    </row>
    <row r="6" spans="1:11" s="10" customFormat="1" ht="21.75" thickBot="1">
      <c r="A6" s="189" t="s">
        <v>474</v>
      </c>
      <c r="B6" s="532"/>
      <c r="C6" s="190"/>
      <c r="D6" s="191"/>
    </row>
    <row r="7" spans="1:11" s="43" customFormat="1" ht="15.75" thickBot="1">
      <c r="B7" s="478"/>
    </row>
    <row r="8" spans="1:11" s="43" customFormat="1">
      <c r="A8" s="184" t="s">
        <v>535</v>
      </c>
      <c r="B8" s="530"/>
      <c r="C8" s="185"/>
      <c r="D8" s="186"/>
    </row>
    <row r="9" spans="1:11" s="32" customFormat="1">
      <c r="A9" s="46"/>
      <c r="B9" s="533"/>
      <c r="C9" s="42"/>
      <c r="D9" s="303"/>
    </row>
    <row r="10" spans="1:11">
      <c r="A10" s="304" t="s">
        <v>564</v>
      </c>
      <c r="B10" s="531"/>
      <c r="C10" s="141" t="s">
        <v>182</v>
      </c>
      <c r="D10" s="144" t="s">
        <v>391</v>
      </c>
      <c r="I10" s="1174"/>
      <c r="K10" s="58"/>
    </row>
    <row r="11" spans="1:11" s="43" customFormat="1">
      <c r="A11" s="44" t="s">
        <v>565</v>
      </c>
      <c r="B11" s="47"/>
      <c r="D11" s="142" t="s">
        <v>392</v>
      </c>
      <c r="I11" s="1174"/>
      <c r="K11" s="58"/>
    </row>
    <row r="12" spans="1:11" s="43" customFormat="1">
      <c r="A12" s="44" t="s">
        <v>566</v>
      </c>
      <c r="B12" s="47"/>
      <c r="D12" s="142" t="s">
        <v>392</v>
      </c>
      <c r="I12" s="1174"/>
      <c r="K12" s="58"/>
    </row>
    <row r="13" spans="1:11" s="43" customFormat="1">
      <c r="A13" s="44"/>
      <c r="B13" s="478"/>
      <c r="D13" s="96"/>
      <c r="I13" s="1174"/>
    </row>
    <row r="14" spans="1:11" s="43" customFormat="1">
      <c r="A14" s="304" t="s">
        <v>563</v>
      </c>
      <c r="B14" s="531"/>
      <c r="C14" s="141" t="s">
        <v>182</v>
      </c>
      <c r="D14" s="144" t="s">
        <v>391</v>
      </c>
      <c r="I14" s="1174"/>
    </row>
    <row r="15" spans="1:11" s="43" customFormat="1">
      <c r="A15" s="44" t="s">
        <v>71</v>
      </c>
      <c r="B15" s="47"/>
      <c r="D15" s="142" t="s">
        <v>392</v>
      </c>
      <c r="I15" s="1174"/>
      <c r="J15" s="1174"/>
    </row>
    <row r="16" spans="1:11" s="43" customFormat="1">
      <c r="A16" s="44" t="s">
        <v>527</v>
      </c>
      <c r="B16" s="47"/>
      <c r="D16" s="142" t="s">
        <v>392</v>
      </c>
      <c r="I16" s="1174"/>
      <c r="J16" s="1174"/>
    </row>
    <row r="17" spans="1:11" s="43" customFormat="1">
      <c r="A17" s="44" t="s">
        <v>78</v>
      </c>
      <c r="B17" s="47"/>
      <c r="D17" s="142" t="s">
        <v>392</v>
      </c>
      <c r="I17" s="1174"/>
      <c r="J17" s="1174"/>
    </row>
    <row r="18" spans="1:11" s="43" customFormat="1">
      <c r="A18" s="44" t="s">
        <v>528</v>
      </c>
      <c r="B18" s="47"/>
      <c r="D18" s="142" t="s">
        <v>392</v>
      </c>
      <c r="I18" s="1174"/>
      <c r="J18" s="1174"/>
      <c r="K18" s="58"/>
    </row>
    <row r="19" spans="1:11" s="43" customFormat="1">
      <c r="A19" s="44" t="s">
        <v>77</v>
      </c>
      <c r="B19" s="47"/>
      <c r="D19" s="142" t="s">
        <v>392</v>
      </c>
      <c r="I19" s="1174"/>
      <c r="J19" s="1175"/>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4"/>
      <c r="C26" s="108"/>
      <c r="D26" s="109"/>
      <c r="I26" s="58"/>
      <c r="J26" s="58"/>
      <c r="K26" s="58"/>
    </row>
    <row r="28" spans="1:11" ht="15.75" thickBot="1"/>
    <row r="29" spans="1:11" s="43" customFormat="1">
      <c r="A29" s="184" t="s">
        <v>523</v>
      </c>
      <c r="B29" s="530"/>
      <c r="C29" s="185"/>
      <c r="D29" s="186"/>
    </row>
    <row r="30" spans="1:11" s="32" customFormat="1">
      <c r="A30" s="46"/>
      <c r="B30" s="533"/>
      <c r="C30" s="42"/>
      <c r="D30" s="303"/>
    </row>
    <row r="31" spans="1:11">
      <c r="A31" s="304" t="s">
        <v>564</v>
      </c>
      <c r="B31" s="531"/>
      <c r="C31" s="141" t="s">
        <v>182</v>
      </c>
      <c r="D31" s="144" t="s">
        <v>391</v>
      </c>
    </row>
    <row r="32" spans="1:11">
      <c r="A32" s="467" t="s">
        <v>565</v>
      </c>
      <c r="B32" s="47"/>
      <c r="C32" s="48"/>
      <c r="D32" s="142" t="s">
        <v>392</v>
      </c>
    </row>
    <row r="33" spans="1:11">
      <c r="A33" s="44"/>
      <c r="B33" s="48"/>
      <c r="C33" s="48"/>
      <c r="D33" s="142"/>
    </row>
    <row r="34" spans="1:11" s="43" customFormat="1">
      <c r="A34" s="304" t="s">
        <v>563</v>
      </c>
      <c r="B34" s="531"/>
      <c r="C34" s="141" t="s">
        <v>182</v>
      </c>
      <c r="D34" s="144" t="s">
        <v>391</v>
      </c>
      <c r="I34"/>
    </row>
    <row r="35" spans="1:11" s="43" customFormat="1">
      <c r="A35" s="466" t="s">
        <v>71</v>
      </c>
      <c r="B35" s="47"/>
      <c r="D35" s="142" t="s">
        <v>392</v>
      </c>
      <c r="I35" s="1174"/>
      <c r="J35" s="1174"/>
    </row>
    <row r="36" spans="1:11" s="43" customFormat="1">
      <c r="A36" s="466" t="s">
        <v>527</v>
      </c>
      <c r="B36" s="47"/>
      <c r="D36" s="142" t="s">
        <v>392</v>
      </c>
      <c r="I36" s="1174"/>
      <c r="J36" s="1174"/>
    </row>
    <row r="37" spans="1:11" s="43" customFormat="1">
      <c r="A37" s="466" t="s">
        <v>78</v>
      </c>
      <c r="B37" s="47"/>
      <c r="D37" s="142" t="s">
        <v>392</v>
      </c>
      <c r="I37" s="1174"/>
      <c r="J37" s="1174"/>
    </row>
    <row r="38" spans="1:11" s="43" customFormat="1">
      <c r="A38" s="466" t="s">
        <v>528</v>
      </c>
      <c r="B38" s="47"/>
      <c r="D38" s="142" t="s">
        <v>392</v>
      </c>
      <c r="I38" s="1174"/>
      <c r="J38" s="1174"/>
      <c r="K38" s="58"/>
    </row>
    <row r="39" spans="1:11" s="43" customFormat="1">
      <c r="A39" s="466" t="s">
        <v>77</v>
      </c>
      <c r="B39" s="47"/>
      <c r="D39" s="142" t="s">
        <v>392</v>
      </c>
      <c r="I39" s="1174"/>
      <c r="J39" s="1175"/>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0"/>
      <c r="C48" s="185"/>
      <c r="D48" s="186"/>
    </row>
    <row r="49" spans="1:4">
      <c r="A49" s="101"/>
      <c r="B49" s="531"/>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30"/>
      <c r="C55" s="185"/>
      <c r="D55" s="186"/>
    </row>
    <row r="56" spans="1:4">
      <c r="A56" s="101"/>
      <c r="B56" s="531"/>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7" t="s">
        <v>589</v>
      </c>
      <c r="B1" s="678"/>
      <c r="C1" s="678"/>
      <c r="D1" s="678"/>
      <c r="E1" s="679"/>
    </row>
    <row r="2" spans="1:5">
      <c r="A2" s="690" t="s">
        <v>394</v>
      </c>
      <c r="B2" s="695" t="s">
        <v>514</v>
      </c>
      <c r="C2" s="691"/>
      <c r="D2" s="691"/>
      <c r="E2" s="692"/>
    </row>
    <row r="3" spans="1:5">
      <c r="A3" s="693"/>
      <c r="B3" s="694"/>
      <c r="C3" s="682"/>
      <c r="D3" s="682"/>
      <c r="E3" s="683"/>
    </row>
    <row r="4" spans="1:5" s="334" customFormat="1" ht="45">
      <c r="A4" s="681" t="s">
        <v>593</v>
      </c>
      <c r="B4" s="689" t="s">
        <v>582</v>
      </c>
      <c r="C4" s="710" t="s">
        <v>604</v>
      </c>
      <c r="D4" s="711" t="s">
        <v>605</v>
      </c>
      <c r="E4" s="712" t="s">
        <v>606</v>
      </c>
    </row>
    <row r="5" spans="1:5">
      <c r="A5" s="684" t="s">
        <v>583</v>
      </c>
      <c r="B5" s="676" t="s">
        <v>584</v>
      </c>
      <c r="C5" s="707">
        <v>3.678273E-2</v>
      </c>
      <c r="D5" s="708">
        <v>0.27778000000000003</v>
      </c>
      <c r="E5" s="700">
        <f>C5*D5</f>
        <v>1.0217506739400001E-2</v>
      </c>
    </row>
    <row r="6" spans="1:5">
      <c r="A6" s="684" t="s">
        <v>583</v>
      </c>
      <c r="B6" s="676" t="s">
        <v>585</v>
      </c>
      <c r="C6" s="707">
        <v>4.2278999999999997E-2</v>
      </c>
      <c r="D6" s="708">
        <v>0.27778000000000003</v>
      </c>
      <c r="E6" s="700">
        <f t="shared" ref="E6:E21" si="0">C6*D6</f>
        <v>1.174426062E-2</v>
      </c>
    </row>
    <row r="7" spans="1:5">
      <c r="A7" s="684" t="s">
        <v>583</v>
      </c>
      <c r="B7" s="676" t="s">
        <v>586</v>
      </c>
      <c r="C7" s="707">
        <v>42.279000000000003</v>
      </c>
      <c r="D7" s="708">
        <v>0.27778000000000003</v>
      </c>
      <c r="E7" s="700">
        <f t="shared" si="0"/>
        <v>11.744260620000002</v>
      </c>
    </row>
    <row r="8" spans="1:5">
      <c r="A8" s="684" t="s">
        <v>587</v>
      </c>
      <c r="B8" s="676" t="s">
        <v>584</v>
      </c>
      <c r="C8" s="707">
        <v>3.8573799999999998E-2</v>
      </c>
      <c r="D8" s="708">
        <v>0.27778000000000003</v>
      </c>
      <c r="E8" s="700">
        <f t="shared" si="0"/>
        <v>1.0715030164E-2</v>
      </c>
    </row>
    <row r="9" spans="1:5">
      <c r="A9" s="684" t="s">
        <v>587</v>
      </c>
      <c r="B9" s="676" t="s">
        <v>585</v>
      </c>
      <c r="C9" s="707">
        <v>4.0604000000000001E-2</v>
      </c>
      <c r="D9" s="708">
        <v>0.27778000000000003</v>
      </c>
      <c r="E9" s="700">
        <f t="shared" si="0"/>
        <v>1.1278979120000001E-2</v>
      </c>
    </row>
    <row r="10" spans="1:5">
      <c r="A10" s="684" t="s">
        <v>587</v>
      </c>
      <c r="B10" s="676" t="s">
        <v>586</v>
      </c>
      <c r="C10" s="707">
        <v>40.603999999999999</v>
      </c>
      <c r="D10" s="708">
        <v>0.27778000000000003</v>
      </c>
      <c r="E10" s="700">
        <f t="shared" si="0"/>
        <v>11.278979120000001</v>
      </c>
    </row>
    <row r="11" spans="1:5">
      <c r="A11" s="684" t="s">
        <v>607</v>
      </c>
      <c r="B11" s="676" t="s">
        <v>584</v>
      </c>
      <c r="C11" s="707">
        <v>2.3511000000000001E-2</v>
      </c>
      <c r="D11" s="708">
        <v>0.27778000000000003</v>
      </c>
      <c r="E11" s="700">
        <f t="shared" si="0"/>
        <v>6.5308855800000004E-3</v>
      </c>
    </row>
    <row r="12" spans="1:5">
      <c r="A12" s="684" t="s">
        <v>607</v>
      </c>
      <c r="B12" s="676" t="s">
        <v>585</v>
      </c>
      <c r="C12" s="707">
        <v>4.6100000000000002E-2</v>
      </c>
      <c r="D12" s="708">
        <v>0.27778000000000003</v>
      </c>
      <c r="E12" s="700">
        <f t="shared" si="0"/>
        <v>1.2805658000000001E-2</v>
      </c>
    </row>
    <row r="13" spans="1:5">
      <c r="A13" s="684" t="s">
        <v>607</v>
      </c>
      <c r="B13" s="676" t="s">
        <v>586</v>
      </c>
      <c r="C13" s="707">
        <v>46.1</v>
      </c>
      <c r="D13" s="708">
        <v>0.27778000000000003</v>
      </c>
      <c r="E13" s="700">
        <f t="shared" si="0"/>
        <v>12.805658000000001</v>
      </c>
    </row>
    <row r="14" spans="1:5">
      <c r="A14" s="684" t="s">
        <v>608</v>
      </c>
      <c r="B14" s="676" t="s">
        <v>584</v>
      </c>
      <c r="C14" s="707">
        <v>2.6525139999999999E-2</v>
      </c>
      <c r="D14" s="708">
        <v>0.27778000000000003</v>
      </c>
      <c r="E14" s="700">
        <f t="shared" si="0"/>
        <v>7.3681533892000009E-3</v>
      </c>
    </row>
    <row r="15" spans="1:5">
      <c r="A15" s="684" t="s">
        <v>608</v>
      </c>
      <c r="B15" s="676" t="s">
        <v>585</v>
      </c>
      <c r="C15" s="707">
        <v>4.5733000000000003E-2</v>
      </c>
      <c r="D15" s="708">
        <v>0.27778000000000003</v>
      </c>
      <c r="E15" s="700">
        <f t="shared" si="0"/>
        <v>1.2703712740000001E-2</v>
      </c>
    </row>
    <row r="16" spans="1:5">
      <c r="A16" s="684" t="s">
        <v>608</v>
      </c>
      <c r="B16" s="676" t="s">
        <v>586</v>
      </c>
      <c r="C16" s="707">
        <v>45.732999999999997</v>
      </c>
      <c r="D16" s="708">
        <v>0.27778000000000003</v>
      </c>
      <c r="E16" s="700">
        <f t="shared" si="0"/>
        <v>12.70371274</v>
      </c>
    </row>
    <row r="17" spans="1:10">
      <c r="A17" s="684" t="s">
        <v>591</v>
      </c>
      <c r="B17" s="676" t="s">
        <v>588</v>
      </c>
      <c r="C17" s="707">
        <v>3.2923000000000001E-2</v>
      </c>
      <c r="D17" s="708">
        <f>0.27778</f>
        <v>0.27778000000000003</v>
      </c>
      <c r="E17" s="700">
        <f t="shared" si="0"/>
        <v>9.1453509400000015E-3</v>
      </c>
    </row>
    <row r="18" spans="1:10">
      <c r="A18" s="684" t="s">
        <v>592</v>
      </c>
      <c r="B18" s="676" t="s">
        <v>588</v>
      </c>
      <c r="C18" s="707">
        <v>3.8852400000000002E-2</v>
      </c>
      <c r="D18" s="708">
        <f>0.27778</f>
        <v>0.27778000000000003</v>
      </c>
      <c r="E18" s="700">
        <f t="shared" si="0"/>
        <v>1.0792419672000002E-2</v>
      </c>
    </row>
    <row r="19" spans="1:10">
      <c r="A19" s="684" t="s">
        <v>595</v>
      </c>
      <c r="B19" s="676" t="s">
        <v>584</v>
      </c>
      <c r="C19" s="707">
        <v>2.4812460000000001E-2</v>
      </c>
      <c r="D19" s="708">
        <v>0.27778000000000003</v>
      </c>
      <c r="E19" s="700">
        <f t="shared" si="0"/>
        <v>6.8924051388000009E-3</v>
      </c>
    </row>
    <row r="20" spans="1:10">
      <c r="A20" s="684" t="s">
        <v>595</v>
      </c>
      <c r="B20" s="676" t="s">
        <v>585</v>
      </c>
      <c r="C20" s="707">
        <v>4.5948999999999997E-2</v>
      </c>
      <c r="D20" s="708">
        <v>0.27778000000000003</v>
      </c>
      <c r="E20" s="700">
        <f t="shared" si="0"/>
        <v>1.276371322E-2</v>
      </c>
    </row>
    <row r="21" spans="1:10">
      <c r="A21" s="684" t="s">
        <v>595</v>
      </c>
      <c r="B21" s="676" t="s">
        <v>586</v>
      </c>
      <c r="C21" s="707">
        <v>45.948999999999998</v>
      </c>
      <c r="D21" s="708">
        <v>0.27778000000000003</v>
      </c>
      <c r="E21" s="700">
        <f t="shared" si="0"/>
        <v>12.763713220000001</v>
      </c>
    </row>
    <row r="22" spans="1:10" ht="15.75" thickBot="1">
      <c r="A22" s="705"/>
      <c r="B22" s="687"/>
      <c r="C22" s="709"/>
      <c r="D22" s="709"/>
      <c r="E22" s="688"/>
    </row>
    <row r="23" spans="1:10" ht="15.75" thickBot="1">
      <c r="A23" s="680"/>
      <c r="B23" s="680"/>
      <c r="C23" s="680"/>
      <c r="D23" s="680"/>
      <c r="E23" s="680"/>
    </row>
    <row r="24" spans="1:10" ht="15.75" thickBot="1">
      <c r="A24" s="677" t="s">
        <v>590</v>
      </c>
      <c r="B24" s="678"/>
      <c r="C24" s="678"/>
      <c r="D24" s="678"/>
      <c r="E24" s="679"/>
    </row>
    <row r="25" spans="1:10">
      <c r="A25" s="704" t="s">
        <v>394</v>
      </c>
      <c r="B25" s="682" t="s">
        <v>651</v>
      </c>
      <c r="C25" s="682"/>
      <c r="D25" s="682"/>
      <c r="E25" s="683"/>
    </row>
    <row r="26" spans="1:10">
      <c r="A26" s="44"/>
      <c r="B26" s="43"/>
      <c r="C26" s="43"/>
      <c r="D26" s="43"/>
      <c r="E26" s="96"/>
    </row>
    <row r="27" spans="1:10" s="334" customFormat="1">
      <c r="A27" s="681" t="s">
        <v>593</v>
      </c>
      <c r="B27" s="689" t="s">
        <v>582</v>
      </c>
      <c r="C27" s="697"/>
      <c r="D27" s="696"/>
      <c r="E27" s="712" t="s">
        <v>597</v>
      </c>
    </row>
    <row r="28" spans="1:10">
      <c r="A28" s="684" t="s">
        <v>202</v>
      </c>
      <c r="B28" s="676" t="s">
        <v>584</v>
      </c>
      <c r="C28" s="698"/>
      <c r="D28" s="699"/>
      <c r="E28" s="706">
        <f>E29*0.853</f>
        <v>1.0116343055555555E-2</v>
      </c>
      <c r="G28" s="680"/>
      <c r="H28" s="852"/>
      <c r="I28" s="852"/>
      <c r="J28" s="852"/>
    </row>
    <row r="29" spans="1:10">
      <c r="A29" s="684" t="s">
        <v>202</v>
      </c>
      <c r="B29" s="676" t="s">
        <v>585</v>
      </c>
      <c r="C29" s="698"/>
      <c r="D29" s="699"/>
      <c r="E29" s="706">
        <f>0.042695/3.6</f>
        <v>1.1859722222222221E-2</v>
      </c>
      <c r="F29" s="984"/>
      <c r="G29" s="680"/>
      <c r="H29" s="852"/>
      <c r="I29" s="852"/>
      <c r="J29" s="852"/>
    </row>
    <row r="30" spans="1:10">
      <c r="A30" s="684" t="s">
        <v>120</v>
      </c>
      <c r="B30" s="676" t="s">
        <v>584</v>
      </c>
      <c r="C30" s="698"/>
      <c r="D30" s="699"/>
      <c r="E30" s="706">
        <f>E31*0.755</f>
        <v>9.1803805555555566E-3</v>
      </c>
      <c r="H30" s="852"/>
      <c r="I30" s="852"/>
      <c r="J30" s="852"/>
    </row>
    <row r="31" spans="1:10">
      <c r="A31" s="684" t="s">
        <v>120</v>
      </c>
      <c r="B31" s="676" t="s">
        <v>585</v>
      </c>
      <c r="C31" s="698"/>
      <c r="D31" s="699"/>
      <c r="E31" s="706">
        <f>0.043774/3.6</f>
        <v>1.2159444444444445E-2</v>
      </c>
      <c r="H31" s="852"/>
      <c r="I31" s="852"/>
      <c r="J31" s="852"/>
    </row>
    <row r="32" spans="1:10">
      <c r="A32" s="684" t="s">
        <v>595</v>
      </c>
      <c r="B32" s="676" t="s">
        <v>584</v>
      </c>
      <c r="C32" s="698"/>
      <c r="D32" s="699"/>
      <c r="E32" s="706">
        <f>E33*0.55</f>
        <v>7.1139444444444453E-3</v>
      </c>
      <c r="H32" s="852"/>
    </row>
    <row r="33" spans="1:8">
      <c r="A33" s="684" t="s">
        <v>595</v>
      </c>
      <c r="B33" s="676" t="s">
        <v>585</v>
      </c>
      <c r="C33" s="698"/>
      <c r="D33" s="699"/>
      <c r="E33" s="706">
        <f>0.046564/3.6</f>
        <v>1.2934444444444445E-2</v>
      </c>
      <c r="H33" s="852"/>
    </row>
    <row r="34" spans="1:8">
      <c r="A34" s="684" t="s">
        <v>596</v>
      </c>
      <c r="B34" s="676" t="s">
        <v>584</v>
      </c>
      <c r="C34" s="698"/>
      <c r="D34" s="699"/>
      <c r="E34" s="706">
        <f>E35*0.0007</f>
        <v>9.3333333333333326E-6</v>
      </c>
      <c r="H34" s="852"/>
    </row>
    <row r="35" spans="1:8">
      <c r="A35" s="684" t="s">
        <v>596</v>
      </c>
      <c r="B35" s="676" t="s">
        <v>585</v>
      </c>
      <c r="C35" s="698"/>
      <c r="D35" s="699"/>
      <c r="E35" s="706">
        <f>0.048/3.6</f>
        <v>1.3333333333333332E-2</v>
      </c>
      <c r="H35" s="852"/>
    </row>
    <row r="36" spans="1:8" ht="15.75" thickBot="1">
      <c r="A36" s="685"/>
      <c r="B36" s="686"/>
      <c r="C36" s="701"/>
      <c r="D36" s="702"/>
      <c r="E36" s="703"/>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37018</v>
      </c>
      <c r="B1" s="332"/>
      <c r="C1" s="332"/>
      <c r="D1" s="332"/>
      <c r="E1" s="332"/>
      <c r="F1" s="333"/>
    </row>
    <row r="3" spans="1:6" ht="19.5">
      <c r="A3" s="335" t="s">
        <v>0</v>
      </c>
    </row>
    <row r="4" spans="1:6" ht="22.5">
      <c r="A4" s="1270" t="s">
        <v>836</v>
      </c>
    </row>
    <row r="5" spans="1:6" ht="22.5">
      <c r="A5" s="1270" t="s">
        <v>837</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5696</v>
      </c>
      <c r="C9" s="342">
        <v>5956</v>
      </c>
      <c r="D9" s="342"/>
      <c r="E9" s="342"/>
      <c r="F9" s="342"/>
    </row>
    <row r="10" spans="1:6">
      <c r="A10" s="343"/>
    </row>
    <row r="11" spans="1:6" ht="15.75" thickBot="1">
      <c r="A11" s="343"/>
    </row>
    <row r="12" spans="1:6" ht="20.25" thickBot="1">
      <c r="A12" s="336" t="s">
        <v>3</v>
      </c>
      <c r="B12" s="337" t="s">
        <v>394</v>
      </c>
      <c r="C12" s="337" t="s">
        <v>793</v>
      </c>
      <c r="D12" s="337"/>
      <c r="E12" s="337"/>
      <c r="F12" s="344"/>
    </row>
    <row r="13" spans="1:6" ht="16.5" thickTop="1" thickBot="1">
      <c r="A13" s="345" t="s">
        <v>4</v>
      </c>
      <c r="B13" s="346" t="s">
        <v>5</v>
      </c>
      <c r="C13" s="346"/>
      <c r="D13" s="346"/>
      <c r="E13" s="346"/>
      <c r="F13" s="347"/>
    </row>
    <row r="14" spans="1:6">
      <c r="A14" s="348" t="s">
        <v>676</v>
      </c>
      <c r="B14" s="334">
        <v>4718.59</v>
      </c>
    </row>
    <row r="15" spans="1:6">
      <c r="A15" s="348" t="s">
        <v>184</v>
      </c>
      <c r="B15" s="334">
        <v>691</v>
      </c>
    </row>
    <row r="16" spans="1:6">
      <c r="A16" s="348" t="s">
        <v>6</v>
      </c>
      <c r="B16" s="334">
        <v>3235</v>
      </c>
    </row>
    <row r="17" spans="1:6">
      <c r="A17" s="348" t="s">
        <v>7</v>
      </c>
      <c r="B17" s="334">
        <v>2536</v>
      </c>
    </row>
    <row r="18" spans="1:6">
      <c r="A18" s="348" t="s">
        <v>8</v>
      </c>
      <c r="B18" s="334">
        <v>3537</v>
      </c>
    </row>
    <row r="19" spans="1:6">
      <c r="A19" s="348" t="s">
        <v>9</v>
      </c>
      <c r="B19" s="334">
        <v>3206</v>
      </c>
    </row>
    <row r="20" spans="1:6">
      <c r="A20" s="348" t="s">
        <v>10</v>
      </c>
      <c r="B20" s="334">
        <v>2060</v>
      </c>
    </row>
    <row r="21" spans="1:6">
      <c r="A21" s="348" t="s">
        <v>11</v>
      </c>
      <c r="B21" s="334">
        <v>33278</v>
      </c>
    </row>
    <row r="22" spans="1:6">
      <c r="A22" s="348" t="s">
        <v>12</v>
      </c>
      <c r="B22" s="334">
        <v>123020</v>
      </c>
    </row>
    <row r="23" spans="1:6">
      <c r="A23" s="348" t="s">
        <v>13</v>
      </c>
      <c r="B23" s="334">
        <v>3457</v>
      </c>
    </row>
    <row r="24" spans="1:6">
      <c r="A24" s="348" t="s">
        <v>14</v>
      </c>
      <c r="B24" s="334">
        <v>74</v>
      </c>
    </row>
    <row r="25" spans="1:6">
      <c r="A25" s="348" t="s">
        <v>15</v>
      </c>
      <c r="B25" s="334">
        <v>10549</v>
      </c>
    </row>
    <row r="26" spans="1:6">
      <c r="A26" s="348" t="s">
        <v>16</v>
      </c>
      <c r="B26" s="334">
        <v>169</v>
      </c>
    </row>
    <row r="27" spans="1:6">
      <c r="A27" s="348" t="s">
        <v>17</v>
      </c>
      <c r="B27" s="334">
        <v>1</v>
      </c>
    </row>
    <row r="28" spans="1:6" s="356" customFormat="1">
      <c r="A28" s="355" t="s">
        <v>18</v>
      </c>
      <c r="B28" s="355">
        <v>957797</v>
      </c>
    </row>
    <row r="29" spans="1:6">
      <c r="A29" s="355" t="s">
        <v>744</v>
      </c>
      <c r="B29" s="355">
        <v>167</v>
      </c>
      <c r="C29" s="356"/>
      <c r="D29" s="356"/>
      <c r="E29" s="356"/>
      <c r="F29" s="356"/>
    </row>
    <row r="30" spans="1:6">
      <c r="A30" s="341" t="s">
        <v>745</v>
      </c>
      <c r="B30" s="341">
        <v>25</v>
      </c>
      <c r="C30" s="342"/>
      <c r="D30" s="342"/>
      <c r="E30" s="342"/>
      <c r="F30" s="342"/>
    </row>
    <row r="31" spans="1:6" ht="15.75" thickBot="1">
      <c r="A31" s="343"/>
    </row>
    <row r="32" spans="1:6" ht="20.25" thickBot="1">
      <c r="A32" s="336" t="s">
        <v>19</v>
      </c>
      <c r="B32" s="337" t="s">
        <v>394</v>
      </c>
      <c r="C32" s="337" t="s">
        <v>838</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2</v>
      </c>
      <c r="D38" s="334">
        <v>326536.29278154299</v>
      </c>
      <c r="E38" s="334">
        <v>1</v>
      </c>
      <c r="F38" s="334">
        <v>2773</v>
      </c>
    </row>
    <row r="39" spans="1:6">
      <c r="A39" s="348" t="s">
        <v>30</v>
      </c>
      <c r="B39" s="348" t="s">
        <v>31</v>
      </c>
      <c r="C39" s="334">
        <v>3020</v>
      </c>
      <c r="D39" s="334">
        <v>48230300.666740164</v>
      </c>
      <c r="E39" s="334">
        <v>5119</v>
      </c>
      <c r="F39" s="334">
        <v>20691172.84482133</v>
      </c>
    </row>
    <row r="40" spans="1:6">
      <c r="A40" s="348" t="s">
        <v>30</v>
      </c>
      <c r="B40" s="348" t="s">
        <v>29</v>
      </c>
      <c r="C40" s="334">
        <v>0</v>
      </c>
      <c r="D40" s="334">
        <v>0</v>
      </c>
      <c r="E40" s="334">
        <v>0</v>
      </c>
      <c r="F40" s="334">
        <v>0</v>
      </c>
    </row>
    <row r="41" spans="1:6">
      <c r="A41" s="348" t="s">
        <v>32</v>
      </c>
      <c r="B41" s="348" t="s">
        <v>33</v>
      </c>
      <c r="C41" s="334">
        <v>95</v>
      </c>
      <c r="D41" s="334">
        <v>2770523.75519307</v>
      </c>
      <c r="E41" s="334">
        <v>264</v>
      </c>
      <c r="F41" s="334">
        <v>3491067.1102996999</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14</v>
      </c>
      <c r="D44" s="334">
        <v>6608158.6785042696</v>
      </c>
      <c r="E44" s="334">
        <v>56</v>
      </c>
      <c r="F44" s="334">
        <v>9527187.3955518492</v>
      </c>
    </row>
    <row r="45" spans="1:6">
      <c r="A45" s="348" t="s">
        <v>32</v>
      </c>
      <c r="B45" s="348" t="s">
        <v>37</v>
      </c>
      <c r="C45" s="334">
        <v>0</v>
      </c>
      <c r="D45" s="334">
        <v>0</v>
      </c>
      <c r="E45" s="334">
        <v>3</v>
      </c>
      <c r="F45" s="334">
        <v>86436.334336683096</v>
      </c>
    </row>
    <row r="46" spans="1:6">
      <c r="A46" s="348" t="s">
        <v>32</v>
      </c>
      <c r="B46" s="348" t="s">
        <v>38</v>
      </c>
      <c r="C46" s="334">
        <v>0</v>
      </c>
      <c r="D46" s="334">
        <v>0</v>
      </c>
      <c r="E46" s="334">
        <v>0</v>
      </c>
      <c r="F46" s="334">
        <v>0</v>
      </c>
    </row>
    <row r="47" spans="1:6">
      <c r="A47" s="348" t="s">
        <v>32</v>
      </c>
      <c r="B47" s="348" t="s">
        <v>39</v>
      </c>
      <c r="C47" s="334">
        <v>0</v>
      </c>
      <c r="D47" s="334">
        <v>0</v>
      </c>
      <c r="E47" s="334">
        <v>6</v>
      </c>
      <c r="F47" s="334">
        <v>694166.81293957704</v>
      </c>
    </row>
    <row r="48" spans="1:6">
      <c r="A48" s="348" t="s">
        <v>32</v>
      </c>
      <c r="B48" s="348" t="s">
        <v>29</v>
      </c>
      <c r="C48" s="334">
        <v>22</v>
      </c>
      <c r="D48" s="334">
        <v>37804747.986305602</v>
      </c>
      <c r="E48" s="334">
        <v>35</v>
      </c>
      <c r="F48" s="334">
        <v>13910315.4154379</v>
      </c>
    </row>
    <row r="49" spans="1:6">
      <c r="A49" s="348" t="s">
        <v>32</v>
      </c>
      <c r="B49" s="348" t="s">
        <v>40</v>
      </c>
      <c r="C49" s="334">
        <v>0</v>
      </c>
      <c r="D49" s="334">
        <v>0</v>
      </c>
      <c r="E49" s="334">
        <v>0</v>
      </c>
      <c r="F49" s="334">
        <v>0</v>
      </c>
    </row>
    <row r="50" spans="1:6">
      <c r="A50" s="348" t="s">
        <v>32</v>
      </c>
      <c r="B50" s="348" t="s">
        <v>41</v>
      </c>
      <c r="C50" s="334">
        <v>12</v>
      </c>
      <c r="D50" s="334">
        <v>996508.34473799495</v>
      </c>
      <c r="E50" s="334">
        <v>20</v>
      </c>
      <c r="F50" s="334">
        <v>3988624.5905460501</v>
      </c>
    </row>
    <row r="51" spans="1:6">
      <c r="A51" s="348" t="s">
        <v>42</v>
      </c>
      <c r="B51" s="348" t="s">
        <v>43</v>
      </c>
      <c r="C51" s="334">
        <v>16</v>
      </c>
      <c r="D51" s="334">
        <v>2538281.2094195699</v>
      </c>
      <c r="E51" s="334">
        <v>318</v>
      </c>
      <c r="F51" s="334">
        <v>9211369.6669243798</v>
      </c>
    </row>
    <row r="52" spans="1:6">
      <c r="A52" s="348" t="s">
        <v>42</v>
      </c>
      <c r="B52" s="348" t="s">
        <v>29</v>
      </c>
      <c r="C52" s="334">
        <v>5</v>
      </c>
      <c r="D52" s="334">
        <v>1605558.7591300199</v>
      </c>
      <c r="E52" s="334">
        <v>5</v>
      </c>
      <c r="F52" s="334">
        <v>132234.27145921701</v>
      </c>
    </row>
    <row r="53" spans="1:6">
      <c r="A53" s="348" t="s">
        <v>44</v>
      </c>
      <c r="B53" s="348" t="s">
        <v>45</v>
      </c>
      <c r="C53" s="334">
        <v>89</v>
      </c>
      <c r="D53" s="334">
        <v>2568872.1195203401</v>
      </c>
      <c r="E53" s="334">
        <v>203</v>
      </c>
      <c r="F53" s="334">
        <v>813070.02634985396</v>
      </c>
    </row>
    <row r="54" spans="1:6">
      <c r="A54" s="348" t="s">
        <v>46</v>
      </c>
      <c r="B54" s="348" t="s">
        <v>47</v>
      </c>
      <c r="C54" s="334">
        <v>0</v>
      </c>
      <c r="D54" s="334">
        <v>0</v>
      </c>
      <c r="E54" s="334">
        <v>1</v>
      </c>
      <c r="F54" s="334">
        <v>968005</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48</v>
      </c>
      <c r="D57" s="334">
        <v>3900216.46749915</v>
      </c>
      <c r="E57" s="334">
        <v>132</v>
      </c>
      <c r="F57" s="334">
        <v>2366702.9112385302</v>
      </c>
    </row>
    <row r="58" spans="1:6">
      <c r="A58" s="348" t="s">
        <v>49</v>
      </c>
      <c r="B58" s="348" t="s">
        <v>51</v>
      </c>
      <c r="C58" s="334">
        <v>16</v>
      </c>
      <c r="D58" s="334">
        <v>608350.12909910502</v>
      </c>
      <c r="E58" s="334">
        <v>45</v>
      </c>
      <c r="F58" s="334">
        <v>457957.234393452</v>
      </c>
    </row>
    <row r="59" spans="1:6">
      <c r="A59" s="348" t="s">
        <v>49</v>
      </c>
      <c r="B59" s="348" t="s">
        <v>52</v>
      </c>
      <c r="C59" s="334">
        <v>54</v>
      </c>
      <c r="D59" s="334">
        <v>1612319.5693651901</v>
      </c>
      <c r="E59" s="334">
        <v>189</v>
      </c>
      <c r="F59" s="334">
        <v>5246796.1670650598</v>
      </c>
    </row>
    <row r="60" spans="1:6">
      <c r="A60" s="348" t="s">
        <v>49</v>
      </c>
      <c r="B60" s="348" t="s">
        <v>53</v>
      </c>
      <c r="C60" s="334">
        <v>36</v>
      </c>
      <c r="D60" s="334">
        <v>1399833.3197971701</v>
      </c>
      <c r="E60" s="334">
        <v>63</v>
      </c>
      <c r="F60" s="334">
        <v>1175478.08399007</v>
      </c>
    </row>
    <row r="61" spans="1:6">
      <c r="A61" s="348" t="s">
        <v>49</v>
      </c>
      <c r="B61" s="348" t="s">
        <v>54</v>
      </c>
      <c r="C61" s="334">
        <v>69</v>
      </c>
      <c r="D61" s="334">
        <v>2818958.9533971399</v>
      </c>
      <c r="E61" s="334">
        <v>198</v>
      </c>
      <c r="F61" s="334">
        <v>3399750.3412688798</v>
      </c>
    </row>
    <row r="62" spans="1:6">
      <c r="A62" s="348" t="s">
        <v>49</v>
      </c>
      <c r="B62" s="348" t="s">
        <v>55</v>
      </c>
      <c r="C62" s="334">
        <v>8</v>
      </c>
      <c r="D62" s="334">
        <v>442973.96989805601</v>
      </c>
      <c r="E62" s="334">
        <v>14</v>
      </c>
      <c r="F62" s="334">
        <v>130976.893144092</v>
      </c>
    </row>
    <row r="63" spans="1:6">
      <c r="A63" s="348" t="s">
        <v>49</v>
      </c>
      <c r="B63" s="348" t="s">
        <v>29</v>
      </c>
      <c r="C63" s="334">
        <v>96</v>
      </c>
      <c r="D63" s="334">
        <v>3578627.3640720998</v>
      </c>
      <c r="E63" s="334">
        <v>88</v>
      </c>
      <c r="F63" s="334">
        <v>2013673.9475648501</v>
      </c>
    </row>
    <row r="64" spans="1:6">
      <c r="A64" s="348" t="s">
        <v>56</v>
      </c>
      <c r="B64" s="348" t="s">
        <v>57</v>
      </c>
      <c r="C64" s="334">
        <v>0</v>
      </c>
      <c r="D64" s="334">
        <v>0</v>
      </c>
      <c r="E64" s="334">
        <v>0</v>
      </c>
      <c r="F64" s="334">
        <v>0</v>
      </c>
    </row>
    <row r="65" spans="1:6">
      <c r="A65" s="348" t="s">
        <v>56</v>
      </c>
      <c r="B65" s="348" t="s">
        <v>29</v>
      </c>
      <c r="C65" s="334">
        <v>2</v>
      </c>
      <c r="D65" s="334">
        <v>48619.004686104803</v>
      </c>
      <c r="E65" s="334">
        <v>3</v>
      </c>
      <c r="F65" s="334">
        <v>28972.334193311399</v>
      </c>
    </row>
    <row r="66" spans="1:6">
      <c r="A66" s="348" t="s">
        <v>56</v>
      </c>
      <c r="B66" s="348" t="s">
        <v>58</v>
      </c>
      <c r="C66" s="334">
        <v>0</v>
      </c>
      <c r="D66" s="334">
        <v>0</v>
      </c>
      <c r="E66" s="334">
        <v>6</v>
      </c>
      <c r="F66" s="334">
        <v>40722.942674432401</v>
      </c>
    </row>
    <row r="67" spans="1:6">
      <c r="A67" s="355" t="s">
        <v>56</v>
      </c>
      <c r="B67" s="355" t="s">
        <v>59</v>
      </c>
      <c r="C67" s="334">
        <v>0</v>
      </c>
      <c r="D67" s="334">
        <v>0</v>
      </c>
      <c r="E67" s="334">
        <v>0</v>
      </c>
      <c r="F67" s="334">
        <v>0</v>
      </c>
    </row>
    <row r="68" spans="1:6">
      <c r="A68" s="341" t="s">
        <v>56</v>
      </c>
      <c r="B68" s="341" t="s">
        <v>60</v>
      </c>
      <c r="C68" s="334">
        <v>8</v>
      </c>
      <c r="D68" s="334">
        <v>166389.150692397</v>
      </c>
      <c r="E68" s="334">
        <v>26</v>
      </c>
      <c r="F68" s="334">
        <v>1222376.1479623599</v>
      </c>
    </row>
    <row r="69" spans="1:6" ht="15.75" thickBot="1">
      <c r="A69" s="343"/>
    </row>
    <row r="70" spans="1:6" ht="19.5">
      <c r="A70" s="336" t="s">
        <v>61</v>
      </c>
      <c r="B70" s="337"/>
      <c r="C70" s="337" t="s">
        <v>404</v>
      </c>
      <c r="D70" s="337" t="s">
        <v>839</v>
      </c>
      <c r="E70" s="337"/>
      <c r="F70" s="344"/>
    </row>
    <row r="71" spans="1:6" ht="20.25" thickBot="1">
      <c r="A71" s="357"/>
      <c r="B71" s="358"/>
      <c r="C71" s="358"/>
      <c r="D71" s="359" t="s">
        <v>442</v>
      </c>
      <c r="E71" s="358"/>
      <c r="F71" s="360"/>
    </row>
    <row r="72" spans="1:6" ht="16.5" thickTop="1" thickBot="1">
      <c r="A72" s="345" t="s">
        <v>62</v>
      </c>
      <c r="B72" s="346" t="s">
        <v>63</v>
      </c>
      <c r="C72" s="1271" t="s">
        <v>674</v>
      </c>
      <c r="D72" s="361">
        <v>2016</v>
      </c>
      <c r="E72" s="361">
        <v>2020</v>
      </c>
      <c r="F72" s="347"/>
    </row>
    <row r="73" spans="1:6">
      <c r="A73" s="348" t="s">
        <v>64</v>
      </c>
      <c r="B73" s="348" t="s">
        <v>656</v>
      </c>
      <c r="C73" s="1272" t="s">
        <v>658</v>
      </c>
      <c r="D73" s="476">
        <v>39112766</v>
      </c>
      <c r="E73" s="476">
        <v>29344811.037241381</v>
      </c>
    </row>
    <row r="74" spans="1:6">
      <c r="A74" s="348" t="s">
        <v>64</v>
      </c>
      <c r="B74" s="348" t="s">
        <v>657</v>
      </c>
      <c r="C74" s="1272" t="s">
        <v>659</v>
      </c>
      <c r="D74" s="476">
        <v>4846786.0316498969</v>
      </c>
      <c r="E74" s="476">
        <v>3449740.3156009056</v>
      </c>
    </row>
    <row r="75" spans="1:6">
      <c r="A75" s="348" t="s">
        <v>65</v>
      </c>
      <c r="B75" s="348" t="s">
        <v>656</v>
      </c>
      <c r="C75" s="1272" t="s">
        <v>660</v>
      </c>
      <c r="D75" s="476">
        <v>22554904</v>
      </c>
      <c r="E75" s="476">
        <v>16663800.225597074</v>
      </c>
    </row>
    <row r="76" spans="1:6">
      <c r="A76" s="348" t="s">
        <v>65</v>
      </c>
      <c r="B76" s="348" t="s">
        <v>657</v>
      </c>
      <c r="C76" s="1272" t="s">
        <v>661</v>
      </c>
      <c r="D76" s="476">
        <v>1287142.0316498964</v>
      </c>
      <c r="E76" s="476">
        <v>859627.1125818732</v>
      </c>
    </row>
    <row r="77" spans="1:6">
      <c r="A77" s="348" t="s">
        <v>66</v>
      </c>
      <c r="B77" s="348" t="s">
        <v>656</v>
      </c>
      <c r="C77" s="1272" t="s">
        <v>662</v>
      </c>
      <c r="D77" s="476">
        <v>10486238</v>
      </c>
      <c r="E77" s="476">
        <v>11333190.172223361</v>
      </c>
    </row>
    <row r="78" spans="1:6">
      <c r="A78" s="341" t="s">
        <v>66</v>
      </c>
      <c r="B78" s="341" t="s">
        <v>657</v>
      </c>
      <c r="C78" s="341" t="s">
        <v>663</v>
      </c>
      <c r="D78" s="1273">
        <v>1453189</v>
      </c>
      <c r="E78" s="1273">
        <v>1523444.6295141554</v>
      </c>
      <c r="F78" s="342"/>
    </row>
    <row r="79" spans="1:6">
      <c r="A79" s="362"/>
      <c r="B79" s="362"/>
    </row>
    <row r="80" spans="1:6" ht="15.75" thickBot="1">
      <c r="A80" s="362"/>
      <c r="B80" s="362"/>
    </row>
    <row r="81" spans="1:6" ht="20.25" thickBot="1">
      <c r="A81" s="336" t="s">
        <v>334</v>
      </c>
      <c r="B81" s="363" t="s">
        <v>394</v>
      </c>
      <c r="C81" s="337" t="s">
        <v>840</v>
      </c>
      <c r="D81" s="337"/>
      <c r="E81" s="337"/>
      <c r="F81" s="344"/>
    </row>
    <row r="82" spans="1:6" ht="16.5" thickTop="1" thickBot="1">
      <c r="A82" s="345" t="s">
        <v>335</v>
      </c>
      <c r="B82" s="361">
        <v>2016</v>
      </c>
      <c r="C82" s="361">
        <v>2020</v>
      </c>
      <c r="D82" s="346"/>
      <c r="E82" s="346"/>
      <c r="F82" s="347"/>
    </row>
    <row r="83" spans="1:6">
      <c r="A83" s="348" t="s">
        <v>336</v>
      </c>
      <c r="B83" s="476">
        <v>182199.93670020698</v>
      </c>
      <c r="C83" s="476">
        <v>182047.44781575142</v>
      </c>
    </row>
    <row r="84" spans="1:6">
      <c r="A84" s="341" t="s">
        <v>337</v>
      </c>
      <c r="B84" s="1273">
        <v>0</v>
      </c>
      <c r="C84" s="1273">
        <v>0</v>
      </c>
      <c r="D84" s="342"/>
      <c r="E84" s="342"/>
      <c r="F84" s="342"/>
    </row>
    <row r="85" spans="1:6">
      <c r="A85" s="362"/>
      <c r="B85" s="364"/>
    </row>
    <row r="86" spans="1:6" ht="15.75" thickBot="1">
      <c r="A86" s="343"/>
    </row>
    <row r="87" spans="1:6" ht="20.25" thickBot="1">
      <c r="A87" s="336" t="s">
        <v>67</v>
      </c>
      <c r="B87" s="337" t="s">
        <v>394</v>
      </c>
      <c r="C87" s="337" t="s">
        <v>841</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74">
        <v>0</v>
      </c>
    </row>
    <row r="91" spans="1:6">
      <c r="A91" s="348" t="s">
        <v>68</v>
      </c>
      <c r="B91" s="334">
        <v>4764.1738838778328</v>
      </c>
    </row>
    <row r="92" spans="1:6">
      <c r="A92" s="341" t="s">
        <v>69</v>
      </c>
      <c r="B92" s="342">
        <v>3611.0290965150257</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1717</v>
      </c>
    </row>
    <row r="98" spans="1:6">
      <c r="A98" s="348" t="s">
        <v>72</v>
      </c>
      <c r="B98" s="334">
        <v>0</v>
      </c>
    </row>
    <row r="99" spans="1:6">
      <c r="A99" s="348" t="s">
        <v>73</v>
      </c>
      <c r="B99" s="334">
        <v>325</v>
      </c>
    </row>
    <row r="100" spans="1:6">
      <c r="A100" s="348" t="s">
        <v>74</v>
      </c>
      <c r="B100" s="334">
        <v>430</v>
      </c>
    </row>
    <row r="101" spans="1:6">
      <c r="A101" s="348" t="s">
        <v>75</v>
      </c>
      <c r="B101" s="334">
        <v>213</v>
      </c>
    </row>
    <row r="102" spans="1:6">
      <c r="A102" s="348" t="s">
        <v>76</v>
      </c>
      <c r="B102" s="334">
        <v>98</v>
      </c>
    </row>
    <row r="103" spans="1:6">
      <c r="A103" s="348" t="s">
        <v>77</v>
      </c>
      <c r="B103" s="334">
        <v>235</v>
      </c>
    </row>
    <row r="104" spans="1:6">
      <c r="A104" s="348" t="s">
        <v>78</v>
      </c>
      <c r="B104" s="334">
        <v>1832</v>
      </c>
    </row>
    <row r="105" spans="1:6">
      <c r="A105" s="341" t="s">
        <v>79</v>
      </c>
      <c r="B105" s="341">
        <v>2</v>
      </c>
      <c r="C105" s="342"/>
      <c r="D105" s="342"/>
      <c r="E105" s="342"/>
      <c r="F105" s="342"/>
    </row>
    <row r="106" spans="1:6">
      <c r="A106" s="343"/>
    </row>
    <row r="107" spans="1:6" ht="15.75" thickBot="1">
      <c r="A107" s="343"/>
    </row>
    <row r="108" spans="1:6" ht="20.25" thickBot="1">
      <c r="A108" s="336" t="s">
        <v>645</v>
      </c>
      <c r="B108" s="337" t="s">
        <v>394</v>
      </c>
      <c r="C108" s="337" t="s">
        <v>842</v>
      </c>
      <c r="D108" s="337"/>
      <c r="E108" s="337"/>
      <c r="F108" s="344"/>
    </row>
    <row r="109" spans="1:6" ht="16.5" thickTop="1" thickBot="1">
      <c r="A109" s="345" t="s">
        <v>4</v>
      </c>
      <c r="B109" s="346" t="s">
        <v>5</v>
      </c>
      <c r="C109" s="346"/>
      <c r="D109" s="346"/>
      <c r="E109" s="346"/>
      <c r="F109" s="347"/>
    </row>
    <row r="110" spans="1:6">
      <c r="A110" s="348" t="s">
        <v>646</v>
      </c>
      <c r="B110" s="334">
        <v>1</v>
      </c>
    </row>
    <row r="111" spans="1:6">
      <c r="A111" s="1275" t="s">
        <v>647</v>
      </c>
      <c r="B111" s="1276">
        <v>0</v>
      </c>
      <c r="C111" s="1276"/>
      <c r="D111" s="1276"/>
      <c r="E111" s="1276"/>
      <c r="F111" s="1276"/>
    </row>
    <row r="112" spans="1:6">
      <c r="A112" s="348"/>
    </row>
    <row r="113" spans="1:6" ht="15.75" thickBot="1">
      <c r="A113" s="341"/>
      <c r="B113" s="342"/>
      <c r="C113" s="342"/>
      <c r="D113" s="342"/>
      <c r="E113" s="342"/>
      <c r="F113" s="342"/>
    </row>
    <row r="114" spans="1:6" ht="20.25" thickBot="1">
      <c r="A114" s="336" t="s">
        <v>80</v>
      </c>
      <c r="B114" s="337" t="s">
        <v>394</v>
      </c>
      <c r="C114" s="337" t="s">
        <v>843</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22</v>
      </c>
      <c r="C123" s="334">
        <v>37</v>
      </c>
    </row>
    <row r="124" spans="1:6">
      <c r="A124" s="341" t="s">
        <v>89</v>
      </c>
      <c r="B124" s="334">
        <v>1</v>
      </c>
      <c r="C124" s="334">
        <v>0</v>
      </c>
      <c r="D124" s="342"/>
      <c r="E124" s="342"/>
      <c r="F124" s="342"/>
    </row>
    <row r="125" spans="1:6">
      <c r="A125" s="362"/>
    </row>
    <row r="126" spans="1:6" ht="15.75" thickBot="1">
      <c r="A126" s="362"/>
    </row>
    <row r="127" spans="1:6" ht="20.25" thickBot="1">
      <c r="A127" s="336" t="s">
        <v>293</v>
      </c>
      <c r="B127" s="337" t="s">
        <v>394</v>
      </c>
      <c r="C127" s="337" t="s">
        <v>842</v>
      </c>
      <c r="D127" s="337"/>
      <c r="E127" s="337"/>
      <c r="F127" s="344"/>
    </row>
    <row r="128" spans="1:6" ht="16.5" thickTop="1" thickBot="1">
      <c r="A128" s="345" t="s">
        <v>4</v>
      </c>
      <c r="B128" s="346" t="s">
        <v>5</v>
      </c>
      <c r="C128" s="346"/>
      <c r="D128" s="346"/>
      <c r="E128" s="346"/>
      <c r="F128" s="347"/>
    </row>
    <row r="129" spans="1:6">
      <c r="A129" s="348" t="s">
        <v>294</v>
      </c>
      <c r="B129" s="334">
        <v>164</v>
      </c>
    </row>
    <row r="130" spans="1:6">
      <c r="A130" s="348" t="s">
        <v>295</v>
      </c>
      <c r="B130" s="334">
        <v>4</v>
      </c>
    </row>
    <row r="131" spans="1:6">
      <c r="A131" s="348" t="s">
        <v>296</v>
      </c>
      <c r="B131" s="334">
        <v>0</v>
      </c>
    </row>
    <row r="132" spans="1:6">
      <c r="A132" s="341" t="s">
        <v>297</v>
      </c>
      <c r="B132" s="342">
        <v>20</v>
      </c>
      <c r="C132" s="342"/>
      <c r="D132" s="342"/>
      <c r="E132" s="342"/>
      <c r="F132" s="342"/>
    </row>
    <row r="134" spans="1:6">
      <c r="A134" s="364"/>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A39" sqref="A39"/>
    </sheetView>
  </sheetViews>
  <sheetFormatPr defaultRowHeight="15"/>
  <cols>
    <col min="1" max="1" width="46.7109375" bestFit="1" customWidth="1"/>
    <col min="2" max="2" width="38.5703125" style="549" customWidth="1"/>
    <col min="7" max="7" width="26.5703125" bestFit="1" customWidth="1"/>
  </cols>
  <sheetData>
    <row r="1" spans="1:12" ht="18.75" thickBot="1">
      <c r="A1" s="121" t="s">
        <v>180</v>
      </c>
      <c r="B1" s="535"/>
      <c r="E1" s="680"/>
      <c r="F1" s="680"/>
    </row>
    <row r="2" spans="1:12">
      <c r="A2" s="44" t="s">
        <v>735</v>
      </c>
      <c r="B2" s="536"/>
      <c r="E2" s="680"/>
      <c r="F2" s="680"/>
    </row>
    <row r="3" spans="1:12">
      <c r="A3" s="44"/>
      <c r="B3" s="536"/>
      <c r="E3" s="680"/>
      <c r="F3" s="680"/>
    </row>
    <row r="4" spans="1:12" ht="18">
      <c r="A4" s="137" t="s">
        <v>181</v>
      </c>
      <c r="B4" s="537" t="s">
        <v>388</v>
      </c>
      <c r="E4" s="680"/>
      <c r="F4" s="680"/>
    </row>
    <row r="5" spans="1:12" ht="21">
      <c r="A5" s="116" t="s">
        <v>183</v>
      </c>
      <c r="B5" s="538"/>
      <c r="E5" s="977"/>
      <c r="F5" s="978"/>
      <c r="G5" s="989"/>
      <c r="H5" s="989"/>
      <c r="I5" s="9"/>
      <c r="J5" s="9"/>
    </row>
    <row r="6" spans="1:12">
      <c r="A6" s="117" t="s">
        <v>184</v>
      </c>
      <c r="B6" s="539">
        <v>4.0513950503279288</v>
      </c>
      <c r="E6" s="979"/>
      <c r="F6" s="979"/>
      <c r="G6" s="990"/>
      <c r="H6" s="990"/>
      <c r="I6" s="10"/>
      <c r="J6" s="10"/>
      <c r="K6" s="10"/>
      <c r="L6" s="10"/>
    </row>
    <row r="7" spans="1:12">
      <c r="A7" s="117" t="s">
        <v>6</v>
      </c>
      <c r="B7" s="539">
        <v>148.75315600062214</v>
      </c>
      <c r="E7" s="680"/>
      <c r="F7" s="680"/>
      <c r="G7" s="991"/>
      <c r="H7" s="991"/>
      <c r="K7" s="10"/>
      <c r="L7" s="10"/>
    </row>
    <row r="8" spans="1:12">
      <c r="A8" s="117" t="s">
        <v>7</v>
      </c>
      <c r="B8" s="539">
        <v>93.652016709315419</v>
      </c>
      <c r="E8" s="680"/>
      <c r="F8" s="680"/>
      <c r="G8" s="991"/>
      <c r="H8" s="991"/>
      <c r="K8" s="10"/>
      <c r="L8" s="10"/>
    </row>
    <row r="9" spans="1:12">
      <c r="A9" s="117" t="s">
        <v>8</v>
      </c>
      <c r="B9" s="539">
        <v>31.990818879394283</v>
      </c>
      <c r="E9" s="979"/>
      <c r="F9" s="979"/>
      <c r="G9" s="990"/>
      <c r="H9" s="990"/>
      <c r="I9" s="10"/>
      <c r="J9" s="10"/>
      <c r="K9" s="10"/>
      <c r="L9" s="10"/>
    </row>
    <row r="10" spans="1:12">
      <c r="A10" s="117" t="s">
        <v>9</v>
      </c>
      <c r="B10" s="539">
        <v>48.052888540099751</v>
      </c>
      <c r="E10" s="980"/>
      <c r="F10" s="980"/>
      <c r="G10" s="992"/>
      <c r="H10" s="992"/>
      <c r="I10" s="11"/>
      <c r="J10" s="11"/>
      <c r="K10" s="10"/>
      <c r="L10" s="10"/>
    </row>
    <row r="11" spans="1:12">
      <c r="A11" s="117" t="s">
        <v>10</v>
      </c>
      <c r="B11" s="539">
        <v>48.479822138264574</v>
      </c>
      <c r="E11" s="680"/>
      <c r="F11" s="980"/>
      <c r="G11" s="992"/>
      <c r="H11" s="992"/>
      <c r="I11" s="11"/>
      <c r="J11" s="11"/>
      <c r="K11" s="10"/>
      <c r="L11" s="10"/>
    </row>
    <row r="12" spans="1:12">
      <c r="A12" s="118" t="s">
        <v>16</v>
      </c>
      <c r="B12" s="539">
        <v>8</v>
      </c>
      <c r="E12" s="980"/>
      <c r="F12" s="979"/>
      <c r="G12" s="990"/>
      <c r="H12" s="990"/>
      <c r="I12" s="10"/>
      <c r="J12" s="10"/>
      <c r="K12" s="10"/>
      <c r="L12" s="10"/>
    </row>
    <row r="13" spans="1:12">
      <c r="A13" s="118" t="s">
        <v>17</v>
      </c>
      <c r="B13" s="539">
        <v>5</v>
      </c>
      <c r="E13" s="979"/>
      <c r="F13" s="979"/>
      <c r="G13" s="990"/>
      <c r="H13" s="990"/>
      <c r="I13" s="10"/>
      <c r="J13" s="10"/>
      <c r="K13" s="10"/>
      <c r="L13" s="10"/>
    </row>
    <row r="14" spans="1:12">
      <c r="A14" s="118" t="s">
        <v>185</v>
      </c>
      <c r="B14" s="539">
        <v>1.5</v>
      </c>
      <c r="E14" s="979"/>
      <c r="F14" s="979"/>
      <c r="G14" s="990"/>
      <c r="H14" s="990"/>
      <c r="I14" s="10"/>
      <c r="J14" s="10"/>
      <c r="K14" s="10"/>
      <c r="L14" s="10"/>
    </row>
    <row r="15" spans="1:12">
      <c r="A15" s="118" t="s">
        <v>186</v>
      </c>
      <c r="B15" s="539">
        <v>18</v>
      </c>
      <c r="E15" s="979"/>
      <c r="F15" s="979"/>
      <c r="G15" s="990"/>
      <c r="H15" s="990"/>
      <c r="I15" s="10"/>
      <c r="J15" s="10"/>
      <c r="K15" s="10"/>
      <c r="L15" s="10"/>
    </row>
    <row r="16" spans="1:12">
      <c r="A16" s="118" t="s">
        <v>187</v>
      </c>
      <c r="B16" s="540">
        <v>10</v>
      </c>
      <c r="E16" s="979"/>
      <c r="F16" s="979"/>
      <c r="G16" s="990"/>
      <c r="H16" s="990"/>
      <c r="I16" s="10"/>
      <c r="J16" s="10"/>
      <c r="K16" s="10"/>
      <c r="L16" s="10"/>
    </row>
    <row r="17" spans="1:12" s="43" customFormat="1" ht="15.75" thickBot="1">
      <c r="A17" s="119"/>
      <c r="B17" s="541"/>
      <c r="E17" s="981"/>
      <c r="F17" s="981"/>
      <c r="G17" s="154"/>
      <c r="H17" s="154"/>
      <c r="I17" s="154"/>
      <c r="J17" s="154"/>
      <c r="K17" s="154"/>
      <c r="L17" s="154"/>
    </row>
    <row r="18" spans="1:12" s="43" customFormat="1" ht="15.75" thickBot="1">
      <c r="A18" s="195"/>
      <c r="B18" s="542"/>
      <c r="E18" s="981"/>
      <c r="F18" s="981"/>
      <c r="G18" s="154"/>
      <c r="H18" s="154"/>
      <c r="I18" s="154"/>
      <c r="J18" s="154"/>
      <c r="K18" s="154"/>
      <c r="L18" s="154"/>
    </row>
    <row r="19" spans="1:12" ht="18.75" thickBot="1">
      <c r="A19" s="121" t="s">
        <v>188</v>
      </c>
      <c r="B19" s="535"/>
      <c r="E19" s="979"/>
      <c r="F19" s="979"/>
      <c r="G19" s="10"/>
      <c r="H19" s="10"/>
      <c r="I19" s="10"/>
      <c r="J19" s="10"/>
      <c r="K19" s="10"/>
      <c r="L19" s="10"/>
    </row>
    <row r="20" spans="1:12">
      <c r="A20" s="44" t="s">
        <v>735</v>
      </c>
      <c r="B20" s="536"/>
      <c r="E20" s="979"/>
      <c r="F20" s="979"/>
      <c r="G20" s="10"/>
      <c r="H20" s="10"/>
      <c r="I20" s="10"/>
      <c r="J20" s="10"/>
      <c r="K20" s="10"/>
      <c r="L20" s="10"/>
    </row>
    <row r="21" spans="1:12">
      <c r="A21" s="44"/>
      <c r="B21" s="536"/>
      <c r="E21" s="979"/>
      <c r="F21" s="979"/>
      <c r="G21" s="10"/>
      <c r="H21" s="10"/>
      <c r="I21" s="10"/>
      <c r="J21" s="10"/>
      <c r="K21" s="10"/>
      <c r="L21" s="10"/>
    </row>
    <row r="22" spans="1:12" ht="18">
      <c r="A22" s="138" t="s">
        <v>181</v>
      </c>
      <c r="B22" s="543" t="s">
        <v>388</v>
      </c>
      <c r="E22" s="979"/>
      <c r="F22" s="979"/>
      <c r="G22" s="10"/>
      <c r="H22" s="10"/>
      <c r="I22" s="10"/>
      <c r="J22" s="10"/>
      <c r="K22" s="10"/>
      <c r="L22" s="10"/>
    </row>
    <row r="23" spans="1:12" s="72" customFormat="1">
      <c r="A23" s="118" t="s">
        <v>183</v>
      </c>
      <c r="B23" s="539">
        <v>10.670218364787743</v>
      </c>
      <c r="E23" s="982"/>
      <c r="F23" s="982"/>
      <c r="G23" s="993"/>
      <c r="H23" s="993"/>
    </row>
    <row r="24" spans="1:12">
      <c r="A24" s="117" t="s">
        <v>184</v>
      </c>
      <c r="B24" s="539">
        <v>4.2231090152811745</v>
      </c>
      <c r="E24" s="979"/>
      <c r="F24" s="979"/>
      <c r="G24" s="990"/>
      <c r="H24" s="990"/>
      <c r="I24" s="10"/>
      <c r="J24" s="10"/>
      <c r="K24" s="10"/>
      <c r="L24" s="10"/>
    </row>
    <row r="25" spans="1:12">
      <c r="A25" s="117" t="s">
        <v>6</v>
      </c>
      <c r="B25" s="539">
        <v>36.989208093097943</v>
      </c>
      <c r="E25" s="979"/>
      <c r="F25" s="979"/>
      <c r="G25" s="990"/>
      <c r="H25" s="990"/>
      <c r="I25" s="10"/>
      <c r="J25" s="10"/>
      <c r="K25" s="10"/>
      <c r="L25" s="10"/>
    </row>
    <row r="26" spans="1:12">
      <c r="A26" s="117" t="s">
        <v>7</v>
      </c>
      <c r="B26" s="539">
        <v>2.6373179855588216</v>
      </c>
      <c r="E26" s="979"/>
      <c r="F26" s="979"/>
      <c r="G26" s="990"/>
      <c r="H26" s="990"/>
      <c r="I26" s="10"/>
      <c r="J26" s="10"/>
      <c r="K26" s="10"/>
      <c r="L26" s="10"/>
    </row>
    <row r="27" spans="1:12">
      <c r="A27" s="117" t="s">
        <v>8</v>
      </c>
      <c r="B27" s="539">
        <v>1.2024103334607736</v>
      </c>
      <c r="E27" s="979"/>
      <c r="F27" s="979"/>
      <c r="G27" s="990"/>
      <c r="H27" s="990"/>
      <c r="I27" s="10"/>
      <c r="J27" s="10"/>
      <c r="K27" s="10"/>
      <c r="L27" s="10"/>
    </row>
    <row r="28" spans="1:12">
      <c r="A28" s="117" t="s">
        <v>9</v>
      </c>
      <c r="B28" s="539">
        <v>5.0815988132881253</v>
      </c>
      <c r="E28" s="979"/>
      <c r="F28" s="979"/>
      <c r="G28" s="990"/>
      <c r="H28" s="990"/>
      <c r="I28" s="10"/>
      <c r="J28" s="10"/>
      <c r="K28" s="10"/>
      <c r="L28" s="10"/>
    </row>
    <row r="29" spans="1:12">
      <c r="A29" s="117" t="s">
        <v>10</v>
      </c>
      <c r="B29" s="539">
        <v>3.8951527391088074</v>
      </c>
      <c r="E29" s="979"/>
      <c r="F29" s="979"/>
      <c r="G29" s="990"/>
      <c r="H29" s="990"/>
      <c r="I29" s="10"/>
      <c r="J29" s="10"/>
      <c r="K29" s="10"/>
      <c r="L29" s="10"/>
    </row>
    <row r="30" spans="1:12">
      <c r="A30" s="118" t="s">
        <v>185</v>
      </c>
      <c r="B30" s="539">
        <v>4.4617753102649891</v>
      </c>
      <c r="E30" s="979"/>
      <c r="F30" s="979"/>
      <c r="G30" s="990"/>
      <c r="H30" s="990"/>
      <c r="I30" s="10"/>
      <c r="J30" s="10"/>
      <c r="K30" s="10"/>
      <c r="L30" s="10"/>
    </row>
    <row r="31" spans="1:12">
      <c r="A31" s="117" t="s">
        <v>11</v>
      </c>
      <c r="B31" s="539">
        <v>1.6075002802320004</v>
      </c>
      <c r="E31" s="979"/>
      <c r="F31" s="979"/>
      <c r="G31" s="990"/>
      <c r="H31" s="990"/>
      <c r="I31" s="10"/>
      <c r="J31" s="10"/>
      <c r="K31" s="10"/>
      <c r="L31" s="10"/>
    </row>
    <row r="32" spans="1:12">
      <c r="A32" s="117" t="s">
        <v>12</v>
      </c>
      <c r="B32" s="539">
        <v>4.8225008406960006</v>
      </c>
      <c r="E32" s="979"/>
      <c r="F32" s="979"/>
      <c r="G32" s="990"/>
      <c r="H32" s="990"/>
      <c r="I32" s="10"/>
      <c r="J32" s="10"/>
      <c r="K32" s="10"/>
      <c r="L32" s="10"/>
    </row>
    <row r="33" spans="1:14">
      <c r="A33" s="117" t="s">
        <v>13</v>
      </c>
      <c r="B33" s="539">
        <v>6.3685027042560023</v>
      </c>
      <c r="E33" s="979"/>
      <c r="F33" s="979"/>
      <c r="G33" s="990"/>
      <c r="H33" s="990"/>
      <c r="I33" s="10"/>
      <c r="J33" s="10"/>
      <c r="K33" s="10"/>
      <c r="L33" s="10"/>
    </row>
    <row r="34" spans="1:14">
      <c r="A34" s="117" t="s">
        <v>14</v>
      </c>
      <c r="B34" s="539">
        <v>4.6362973013280016</v>
      </c>
      <c r="E34" s="979"/>
      <c r="F34" s="979"/>
      <c r="G34" s="990"/>
      <c r="H34" s="990"/>
      <c r="I34" s="10"/>
      <c r="J34" s="10"/>
      <c r="K34" s="10"/>
      <c r="L34" s="10"/>
    </row>
    <row r="35" spans="1:14">
      <c r="A35" s="117" t="s">
        <v>15</v>
      </c>
      <c r="B35" s="539">
        <v>12.338973989496003</v>
      </c>
      <c r="E35" s="979"/>
      <c r="F35" s="979"/>
      <c r="G35" s="990"/>
      <c r="H35" s="990"/>
      <c r="I35" s="10"/>
      <c r="J35" s="10"/>
      <c r="K35" s="10"/>
      <c r="L35" s="10"/>
    </row>
    <row r="36" spans="1:14">
      <c r="A36" s="118" t="s">
        <v>16</v>
      </c>
      <c r="B36" s="539">
        <v>0.19</v>
      </c>
      <c r="E36" s="979"/>
      <c r="F36" s="979"/>
      <c r="G36" s="990"/>
      <c r="H36" s="990"/>
      <c r="I36" s="10"/>
      <c r="J36" s="10"/>
      <c r="K36" s="10"/>
      <c r="L36" s="10"/>
    </row>
    <row r="37" spans="1:14">
      <c r="A37" s="118" t="s">
        <v>17</v>
      </c>
      <c r="B37" s="539">
        <v>0.13</v>
      </c>
      <c r="E37" s="680"/>
      <c r="F37" s="680"/>
      <c r="G37" s="991"/>
      <c r="H37" s="991"/>
    </row>
    <row r="38" spans="1:14">
      <c r="A38" s="118" t="s">
        <v>186</v>
      </c>
      <c r="B38" s="539">
        <v>1.5600000000000003</v>
      </c>
      <c r="E38" s="680"/>
      <c r="F38" s="680"/>
      <c r="G38" s="991"/>
      <c r="H38" s="991"/>
    </row>
    <row r="39" spans="1:14">
      <c r="A39" s="118" t="s">
        <v>187</v>
      </c>
      <c r="B39" s="539">
        <v>0.76</v>
      </c>
      <c r="E39" s="680"/>
      <c r="F39" s="680"/>
      <c r="G39" s="991"/>
      <c r="H39" s="991"/>
    </row>
    <row r="40" spans="1:14">
      <c r="A40" s="118" t="s">
        <v>18</v>
      </c>
      <c r="B40" s="540">
        <v>2.3666410874874599E-2</v>
      </c>
      <c r="E40" s="680"/>
      <c r="F40" s="680"/>
      <c r="G40" s="991"/>
      <c r="H40" s="991"/>
    </row>
    <row r="41" spans="1:14" ht="15.75" thickBot="1">
      <c r="A41" s="119"/>
      <c r="B41" s="544"/>
      <c r="E41" s="680"/>
      <c r="F41" s="680"/>
    </row>
    <row r="42" spans="1:14" s="43" customFormat="1" ht="15.75" thickBot="1">
      <c r="A42" s="196"/>
      <c r="B42" s="542"/>
      <c r="E42" s="983"/>
      <c r="F42" s="983"/>
      <c r="G42" s="197"/>
      <c r="H42" s="197"/>
      <c r="I42" s="197"/>
      <c r="J42" s="197"/>
      <c r="K42" s="197"/>
      <c r="L42" s="197"/>
      <c r="M42" s="197"/>
      <c r="N42" s="197"/>
    </row>
    <row r="43" spans="1:14" ht="15.75" thickBot="1">
      <c r="A43" s="121" t="s">
        <v>189</v>
      </c>
      <c r="B43" s="545"/>
      <c r="E43" s="680"/>
      <c r="F43" s="680"/>
    </row>
    <row r="44" spans="1:14">
      <c r="A44" s="44" t="s">
        <v>736</v>
      </c>
      <c r="B44" s="536"/>
      <c r="E44" s="680"/>
      <c r="F44" s="680"/>
    </row>
    <row r="45" spans="1:14">
      <c r="A45" s="44"/>
      <c r="B45" s="536"/>
      <c r="E45" s="680"/>
      <c r="F45" s="680"/>
    </row>
    <row r="46" spans="1:14" ht="18">
      <c r="A46" s="137" t="s">
        <v>190</v>
      </c>
      <c r="B46" s="537" t="s">
        <v>575</v>
      </c>
      <c r="E46" s="680"/>
      <c r="F46" s="680"/>
    </row>
    <row r="47" spans="1:14">
      <c r="A47" s="116" t="s">
        <v>191</v>
      </c>
      <c r="B47" s="546">
        <v>0.88440394630149</v>
      </c>
      <c r="E47" s="680"/>
      <c r="F47" s="680"/>
    </row>
    <row r="48" spans="1:14">
      <c r="A48" s="118" t="s">
        <v>192</v>
      </c>
      <c r="B48" s="539">
        <v>0.93363536228846</v>
      </c>
      <c r="E48" s="680"/>
      <c r="F48" s="680"/>
    </row>
    <row r="49" spans="1:12">
      <c r="A49" s="118" t="s">
        <v>185</v>
      </c>
      <c r="B49" s="539">
        <v>3.072006360583E-2</v>
      </c>
      <c r="E49" s="680"/>
      <c r="F49" s="680"/>
    </row>
    <row r="50" spans="1:12">
      <c r="A50" s="118" t="s">
        <v>18</v>
      </c>
      <c r="B50" s="539">
        <v>9.5463603863000005E-4</v>
      </c>
      <c r="E50" s="979"/>
      <c r="F50" s="979"/>
      <c r="G50" s="10"/>
      <c r="H50" s="10"/>
      <c r="I50" s="10"/>
      <c r="J50" s="10"/>
      <c r="K50" s="10"/>
      <c r="L50" s="10"/>
    </row>
    <row r="51" spans="1:12">
      <c r="A51" s="118" t="s">
        <v>16</v>
      </c>
      <c r="B51" s="539">
        <v>6.4623044697499996E-3</v>
      </c>
      <c r="E51" s="979"/>
      <c r="F51" s="979"/>
      <c r="G51" s="10"/>
      <c r="H51" s="10"/>
      <c r="I51" s="10"/>
      <c r="J51" s="10"/>
      <c r="K51" s="10"/>
      <c r="L51" s="10"/>
    </row>
    <row r="52" spans="1:12" ht="15.75" thickBot="1">
      <c r="A52" s="119" t="s">
        <v>127</v>
      </c>
      <c r="B52" s="547">
        <v>9.7955177276942237E-2</v>
      </c>
      <c r="E52" s="680"/>
      <c r="F52" s="680"/>
    </row>
    <row r="53" spans="1:12">
      <c r="B53" s="548"/>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C10" sqref="C10"/>
    </sheetView>
  </sheetViews>
  <sheetFormatPr defaultRowHeight="15"/>
  <cols>
    <col min="1" max="1" width="80" customWidth="1"/>
    <col min="2" max="2" width="36" style="476" customWidth="1"/>
    <col min="3" max="3" width="70.28515625" style="552" customWidth="1"/>
  </cols>
  <sheetData>
    <row r="1" spans="1:3" s="334" customFormat="1" ht="15.75" thickBot="1">
      <c r="A1" s="391" t="s">
        <v>626</v>
      </c>
      <c r="B1" s="550"/>
      <c r="C1" s="551"/>
    </row>
    <row r="2" spans="1:3" s="334" customFormat="1">
      <c r="A2" s="395"/>
      <c r="B2" s="516"/>
      <c r="C2" s="553"/>
    </row>
    <row r="3" spans="1:3" s="334" customFormat="1">
      <c r="A3" s="393"/>
      <c r="B3" s="554">
        <v>2015</v>
      </c>
      <c r="C3" s="396" t="s">
        <v>182</v>
      </c>
    </row>
    <row r="4" spans="1:3">
      <c r="A4" s="120" t="s">
        <v>301</v>
      </c>
      <c r="B4" s="555">
        <v>4382.187123964326</v>
      </c>
      <c r="C4" s="139" t="s">
        <v>737</v>
      </c>
    </row>
    <row r="5" spans="1:3" ht="15.75" thickBot="1">
      <c r="A5" s="1003" t="s">
        <v>625</v>
      </c>
      <c r="B5" s="1012">
        <v>673536</v>
      </c>
      <c r="C5" s="1013" t="s">
        <v>675</v>
      </c>
    </row>
    <row r="11" spans="1:3">
      <c r="B11" s="858"/>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6">
        <v>310</v>
      </c>
    </row>
    <row r="5" spans="1:2" ht="18.75" thickBot="1">
      <c r="A5" s="115" t="s">
        <v>445</v>
      </c>
      <c r="B5" s="557">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F6" sqref="F6"/>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template'!C23),0,'SEAP template'!C23)</f>
        <v>82284.474491346511</v>
      </c>
      <c r="C3" s="43" t="s">
        <v>170</v>
      </c>
      <c r="D3" s="43"/>
      <c r="E3" s="154"/>
      <c r="F3" s="43"/>
      <c r="G3" s="43"/>
      <c r="H3" s="43"/>
      <c r="I3" s="43"/>
      <c r="J3" s="43"/>
      <c r="K3" s="96"/>
    </row>
    <row r="4" spans="1:11">
      <c r="A4" s="383" t="s">
        <v>171</v>
      </c>
      <c r="B4" s="49">
        <f>IF(ISERROR('SEAP template'!B69),0,'SEAP template'!B69)</f>
        <v>8375.2029803928581</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9">
        <f>E6</f>
        <v>0.221</v>
      </c>
      <c r="C6" s="43" t="s">
        <v>173</v>
      </c>
      <c r="D6" s="43"/>
      <c r="E6" s="1010">
        <v>0.221</v>
      </c>
      <c r="F6" s="43" t="s">
        <v>723</v>
      </c>
      <c r="G6" s="43" t="s">
        <v>728</v>
      </c>
      <c r="H6" s="43"/>
      <c r="I6" s="43"/>
      <c r="J6" s="43"/>
      <c r="K6" s="96"/>
    </row>
    <row r="7" spans="1:11">
      <c r="A7" s="383"/>
      <c r="B7" s="478"/>
      <c r="C7" s="43"/>
      <c r="D7" s="43"/>
      <c r="E7" s="43"/>
      <c r="F7" s="48"/>
      <c r="G7" s="43"/>
      <c r="H7" s="43"/>
      <c r="I7" s="43"/>
      <c r="J7" s="43"/>
      <c r="K7" s="96"/>
    </row>
    <row r="8" spans="1:11">
      <c r="A8" s="383"/>
      <c r="B8" s="478"/>
      <c r="C8" s="43"/>
      <c r="D8" s="43"/>
      <c r="E8" s="43"/>
      <c r="F8" s="48"/>
      <c r="G8" s="43"/>
      <c r="H8" s="1009"/>
      <c r="I8" s="155"/>
      <c r="J8" s="43"/>
      <c r="K8" s="96"/>
    </row>
    <row r="9" spans="1:11">
      <c r="A9" s="383" t="s">
        <v>175</v>
      </c>
      <c r="B9" s="49">
        <f>IF(ISERROR('SEAP template'!O69),0,'SEAP template'!O69)</f>
        <v>0</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8"/>
      <c r="C11" s="43"/>
      <c r="D11" s="43"/>
      <c r="E11" s="43"/>
      <c r="F11" s="43"/>
      <c r="G11" s="43"/>
      <c r="H11" s="43"/>
      <c r="I11" s="43"/>
      <c r="J11" s="43"/>
      <c r="K11" s="96"/>
    </row>
    <row r="12" spans="1:11">
      <c r="A12" s="384" t="s">
        <v>176</v>
      </c>
      <c r="B12" s="558">
        <f ca="1">IF((B4+B5)&gt;B3,(B9+B10)/(B4+B5),((B3-B4-B5)*B6+B9+B10)/B3)</f>
        <v>0.19850584335491533</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template'!O81),0,'SEAP template'!O81)</f>
        <v>0</v>
      </c>
      <c r="C17" s="43" t="s">
        <v>174</v>
      </c>
      <c r="D17" s="43"/>
      <c r="E17" s="43"/>
      <c r="F17" s="43"/>
      <c r="G17" s="43"/>
      <c r="H17" s="43"/>
      <c r="I17" s="43"/>
      <c r="J17" s="43"/>
      <c r="K17" s="96"/>
    </row>
    <row r="18" spans="1:11">
      <c r="A18" s="383" t="s">
        <v>178</v>
      </c>
      <c r="B18" s="49">
        <f>IF(ISERROR('Eigen informatie GS &amp; warmtenet'!B50),0,'Eigen informatie GS &amp; warmtenet'!B50)</f>
        <v>0</v>
      </c>
      <c r="C18" s="43" t="s">
        <v>174</v>
      </c>
      <c r="D18" s="43"/>
      <c r="E18" s="43"/>
      <c r="F18" s="43"/>
      <c r="G18" s="43"/>
      <c r="H18" s="43"/>
      <c r="I18" s="43"/>
      <c r="J18" s="43"/>
      <c r="K18" s="96"/>
    </row>
    <row r="19" spans="1:11">
      <c r="A19" s="383" t="s">
        <v>302</v>
      </c>
      <c r="B19" s="49">
        <f>IF(ISERROR('Eigen informatie GS &amp; warmtenet'!B51),0,'Eigen informatie GS &amp; warmtenet'!B51)</f>
        <v>0</v>
      </c>
      <c r="C19" s="43" t="s">
        <v>174</v>
      </c>
      <c r="D19" s="43"/>
      <c r="E19" s="43"/>
      <c r="F19" s="43"/>
      <c r="G19" s="43"/>
      <c r="H19" s="43"/>
      <c r="I19" s="43"/>
      <c r="J19" s="43"/>
      <c r="K19" s="96"/>
    </row>
    <row r="20" spans="1:11">
      <c r="A20" s="383" t="s">
        <v>504</v>
      </c>
      <c r="B20" s="49">
        <f ca="1">IF(ISERROR('SEAP template'!D23),0,('SEAP template'!D23))</f>
        <v>0</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60">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95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59" t="s">
        <v>674</v>
      </c>
      <c r="B1" s="959" t="s">
        <v>308</v>
      </c>
      <c r="C1" s="959" t="s">
        <v>312</v>
      </c>
      <c r="D1" s="959" t="s">
        <v>313</v>
      </c>
      <c r="E1" s="959" t="s">
        <v>314</v>
      </c>
      <c r="F1" s="959" t="s">
        <v>315</v>
      </c>
      <c r="H1" s="100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95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8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100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100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1006">
        <v>6.5355741912209441E-9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F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76">
        <v>2016</v>
      </c>
      <c r="B1" s="1177"/>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8"/>
      <c r="B2" s="1179"/>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8"/>
      <c r="B3" s="1179"/>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80"/>
      <c r="B4" s="118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1">
        <v>0</v>
      </c>
      <c r="D7" s="931">
        <v>0.98187544873812849</v>
      </c>
      <c r="E7" s="931">
        <v>0</v>
      </c>
      <c r="F7" s="932">
        <v>0.98187544873812849</v>
      </c>
      <c r="G7" s="931">
        <v>0</v>
      </c>
      <c r="H7" s="931">
        <v>0</v>
      </c>
      <c r="I7" s="931">
        <v>1.3897268344938405</v>
      </c>
      <c r="J7" s="931">
        <v>0.64811057430018204</v>
      </c>
      <c r="K7" s="931">
        <v>0</v>
      </c>
      <c r="L7" s="931">
        <v>55.66086993434908</v>
      </c>
      <c r="M7" s="931">
        <v>0</v>
      </c>
      <c r="N7" s="931">
        <v>0</v>
      </c>
      <c r="O7" s="931">
        <v>0</v>
      </c>
      <c r="P7" s="931">
        <v>0</v>
      </c>
      <c r="Q7" s="931">
        <v>0</v>
      </c>
      <c r="R7" s="932">
        <v>57.698707343143099</v>
      </c>
      <c r="S7" s="931">
        <v>90.945255291241054</v>
      </c>
      <c r="T7" s="931">
        <v>0</v>
      </c>
      <c r="U7" s="931">
        <v>0</v>
      </c>
      <c r="V7" s="932">
        <v>90.945255291241054</v>
      </c>
      <c r="W7" s="932">
        <v>149.62583808312229</v>
      </c>
      <c r="X7" s="931">
        <v>0</v>
      </c>
      <c r="Y7" s="931">
        <v>14.218075100461599</v>
      </c>
      <c r="Z7" s="931">
        <v>38.960158529600896</v>
      </c>
      <c r="AA7" s="933">
        <v>0</v>
      </c>
      <c r="AB7" s="933">
        <v>0</v>
      </c>
      <c r="AC7" s="932">
        <v>202.80407171318478</v>
      </c>
    </row>
    <row r="8" spans="1:29">
      <c r="A8" s="216" t="s">
        <v>156</v>
      </c>
      <c r="B8" s="217"/>
      <c r="C8" s="934">
        <v>0</v>
      </c>
      <c r="D8" s="934">
        <v>1.0594042609570003E-4</v>
      </c>
      <c r="E8" s="934">
        <v>0</v>
      </c>
      <c r="F8" s="935">
        <v>1.0594042609570003E-4</v>
      </c>
      <c r="G8" s="934">
        <v>0</v>
      </c>
      <c r="H8" s="934">
        <v>0</v>
      </c>
      <c r="I8" s="934">
        <v>0.54328004638050609</v>
      </c>
      <c r="J8" s="934">
        <v>2.654358493393255E-3</v>
      </c>
      <c r="K8" s="934">
        <v>0</v>
      </c>
      <c r="L8" s="934">
        <v>7.476801588293716</v>
      </c>
      <c r="M8" s="934">
        <v>0</v>
      </c>
      <c r="N8" s="934">
        <v>8.8560868381251198E-2</v>
      </c>
      <c r="O8" s="934">
        <v>0</v>
      </c>
      <c r="P8" s="934">
        <v>0</v>
      </c>
      <c r="Q8" s="934">
        <v>0</v>
      </c>
      <c r="R8" s="935">
        <v>8.1112968615488654</v>
      </c>
      <c r="S8" s="934">
        <v>49.135395431894047</v>
      </c>
      <c r="T8" s="934">
        <v>0</v>
      </c>
      <c r="U8" s="934">
        <v>0</v>
      </c>
      <c r="V8" s="935">
        <v>49.135395431894047</v>
      </c>
      <c r="W8" s="935">
        <v>57.246798233869008</v>
      </c>
      <c r="X8" s="934">
        <v>1.7511545615999999</v>
      </c>
      <c r="Y8" s="934">
        <v>4.2362890351008868</v>
      </c>
      <c r="Z8" s="934">
        <v>43.749461908573714</v>
      </c>
      <c r="AA8" s="936">
        <v>0</v>
      </c>
      <c r="AB8" s="936">
        <v>0</v>
      </c>
      <c r="AC8" s="935">
        <v>106.98319884994361</v>
      </c>
    </row>
    <row r="9" spans="1:29">
      <c r="A9" s="3"/>
      <c r="B9" s="6" t="s">
        <v>157</v>
      </c>
      <c r="C9" s="937">
        <v>0</v>
      </c>
      <c r="D9" s="937">
        <v>0</v>
      </c>
      <c r="E9" s="937">
        <v>0</v>
      </c>
      <c r="F9" s="938">
        <v>0</v>
      </c>
      <c r="G9" s="937">
        <v>0</v>
      </c>
      <c r="H9" s="937">
        <v>0</v>
      </c>
      <c r="I9" s="937">
        <v>6.5395971200937972E-2</v>
      </c>
      <c r="J9" s="937">
        <v>0</v>
      </c>
      <c r="K9" s="937">
        <v>0</v>
      </c>
      <c r="L9" s="937">
        <v>0.57830887738361236</v>
      </c>
      <c r="M9" s="937">
        <v>0</v>
      </c>
      <c r="N9" s="937">
        <v>0</v>
      </c>
      <c r="O9" s="937">
        <v>0</v>
      </c>
      <c r="P9" s="937">
        <v>0</v>
      </c>
      <c r="Q9" s="937">
        <v>0</v>
      </c>
      <c r="R9" s="938">
        <v>0.64370484858455035</v>
      </c>
      <c r="S9" s="937">
        <v>6.1435060825930661</v>
      </c>
      <c r="T9" s="937">
        <v>0</v>
      </c>
      <c r="U9" s="937">
        <v>0</v>
      </c>
      <c r="V9" s="938">
        <v>6.1435060825930661</v>
      </c>
      <c r="W9" s="938">
        <v>6.7872109311776168</v>
      </c>
      <c r="X9" s="937">
        <v>0</v>
      </c>
      <c r="Y9" s="937">
        <v>1.312857440166E-3</v>
      </c>
      <c r="Z9" s="937">
        <v>4.5668108859230552</v>
      </c>
      <c r="AA9" s="939">
        <v>0</v>
      </c>
      <c r="AB9" s="939">
        <v>0</v>
      </c>
      <c r="AC9" s="938">
        <v>11.355334674540838</v>
      </c>
    </row>
    <row r="10" spans="1:29">
      <c r="A10" s="3"/>
      <c r="B10" s="6" t="s">
        <v>158</v>
      </c>
      <c r="C10" s="937">
        <v>0</v>
      </c>
      <c r="D10" s="937">
        <v>0</v>
      </c>
      <c r="E10" s="937">
        <v>0</v>
      </c>
      <c r="F10" s="938">
        <v>0</v>
      </c>
      <c r="G10" s="937">
        <v>0</v>
      </c>
      <c r="H10" s="937">
        <v>0</v>
      </c>
      <c r="I10" s="937">
        <v>2.1401747481641751E-4</v>
      </c>
      <c r="J10" s="937">
        <v>0</v>
      </c>
      <c r="K10" s="937">
        <v>0</v>
      </c>
      <c r="L10" s="937">
        <v>0.50779447189257843</v>
      </c>
      <c r="M10" s="937">
        <v>0</v>
      </c>
      <c r="N10" s="937">
        <v>0</v>
      </c>
      <c r="O10" s="937">
        <v>0</v>
      </c>
      <c r="P10" s="937">
        <v>0</v>
      </c>
      <c r="Q10" s="937">
        <v>0</v>
      </c>
      <c r="R10" s="938">
        <v>0.50800848936739484</v>
      </c>
      <c r="S10" s="937">
        <v>5.9106708296719477</v>
      </c>
      <c r="T10" s="937">
        <v>0</v>
      </c>
      <c r="U10" s="937">
        <v>0</v>
      </c>
      <c r="V10" s="938">
        <v>5.9106708296719477</v>
      </c>
      <c r="W10" s="938">
        <v>6.4186793190393425</v>
      </c>
      <c r="X10" s="937">
        <v>0</v>
      </c>
      <c r="Y10" s="937">
        <v>5.2874136000000002E-2</v>
      </c>
      <c r="Z10" s="937">
        <v>3.4182703752975905</v>
      </c>
      <c r="AA10" s="939">
        <v>0</v>
      </c>
      <c r="AB10" s="939">
        <v>0</v>
      </c>
      <c r="AC10" s="938">
        <v>9.8898238303369332</v>
      </c>
    </row>
    <row r="11" spans="1:29">
      <c r="A11" s="3"/>
      <c r="B11" s="6" t="s">
        <v>159</v>
      </c>
      <c r="C11" s="937">
        <v>0</v>
      </c>
      <c r="D11" s="937">
        <v>0</v>
      </c>
      <c r="E11" s="937">
        <v>0</v>
      </c>
      <c r="F11" s="938">
        <v>0</v>
      </c>
      <c r="G11" s="937">
        <v>0</v>
      </c>
      <c r="H11" s="937">
        <v>0</v>
      </c>
      <c r="I11" s="937">
        <v>2.1871911494933231E-2</v>
      </c>
      <c r="J11" s="937">
        <v>0</v>
      </c>
      <c r="K11" s="937">
        <v>0</v>
      </c>
      <c r="L11" s="937">
        <v>0.25399054995191478</v>
      </c>
      <c r="M11" s="937">
        <v>0</v>
      </c>
      <c r="N11" s="937">
        <v>0</v>
      </c>
      <c r="O11" s="937">
        <v>0</v>
      </c>
      <c r="P11" s="937">
        <v>0</v>
      </c>
      <c r="Q11" s="937">
        <v>0</v>
      </c>
      <c r="R11" s="938">
        <v>0.27586246144684801</v>
      </c>
      <c r="S11" s="937">
        <v>3.8531677873338341</v>
      </c>
      <c r="T11" s="937">
        <v>0</v>
      </c>
      <c r="U11" s="937">
        <v>0</v>
      </c>
      <c r="V11" s="938">
        <v>3.8531677873338341</v>
      </c>
      <c r="W11" s="938">
        <v>4.1290302487806825</v>
      </c>
      <c r="X11" s="937">
        <v>0</v>
      </c>
      <c r="Y11" s="937">
        <v>4.0792440000000001E-3</v>
      </c>
      <c r="Z11" s="937">
        <v>1.4495855715380828</v>
      </c>
      <c r="AA11" s="939">
        <v>0</v>
      </c>
      <c r="AB11" s="939">
        <v>0</v>
      </c>
      <c r="AC11" s="938">
        <v>5.5826950643187647</v>
      </c>
    </row>
    <row r="12" spans="1:29">
      <c r="A12" s="3"/>
      <c r="B12" s="6" t="s">
        <v>160</v>
      </c>
      <c r="C12" s="937">
        <v>0</v>
      </c>
      <c r="D12" s="937">
        <v>0</v>
      </c>
      <c r="E12" s="937">
        <v>0</v>
      </c>
      <c r="F12" s="938">
        <v>0</v>
      </c>
      <c r="G12" s="937">
        <v>0</v>
      </c>
      <c r="H12" s="937">
        <v>0</v>
      </c>
      <c r="I12" s="937">
        <v>1.0674216457535526E-4</v>
      </c>
      <c r="J12" s="937">
        <v>2.654358493393255E-3</v>
      </c>
      <c r="K12" s="937">
        <v>0</v>
      </c>
      <c r="L12" s="937">
        <v>2.5592239725093093</v>
      </c>
      <c r="M12" s="937">
        <v>0</v>
      </c>
      <c r="N12" s="937">
        <v>0</v>
      </c>
      <c r="O12" s="937">
        <v>0</v>
      </c>
      <c r="P12" s="937">
        <v>0</v>
      </c>
      <c r="Q12" s="937">
        <v>0</v>
      </c>
      <c r="R12" s="938">
        <v>2.561985073167278</v>
      </c>
      <c r="S12" s="937">
        <v>18.282089254691357</v>
      </c>
      <c r="T12" s="937">
        <v>0</v>
      </c>
      <c r="U12" s="937">
        <v>0</v>
      </c>
      <c r="V12" s="938">
        <v>18.282089254691357</v>
      </c>
      <c r="W12" s="938">
        <v>20.844074327858635</v>
      </c>
      <c r="X12" s="937">
        <v>1.076724E-4</v>
      </c>
      <c r="Y12" s="937">
        <v>1.6287248118609998E-2</v>
      </c>
      <c r="Z12" s="937">
        <v>17.030604477610947</v>
      </c>
      <c r="AA12" s="939">
        <v>0</v>
      </c>
      <c r="AB12" s="939">
        <v>0</v>
      </c>
      <c r="AC12" s="938">
        <v>37.891073725988193</v>
      </c>
    </row>
    <row r="13" spans="1:29">
      <c r="A13" s="3"/>
      <c r="B13" s="6" t="s">
        <v>161</v>
      </c>
      <c r="C13" s="937">
        <v>0</v>
      </c>
      <c r="D13" s="937">
        <v>0</v>
      </c>
      <c r="E13" s="937">
        <v>0</v>
      </c>
      <c r="F13" s="938">
        <v>0</v>
      </c>
      <c r="G13" s="937">
        <v>0</v>
      </c>
      <c r="H13" s="937">
        <v>0</v>
      </c>
      <c r="I13" s="937">
        <v>0.449873808164032</v>
      </c>
      <c r="J13" s="937">
        <v>0</v>
      </c>
      <c r="K13" s="937">
        <v>0</v>
      </c>
      <c r="L13" s="937">
        <v>2.3815947942702982</v>
      </c>
      <c r="M13" s="937">
        <v>0</v>
      </c>
      <c r="N13" s="937">
        <v>7.4469845482352847E-3</v>
      </c>
      <c r="O13" s="937">
        <v>0</v>
      </c>
      <c r="P13" s="937">
        <v>0</v>
      </c>
      <c r="Q13" s="937">
        <v>0</v>
      </c>
      <c r="R13" s="938">
        <v>2.8389155869825653</v>
      </c>
      <c r="S13" s="937">
        <v>9.7227153551491661</v>
      </c>
      <c r="T13" s="937">
        <v>0</v>
      </c>
      <c r="U13" s="937">
        <v>0</v>
      </c>
      <c r="V13" s="938">
        <v>9.7227153551491661</v>
      </c>
      <c r="W13" s="938">
        <v>12.561630942131732</v>
      </c>
      <c r="X13" s="937">
        <v>0</v>
      </c>
      <c r="Y13" s="937">
        <v>1.7181716416000001E-2</v>
      </c>
      <c r="Z13" s="937">
        <v>12.403510827032306</v>
      </c>
      <c r="AA13" s="939">
        <v>0</v>
      </c>
      <c r="AB13" s="939">
        <v>0</v>
      </c>
      <c r="AC13" s="938">
        <v>24.982323485580039</v>
      </c>
    </row>
    <row r="14" spans="1:29">
      <c r="A14" s="218"/>
      <c r="B14" s="219" t="s">
        <v>162</v>
      </c>
      <c r="C14" s="940">
        <v>0</v>
      </c>
      <c r="D14" s="940">
        <v>1.0594042609570003E-4</v>
      </c>
      <c r="E14" s="940">
        <v>0</v>
      </c>
      <c r="F14" s="941">
        <v>1.0594042609570003E-4</v>
      </c>
      <c r="G14" s="937">
        <v>0</v>
      </c>
      <c r="H14" s="937">
        <v>0</v>
      </c>
      <c r="I14" s="937">
        <v>5.8175958812111224E-3</v>
      </c>
      <c r="J14" s="937">
        <v>0</v>
      </c>
      <c r="K14" s="937">
        <v>0</v>
      </c>
      <c r="L14" s="937">
        <v>1.195888922286003</v>
      </c>
      <c r="M14" s="937">
        <v>0</v>
      </c>
      <c r="N14" s="937">
        <v>8.1113883833015918E-2</v>
      </c>
      <c r="O14" s="937">
        <v>0</v>
      </c>
      <c r="P14" s="937">
        <v>0</v>
      </c>
      <c r="Q14" s="937">
        <v>0</v>
      </c>
      <c r="R14" s="941">
        <v>1.2828204020002301</v>
      </c>
      <c r="S14" s="937">
        <v>5.2232461224546736</v>
      </c>
      <c r="T14" s="940">
        <v>0</v>
      </c>
      <c r="U14" s="940">
        <v>0</v>
      </c>
      <c r="V14" s="941">
        <v>5.2232461224546736</v>
      </c>
      <c r="W14" s="941">
        <v>6.5061724648809989</v>
      </c>
      <c r="X14" s="937">
        <v>1.7505419999999998</v>
      </c>
      <c r="Y14" s="937">
        <v>4.1445538331261105</v>
      </c>
      <c r="Z14" s="937">
        <v>4.8806797711717316</v>
      </c>
      <c r="AA14" s="942">
        <v>0</v>
      </c>
      <c r="AB14" s="942">
        <v>0</v>
      </c>
      <c r="AC14" s="941">
        <v>17.281948069178839</v>
      </c>
    </row>
    <row r="15" spans="1:29">
      <c r="A15" s="216" t="s">
        <v>163</v>
      </c>
      <c r="B15" s="220"/>
      <c r="C15" s="943">
        <v>0</v>
      </c>
      <c r="D15" s="943">
        <v>3.5985444000000699E-3</v>
      </c>
      <c r="E15" s="943">
        <v>0.15900000000000003</v>
      </c>
      <c r="F15" s="943">
        <v>0.1625985444000001</v>
      </c>
      <c r="G15" s="943">
        <v>0</v>
      </c>
      <c r="H15" s="943">
        <v>0</v>
      </c>
      <c r="I15" s="943">
        <v>2.50784339815073</v>
      </c>
      <c r="J15" s="943">
        <v>0.19436988224110799</v>
      </c>
      <c r="K15" s="943">
        <v>0</v>
      </c>
      <c r="L15" s="943">
        <v>8.460723701334329</v>
      </c>
      <c r="M15" s="943">
        <v>0</v>
      </c>
      <c r="N15" s="943">
        <v>0.53538692849483105</v>
      </c>
      <c r="O15" s="943">
        <v>0</v>
      </c>
      <c r="P15" s="943">
        <v>9.8910000000000005E-3</v>
      </c>
      <c r="Q15" s="943">
        <v>0</v>
      </c>
      <c r="R15" s="943">
        <v>11.708214910220999</v>
      </c>
      <c r="S15" s="943">
        <v>30.58754292438466</v>
      </c>
      <c r="T15" s="943">
        <v>0</v>
      </c>
      <c r="U15" s="943">
        <v>0</v>
      </c>
      <c r="V15" s="943">
        <v>30.58754292438466</v>
      </c>
      <c r="W15" s="943">
        <v>42.458356379005664</v>
      </c>
      <c r="X15" s="943">
        <v>0</v>
      </c>
      <c r="Y15" s="943">
        <v>10.188156281075617</v>
      </c>
      <c r="Z15" s="943">
        <v>45.418829069147264</v>
      </c>
      <c r="AA15" s="945">
        <v>3.2790688000002177E-2</v>
      </c>
      <c r="AB15" s="945">
        <v>0</v>
      </c>
      <c r="AC15" s="944">
        <f>SUM(W15,X15,Y15,Z15)</f>
        <v>98.06534172922855</v>
      </c>
    </row>
    <row r="16" spans="1:29">
      <c r="A16" s="5"/>
      <c r="B16" s="6" t="s">
        <v>35</v>
      </c>
      <c r="C16" s="946">
        <v>0</v>
      </c>
      <c r="D16" s="946">
        <v>0</v>
      </c>
      <c r="E16" s="946">
        <v>0</v>
      </c>
      <c r="F16" s="938">
        <v>0</v>
      </c>
      <c r="G16" s="946">
        <v>0</v>
      </c>
      <c r="H16" s="946">
        <v>0</v>
      </c>
      <c r="I16" s="946">
        <v>1.3535999999999999E-3</v>
      </c>
      <c r="J16" s="946">
        <v>0</v>
      </c>
      <c r="K16" s="946">
        <v>0</v>
      </c>
      <c r="L16" s="946">
        <v>1.0006115081399994E-2</v>
      </c>
      <c r="M16" s="946">
        <v>0</v>
      </c>
      <c r="N16" s="946">
        <v>2.4071050720001624E-5</v>
      </c>
      <c r="O16" s="946">
        <v>0</v>
      </c>
      <c r="P16" s="946">
        <v>0</v>
      </c>
      <c r="Q16" s="946">
        <v>0</v>
      </c>
      <c r="R16" s="938">
        <v>1.1383786132119995E-2</v>
      </c>
      <c r="S16" s="946">
        <v>0.29381143171143886</v>
      </c>
      <c r="T16" s="946">
        <v>0</v>
      </c>
      <c r="U16" s="946">
        <v>0</v>
      </c>
      <c r="V16" s="947">
        <v>0.29381143171143886</v>
      </c>
      <c r="W16" s="938">
        <v>0.30519521784355885</v>
      </c>
      <c r="X16" s="946">
        <v>0</v>
      </c>
      <c r="Y16" s="946">
        <v>0</v>
      </c>
      <c r="Z16" s="946">
        <v>0.600956769599998</v>
      </c>
      <c r="AA16" s="939">
        <v>0</v>
      </c>
      <c r="AB16" s="939">
        <v>0</v>
      </c>
      <c r="AC16" s="938">
        <v>0.90615198744355685</v>
      </c>
    </row>
    <row r="17" spans="1:31">
      <c r="A17" s="5"/>
      <c r="B17" s="6" t="s">
        <v>38</v>
      </c>
      <c r="C17" s="946">
        <v>0</v>
      </c>
      <c r="D17" s="946">
        <v>0</v>
      </c>
      <c r="E17" s="946">
        <v>0.15900000000000003</v>
      </c>
      <c r="F17" s="938">
        <v>0.15900000000000003</v>
      </c>
      <c r="G17" s="946">
        <v>0</v>
      </c>
      <c r="H17" s="946">
        <v>0</v>
      </c>
      <c r="I17" s="946">
        <v>5.1431962030000005E-3</v>
      </c>
      <c r="J17" s="946">
        <v>0</v>
      </c>
      <c r="K17" s="946">
        <v>0</v>
      </c>
      <c r="L17" s="946">
        <v>0.12139422893560999</v>
      </c>
      <c r="M17" s="946">
        <v>0</v>
      </c>
      <c r="N17" s="946">
        <v>8.6258319999999999E-3</v>
      </c>
      <c r="O17" s="946">
        <v>0</v>
      </c>
      <c r="P17" s="946">
        <v>9.8910000000000005E-3</v>
      </c>
      <c r="Q17" s="946">
        <v>0</v>
      </c>
      <c r="R17" s="938">
        <v>0.14505425713861</v>
      </c>
      <c r="S17" s="946">
        <v>0.79432374113939996</v>
      </c>
      <c r="T17" s="946">
        <v>0</v>
      </c>
      <c r="U17" s="946">
        <v>0</v>
      </c>
      <c r="V17" s="947">
        <v>0.79432374113939996</v>
      </c>
      <c r="W17" s="938">
        <v>1.09837799827801</v>
      </c>
      <c r="X17" s="946">
        <v>0</v>
      </c>
      <c r="Y17" s="946">
        <v>0</v>
      </c>
      <c r="Z17" s="946">
        <v>0.55534467960000011</v>
      </c>
      <c r="AA17" s="939">
        <v>0</v>
      </c>
      <c r="AB17" s="939">
        <v>0</v>
      </c>
      <c r="AC17" s="938">
        <v>1.6537226778780101</v>
      </c>
    </row>
    <row r="18" spans="1:31">
      <c r="A18" s="5"/>
      <c r="B18" s="6" t="s">
        <v>36</v>
      </c>
      <c r="C18" s="946">
        <v>0</v>
      </c>
      <c r="D18" s="946">
        <v>0</v>
      </c>
      <c r="E18" s="946">
        <v>0</v>
      </c>
      <c r="F18" s="938">
        <v>0</v>
      </c>
      <c r="G18" s="946">
        <v>0</v>
      </c>
      <c r="H18" s="946">
        <v>0</v>
      </c>
      <c r="I18" s="946">
        <v>5.8403080172951496E-2</v>
      </c>
      <c r="J18" s="946">
        <v>5.3904584999999996E-3</v>
      </c>
      <c r="K18" s="946">
        <v>0</v>
      </c>
      <c r="L18" s="946">
        <v>0.5956323819559034</v>
      </c>
      <c r="M18" s="946">
        <v>0</v>
      </c>
      <c r="N18" s="946">
        <v>0</v>
      </c>
      <c r="O18" s="946">
        <v>0</v>
      </c>
      <c r="P18" s="946">
        <v>0</v>
      </c>
      <c r="Q18" s="946">
        <v>0</v>
      </c>
      <c r="R18" s="938">
        <v>0.65942592062885486</v>
      </c>
      <c r="S18" s="946">
        <v>4.0803776941623893</v>
      </c>
      <c r="T18" s="946">
        <v>0</v>
      </c>
      <c r="U18" s="946">
        <v>0</v>
      </c>
      <c r="V18" s="947">
        <v>4.0803776941623893</v>
      </c>
      <c r="W18" s="938">
        <v>4.7398036147912439</v>
      </c>
      <c r="X18" s="946">
        <v>0</v>
      </c>
      <c r="Y18" s="946">
        <v>9.0625772814057995E-2</v>
      </c>
      <c r="Z18" s="946">
        <v>6.3522800721468258</v>
      </c>
      <c r="AA18" s="939">
        <v>0</v>
      </c>
      <c r="AB18" s="939">
        <v>0</v>
      </c>
      <c r="AC18" s="938">
        <v>10.76634531061778</v>
      </c>
    </row>
    <row r="19" spans="1:31">
      <c r="A19" s="5"/>
      <c r="B19" s="6" t="s">
        <v>33</v>
      </c>
      <c r="C19" s="946">
        <v>0</v>
      </c>
      <c r="D19" s="946">
        <v>0</v>
      </c>
      <c r="E19" s="946">
        <v>0</v>
      </c>
      <c r="F19" s="938">
        <v>0</v>
      </c>
      <c r="G19" s="946">
        <v>0</v>
      </c>
      <c r="H19" s="946">
        <v>0</v>
      </c>
      <c r="I19" s="946">
        <v>2.3202087644292839</v>
      </c>
      <c r="J19" s="946">
        <v>0.18897942374110799</v>
      </c>
      <c r="K19" s="946">
        <v>0</v>
      </c>
      <c r="L19" s="946">
        <v>6.0416147580072259</v>
      </c>
      <c r="M19" s="946">
        <v>0</v>
      </c>
      <c r="N19" s="946">
        <v>0.3365556065279332</v>
      </c>
      <c r="O19" s="946">
        <v>0</v>
      </c>
      <c r="P19" s="946">
        <v>0</v>
      </c>
      <c r="Q19" s="946">
        <v>0</v>
      </c>
      <c r="R19" s="938">
        <v>8.8873585527055514</v>
      </c>
      <c r="S19" s="946">
        <v>4.4547518589542587</v>
      </c>
      <c r="T19" s="946">
        <v>0</v>
      </c>
      <c r="U19" s="946">
        <v>0</v>
      </c>
      <c r="V19" s="947">
        <v>4.4547518589542587</v>
      </c>
      <c r="W19" s="938">
        <v>13.34211041165981</v>
      </c>
      <c r="X19" s="946">
        <v>0</v>
      </c>
      <c r="Y19" s="946">
        <v>2.6225860551679996</v>
      </c>
      <c r="Z19" s="946">
        <v>7.9372365537430181</v>
      </c>
      <c r="AA19" s="939">
        <v>0</v>
      </c>
      <c r="AB19" s="939">
        <v>0</v>
      </c>
      <c r="AC19" s="938">
        <v>21.026062724349352</v>
      </c>
    </row>
    <row r="20" spans="1:31">
      <c r="A20" s="5"/>
      <c r="B20" s="6" t="s">
        <v>41</v>
      </c>
      <c r="C20" s="946">
        <v>0</v>
      </c>
      <c r="D20" s="946">
        <v>0</v>
      </c>
      <c r="E20" s="946">
        <v>0</v>
      </c>
      <c r="F20" s="938">
        <v>0</v>
      </c>
      <c r="G20" s="946">
        <v>0</v>
      </c>
      <c r="H20" s="946">
        <v>0</v>
      </c>
      <c r="I20" s="946">
        <v>2.4619263493260032E-2</v>
      </c>
      <c r="J20" s="946">
        <v>0</v>
      </c>
      <c r="K20" s="946">
        <v>0</v>
      </c>
      <c r="L20" s="946">
        <v>0.71110278165547258</v>
      </c>
      <c r="M20" s="946">
        <v>0</v>
      </c>
      <c r="N20" s="946">
        <v>2.8819907119999998E-2</v>
      </c>
      <c r="O20" s="946">
        <v>0</v>
      </c>
      <c r="P20" s="946">
        <v>0</v>
      </c>
      <c r="Q20" s="946">
        <v>0</v>
      </c>
      <c r="R20" s="938">
        <v>0.76454195226873267</v>
      </c>
      <c r="S20" s="946">
        <v>11.117820279523219</v>
      </c>
      <c r="T20" s="946">
        <v>0</v>
      </c>
      <c r="U20" s="946">
        <v>0</v>
      </c>
      <c r="V20" s="947">
        <v>11.117820279523219</v>
      </c>
      <c r="W20" s="938">
        <v>11.882362231791952</v>
      </c>
      <c r="X20" s="946">
        <v>0</v>
      </c>
      <c r="Y20" s="946">
        <v>0.80310076938715902</v>
      </c>
      <c r="Z20" s="946">
        <v>11.637477216751909</v>
      </c>
      <c r="AA20" s="939">
        <v>0</v>
      </c>
      <c r="AB20" s="939">
        <v>0</v>
      </c>
      <c r="AC20" s="938">
        <v>23.860391304415693</v>
      </c>
    </row>
    <row r="21" spans="1:31">
      <c r="A21" s="5"/>
      <c r="B21" s="6" t="s">
        <v>40</v>
      </c>
      <c r="C21" s="946">
        <v>0</v>
      </c>
      <c r="D21" s="946">
        <v>0</v>
      </c>
      <c r="E21" s="946">
        <v>0</v>
      </c>
      <c r="F21" s="938">
        <v>0</v>
      </c>
      <c r="G21" s="946">
        <v>0</v>
      </c>
      <c r="H21" s="946">
        <v>0</v>
      </c>
      <c r="I21" s="946">
        <v>8.1998474538251126E-3</v>
      </c>
      <c r="J21" s="946">
        <v>0</v>
      </c>
      <c r="K21" s="946">
        <v>0</v>
      </c>
      <c r="L21" s="946">
        <v>0.11757241451095309</v>
      </c>
      <c r="M21" s="946">
        <v>0</v>
      </c>
      <c r="N21" s="946">
        <v>0.16136151179617783</v>
      </c>
      <c r="O21" s="946">
        <v>0</v>
      </c>
      <c r="P21" s="946">
        <v>0</v>
      </c>
      <c r="Q21" s="946">
        <v>0</v>
      </c>
      <c r="R21" s="938">
        <v>0.28713377376095606</v>
      </c>
      <c r="S21" s="946">
        <v>2.0681907814821785</v>
      </c>
      <c r="T21" s="946">
        <v>0</v>
      </c>
      <c r="U21" s="946">
        <v>0</v>
      </c>
      <c r="V21" s="947">
        <v>2.0681907814821785</v>
      </c>
      <c r="W21" s="938">
        <v>2.3553245552431346</v>
      </c>
      <c r="X21" s="946">
        <v>0</v>
      </c>
      <c r="Y21" s="946">
        <v>0.152276392069154</v>
      </c>
      <c r="Z21" s="946">
        <v>2.7609715472505716</v>
      </c>
      <c r="AA21" s="939">
        <v>0</v>
      </c>
      <c r="AB21" s="939">
        <v>0</v>
      </c>
      <c r="AC21" s="938">
        <v>5.269605728432337</v>
      </c>
    </row>
    <row r="22" spans="1:31">
      <c r="A22" s="5"/>
      <c r="B22" s="6" t="s">
        <v>37</v>
      </c>
      <c r="C22" s="946">
        <v>0</v>
      </c>
      <c r="D22" s="946">
        <v>3.2889999999999864E-3</v>
      </c>
      <c r="E22" s="946">
        <v>0</v>
      </c>
      <c r="F22" s="938">
        <v>3.2889999999999864E-3</v>
      </c>
      <c r="G22" s="946">
        <v>0</v>
      </c>
      <c r="H22" s="946">
        <v>0</v>
      </c>
      <c r="I22" s="946">
        <v>5.8014050352629305E-2</v>
      </c>
      <c r="J22" s="946">
        <v>0</v>
      </c>
      <c r="K22" s="946">
        <v>0</v>
      </c>
      <c r="L22" s="946">
        <v>0.68812416518821862</v>
      </c>
      <c r="M22" s="946">
        <v>0</v>
      </c>
      <c r="N22" s="946">
        <v>0</v>
      </c>
      <c r="O22" s="946">
        <v>0</v>
      </c>
      <c r="P22" s="946">
        <v>0</v>
      </c>
      <c r="Q22" s="946">
        <v>0</v>
      </c>
      <c r="R22" s="938">
        <v>0.74613821554084792</v>
      </c>
      <c r="S22" s="946">
        <v>1.5144535513815125</v>
      </c>
      <c r="T22" s="946">
        <v>0</v>
      </c>
      <c r="U22" s="946">
        <v>0</v>
      </c>
      <c r="V22" s="947">
        <v>1.5144535513815125</v>
      </c>
      <c r="W22" s="938">
        <v>2.2638807669223606</v>
      </c>
      <c r="X22" s="946">
        <v>0</v>
      </c>
      <c r="Y22" s="946">
        <v>0.43815223000000003</v>
      </c>
      <c r="Z22" s="946">
        <v>2.0014588371125428</v>
      </c>
      <c r="AA22" s="939">
        <v>0</v>
      </c>
      <c r="AB22" s="939">
        <v>0</v>
      </c>
      <c r="AC22" s="938">
        <v>4.7049696202590408</v>
      </c>
    </row>
    <row r="23" spans="1:31">
      <c r="A23" s="5"/>
      <c r="B23" s="6" t="s">
        <v>39</v>
      </c>
      <c r="C23" s="946">
        <v>0</v>
      </c>
      <c r="D23" s="946">
        <v>3.0954440000008354E-4</v>
      </c>
      <c r="E23" s="946">
        <v>0</v>
      </c>
      <c r="F23" s="938">
        <v>3.0954440000008354E-4</v>
      </c>
      <c r="G23" s="946">
        <v>0</v>
      </c>
      <c r="H23" s="946">
        <v>0</v>
      </c>
      <c r="I23" s="946">
        <v>2.8396123597800001E-3</v>
      </c>
      <c r="J23" s="946">
        <v>0</v>
      </c>
      <c r="K23" s="946">
        <v>0</v>
      </c>
      <c r="L23" s="946">
        <v>4.8863136184377216E-2</v>
      </c>
      <c r="M23" s="946">
        <v>0</v>
      </c>
      <c r="N23" s="946">
        <v>0</v>
      </c>
      <c r="O23" s="946">
        <v>0</v>
      </c>
      <c r="P23" s="946">
        <v>0</v>
      </c>
      <c r="Q23" s="946">
        <v>0</v>
      </c>
      <c r="R23" s="938">
        <v>5.1702748544157219E-2</v>
      </c>
      <c r="S23" s="946">
        <v>0.51412921448486371</v>
      </c>
      <c r="T23" s="946">
        <v>0</v>
      </c>
      <c r="U23" s="946">
        <v>0</v>
      </c>
      <c r="V23" s="947">
        <v>0.51412921448486371</v>
      </c>
      <c r="W23" s="938">
        <v>0.56614150742902103</v>
      </c>
      <c r="X23" s="946">
        <v>0</v>
      </c>
      <c r="Y23" s="946">
        <v>5.8177670616372472</v>
      </c>
      <c r="Z23" s="946">
        <v>1.7675119185423926</v>
      </c>
      <c r="AA23" s="939">
        <v>0</v>
      </c>
      <c r="AB23" s="939">
        <v>0</v>
      </c>
      <c r="AC23" s="938">
        <v>2.2355830043707825</v>
      </c>
    </row>
    <row r="24" spans="1:31">
      <c r="A24" s="221"/>
      <c r="B24" s="219" t="s">
        <v>34</v>
      </c>
      <c r="C24" s="946">
        <v>0</v>
      </c>
      <c r="D24" s="946">
        <v>0</v>
      </c>
      <c r="E24" s="946">
        <v>0</v>
      </c>
      <c r="F24" s="938">
        <v>0</v>
      </c>
      <c r="G24" s="946">
        <v>0</v>
      </c>
      <c r="H24" s="946">
        <v>0</v>
      </c>
      <c r="I24" s="946">
        <v>2.9061983685999999E-2</v>
      </c>
      <c r="J24" s="946">
        <v>0</v>
      </c>
      <c r="K24" s="946">
        <v>0</v>
      </c>
      <c r="L24" s="946">
        <v>0.12641371981517002</v>
      </c>
      <c r="M24" s="946">
        <v>0</v>
      </c>
      <c r="N24" s="946">
        <v>0</v>
      </c>
      <c r="O24" s="946">
        <v>0</v>
      </c>
      <c r="P24" s="946">
        <v>0</v>
      </c>
      <c r="Q24" s="946">
        <v>0</v>
      </c>
      <c r="R24" s="938">
        <v>0.15547570350117002</v>
      </c>
      <c r="S24" s="946">
        <v>5.7496843715453991</v>
      </c>
      <c r="T24" s="946">
        <v>0</v>
      </c>
      <c r="U24" s="946">
        <v>0</v>
      </c>
      <c r="V24" s="947">
        <v>5.7496843715453991</v>
      </c>
      <c r="W24" s="938">
        <v>5.9051600750465694</v>
      </c>
      <c r="X24" s="946">
        <v>0</v>
      </c>
      <c r="Y24" s="946">
        <v>0.26364799999999999</v>
      </c>
      <c r="Z24" s="946">
        <v>11.805591474400011</v>
      </c>
      <c r="AA24" s="939">
        <v>0</v>
      </c>
      <c r="AB24" s="939">
        <v>0</v>
      </c>
      <c r="AC24" s="938">
        <v>17.610199827046582</v>
      </c>
    </row>
    <row r="25" spans="1:31">
      <c r="A25" s="5" t="s">
        <v>654</v>
      </c>
      <c r="B25" s="128"/>
      <c r="C25" s="943">
        <v>0</v>
      </c>
      <c r="D25" s="943">
        <v>0.36754838452159333</v>
      </c>
      <c r="E25" s="943">
        <v>0</v>
      </c>
      <c r="F25" s="944">
        <v>0.36754838452159333</v>
      </c>
      <c r="G25" s="934">
        <v>0</v>
      </c>
      <c r="H25" s="934">
        <v>0</v>
      </c>
      <c r="I25" s="934">
        <v>7.4568468044256264E-2</v>
      </c>
      <c r="J25" s="934">
        <v>9.9144618080804617E-2</v>
      </c>
      <c r="K25" s="934">
        <v>0</v>
      </c>
      <c r="L25" s="934">
        <v>10.348984814948775</v>
      </c>
      <c r="M25" s="934">
        <v>0</v>
      </c>
      <c r="N25" s="934">
        <v>0.21977761028155415</v>
      </c>
      <c r="O25" s="934">
        <v>0</v>
      </c>
      <c r="P25" s="934">
        <v>0</v>
      </c>
      <c r="Q25" s="934">
        <v>0</v>
      </c>
      <c r="R25" s="944">
        <v>10.742475511355387</v>
      </c>
      <c r="S25" s="934">
        <v>16.57987935056093</v>
      </c>
      <c r="T25" s="943">
        <v>0</v>
      </c>
      <c r="U25" s="943">
        <v>0</v>
      </c>
      <c r="V25" s="944">
        <v>16.57987935056093</v>
      </c>
      <c r="W25" s="944">
        <v>27.689903246437908</v>
      </c>
      <c r="X25" s="943">
        <v>0</v>
      </c>
      <c r="Y25" s="934">
        <v>3.4138509894022291</v>
      </c>
      <c r="Z25" s="936">
        <v>-2.1740717738267645</v>
      </c>
      <c r="AA25" s="945">
        <v>0</v>
      </c>
      <c r="AB25" s="945">
        <v>0</v>
      </c>
      <c r="AC25" s="935">
        <v>28.929682462013371</v>
      </c>
      <c r="AE25" s="38"/>
    </row>
    <row r="26" spans="1:31">
      <c r="A26" s="5"/>
      <c r="B26" s="128"/>
      <c r="C26" s="948"/>
      <c r="D26" s="949"/>
      <c r="E26" s="948"/>
      <c r="F26" s="938"/>
      <c r="G26" s="949"/>
      <c r="H26" s="949"/>
      <c r="I26" s="949"/>
      <c r="J26" s="949"/>
      <c r="K26" s="949"/>
      <c r="L26" s="949"/>
      <c r="M26" s="949"/>
      <c r="N26" s="949"/>
      <c r="O26" s="949"/>
      <c r="P26" s="949"/>
      <c r="Q26" s="949"/>
      <c r="R26" s="938"/>
      <c r="S26" s="949"/>
      <c r="T26" s="948"/>
      <c r="U26" s="948"/>
      <c r="V26" s="938"/>
      <c r="W26" s="938"/>
      <c r="X26" s="948"/>
      <c r="Y26" s="952"/>
      <c r="Z26" s="952">
        <v>2.5369417941357169</v>
      </c>
      <c r="AA26" s="953"/>
      <c r="AB26" s="950"/>
      <c r="AC26" s="951"/>
      <c r="AE26" s="38"/>
    </row>
    <row r="27" spans="1:31">
      <c r="A27" s="3"/>
      <c r="B27" s="6" t="s">
        <v>164</v>
      </c>
      <c r="C27" s="937">
        <v>0</v>
      </c>
      <c r="D27" s="937">
        <v>0</v>
      </c>
      <c r="E27" s="937">
        <v>0</v>
      </c>
      <c r="F27" s="938">
        <v>0</v>
      </c>
      <c r="G27" s="937">
        <v>0</v>
      </c>
      <c r="H27" s="937">
        <v>0</v>
      </c>
      <c r="I27" s="937">
        <v>5.0448573311158512E-2</v>
      </c>
      <c r="J27" s="937">
        <v>2.6399782938679585E-3</v>
      </c>
      <c r="K27" s="937">
        <v>0</v>
      </c>
      <c r="L27" s="937">
        <v>6.2987540192606879</v>
      </c>
      <c r="M27" s="937">
        <v>0</v>
      </c>
      <c r="N27" s="937">
        <v>0</v>
      </c>
      <c r="O27" s="937">
        <v>0</v>
      </c>
      <c r="P27" s="937">
        <v>0</v>
      </c>
      <c r="Q27" s="937">
        <v>0</v>
      </c>
      <c r="R27" s="938">
        <v>6.3518425708657142</v>
      </c>
      <c r="S27" s="937">
        <v>0.25658747889480005</v>
      </c>
      <c r="T27" s="937">
        <v>0</v>
      </c>
      <c r="U27" s="937">
        <v>0</v>
      </c>
      <c r="V27" s="938">
        <v>0.25658747889480005</v>
      </c>
      <c r="W27" s="938">
        <v>6.6084300497605142</v>
      </c>
      <c r="X27" s="937">
        <v>0</v>
      </c>
      <c r="Y27" s="937">
        <v>1.1060116525533616</v>
      </c>
      <c r="Z27" s="937">
        <v>2.6338573235349951</v>
      </c>
      <c r="AA27" s="939">
        <v>0</v>
      </c>
      <c r="AB27" s="939">
        <v>0</v>
      </c>
      <c r="AC27" s="938">
        <v>10.348299025848871</v>
      </c>
    </row>
    <row r="28" spans="1:31">
      <c r="A28" s="3"/>
      <c r="B28" s="6" t="s">
        <v>165</v>
      </c>
      <c r="C28" s="937">
        <v>0</v>
      </c>
      <c r="D28" s="937">
        <v>2.8369394181579696E-4</v>
      </c>
      <c r="E28" s="937">
        <v>0</v>
      </c>
      <c r="F28" s="938">
        <v>2.8369394181579696E-4</v>
      </c>
      <c r="G28" s="937">
        <v>0</v>
      </c>
      <c r="H28" s="937">
        <v>0</v>
      </c>
      <c r="I28" s="937">
        <v>1.83367934006439E-3</v>
      </c>
      <c r="J28" s="937">
        <v>1.8104660716979195E-3</v>
      </c>
      <c r="K28" s="937">
        <v>0</v>
      </c>
      <c r="L28" s="937">
        <v>2.2607863785539695</v>
      </c>
      <c r="M28" s="937">
        <v>0</v>
      </c>
      <c r="N28" s="937">
        <v>0</v>
      </c>
      <c r="O28" s="937">
        <v>0</v>
      </c>
      <c r="P28" s="937">
        <v>0</v>
      </c>
      <c r="Q28" s="937">
        <v>0</v>
      </c>
      <c r="R28" s="938">
        <v>2.2644305239657316</v>
      </c>
      <c r="S28" s="937">
        <v>0.26214912360000003</v>
      </c>
      <c r="T28" s="937">
        <v>0</v>
      </c>
      <c r="U28" s="937">
        <v>0</v>
      </c>
      <c r="V28" s="938">
        <v>0.26214912360000003</v>
      </c>
      <c r="W28" s="938">
        <v>2.5268633415075472</v>
      </c>
      <c r="X28" s="937">
        <v>0</v>
      </c>
      <c r="Y28" s="937">
        <v>1.9699718320673718</v>
      </c>
      <c r="Z28" s="937">
        <v>7.0818027383623985E-2</v>
      </c>
      <c r="AA28" s="939">
        <v>0</v>
      </c>
      <c r="AB28" s="939">
        <v>0</v>
      </c>
      <c r="AC28" s="938">
        <v>4.5676532009585431</v>
      </c>
    </row>
    <row r="29" spans="1:31">
      <c r="A29" s="3"/>
      <c r="B29" s="6" t="s">
        <v>166</v>
      </c>
      <c r="C29" s="937">
        <v>0</v>
      </c>
      <c r="D29" s="937">
        <v>0.30278826556692501</v>
      </c>
      <c r="E29" s="937">
        <v>0</v>
      </c>
      <c r="F29" s="938">
        <v>0.30278826556692501</v>
      </c>
      <c r="G29" s="937">
        <v>0</v>
      </c>
      <c r="H29" s="937">
        <v>0</v>
      </c>
      <c r="I29" s="937">
        <v>1.2884164822413334E-2</v>
      </c>
      <c r="J29" s="937">
        <v>4.6287167069412665E-3</v>
      </c>
      <c r="K29" s="937">
        <v>0</v>
      </c>
      <c r="L29" s="937">
        <v>0.69240907665939688</v>
      </c>
      <c r="M29" s="937">
        <v>0</v>
      </c>
      <c r="N29" s="937">
        <v>0.2136937414122671</v>
      </c>
      <c r="O29" s="937">
        <v>0</v>
      </c>
      <c r="P29" s="937">
        <v>0</v>
      </c>
      <c r="Q29" s="937">
        <v>0</v>
      </c>
      <c r="R29" s="938">
        <v>0.92361569960101852</v>
      </c>
      <c r="S29" s="937">
        <v>16.061142748066128</v>
      </c>
      <c r="T29" s="937">
        <v>0</v>
      </c>
      <c r="U29" s="937">
        <v>0</v>
      </c>
      <c r="V29" s="938">
        <v>16.061142748066128</v>
      </c>
      <c r="W29" s="938">
        <v>17.287546713234072</v>
      </c>
      <c r="X29" s="937">
        <v>0</v>
      </c>
      <c r="Y29" s="937">
        <v>0.31361387278149505</v>
      </c>
      <c r="Z29" s="937">
        <v>-5.9841676506367794</v>
      </c>
      <c r="AA29" s="939">
        <v>0</v>
      </c>
      <c r="AB29" s="939">
        <v>0</v>
      </c>
      <c r="AC29" s="938">
        <v>11.616992935378788</v>
      </c>
    </row>
    <row r="30" spans="1:31">
      <c r="A30" s="3"/>
      <c r="B30" s="6" t="s">
        <v>167</v>
      </c>
      <c r="C30" s="937">
        <v>0</v>
      </c>
      <c r="D30" s="937">
        <v>6.4476425012852515E-2</v>
      </c>
      <c r="E30" s="937">
        <v>0</v>
      </c>
      <c r="F30" s="938">
        <v>6.4476425012852515E-2</v>
      </c>
      <c r="G30" s="937">
        <v>0</v>
      </c>
      <c r="H30" s="937">
        <v>0</v>
      </c>
      <c r="I30" s="937">
        <v>9.4002928835230336E-3</v>
      </c>
      <c r="J30" s="937">
        <v>2.5737429842359497E-2</v>
      </c>
      <c r="K30" s="937">
        <v>0</v>
      </c>
      <c r="L30" s="937">
        <v>1.0868051507429195</v>
      </c>
      <c r="M30" s="937">
        <v>0</v>
      </c>
      <c r="N30" s="937">
        <v>6.0838688692870383E-3</v>
      </c>
      <c r="O30" s="937">
        <v>0</v>
      </c>
      <c r="P30" s="937">
        <v>0</v>
      </c>
      <c r="Q30" s="937">
        <v>0</v>
      </c>
      <c r="R30" s="938">
        <v>1.128026742338089</v>
      </c>
      <c r="S30" s="937">
        <v>0</v>
      </c>
      <c r="T30" s="937">
        <v>0</v>
      </c>
      <c r="U30" s="937">
        <v>0</v>
      </c>
      <c r="V30" s="938">
        <v>0</v>
      </c>
      <c r="W30" s="938">
        <v>1.1925031673509414</v>
      </c>
      <c r="X30" s="937">
        <v>0</v>
      </c>
      <c r="Y30" s="937">
        <v>2.4253632000000004E-2</v>
      </c>
      <c r="Z30" s="937">
        <v>1.1053708294753957</v>
      </c>
      <c r="AA30" s="939">
        <v>0</v>
      </c>
      <c r="AB30" s="939">
        <v>0</v>
      </c>
      <c r="AC30" s="938">
        <v>2.3221276288263368</v>
      </c>
    </row>
    <row r="31" spans="1:31">
      <c r="A31" s="3"/>
      <c r="B31" s="6" t="s">
        <v>168</v>
      </c>
      <c r="C31" s="937">
        <v>0</v>
      </c>
      <c r="D31" s="937">
        <v>0</v>
      </c>
      <c r="E31" s="937">
        <v>0</v>
      </c>
      <c r="F31" s="938">
        <v>0</v>
      </c>
      <c r="G31" s="937">
        <v>0</v>
      </c>
      <c r="H31" s="937">
        <v>0</v>
      </c>
      <c r="I31" s="937">
        <v>1.7576870969999998E-6</v>
      </c>
      <c r="J31" s="937">
        <v>6.1365464808798141E-2</v>
      </c>
      <c r="K31" s="937">
        <v>0</v>
      </c>
      <c r="L31" s="937">
        <v>6.8157765275399856E-3</v>
      </c>
      <c r="M31" s="937">
        <v>0</v>
      </c>
      <c r="N31" s="937">
        <v>0</v>
      </c>
      <c r="O31" s="937">
        <v>0</v>
      </c>
      <c r="P31" s="937">
        <v>0</v>
      </c>
      <c r="Q31" s="937">
        <v>0</v>
      </c>
      <c r="R31" s="938">
        <v>6.8182999023435123E-2</v>
      </c>
      <c r="S31" s="937">
        <v>0</v>
      </c>
      <c r="T31" s="937">
        <v>0</v>
      </c>
      <c r="U31" s="937">
        <v>0</v>
      </c>
      <c r="V31" s="938">
        <v>0</v>
      </c>
      <c r="W31" s="938">
        <v>6.8182999023435123E-2</v>
      </c>
      <c r="X31" s="937">
        <v>0</v>
      </c>
      <c r="Y31" s="937">
        <v>0</v>
      </c>
      <c r="Z31" s="937">
        <v>0</v>
      </c>
      <c r="AA31" s="939">
        <v>0</v>
      </c>
      <c r="AB31" s="939">
        <v>0</v>
      </c>
      <c r="AC31" s="938">
        <v>6.8182999023435123E-2</v>
      </c>
    </row>
    <row r="32" spans="1:31">
      <c r="A32" s="4"/>
      <c r="B32" s="127" t="s">
        <v>169</v>
      </c>
      <c r="C32" s="955">
        <v>0</v>
      </c>
      <c r="D32" s="955">
        <v>0</v>
      </c>
      <c r="E32" s="955">
        <v>0</v>
      </c>
      <c r="F32" s="954">
        <v>0</v>
      </c>
      <c r="G32" s="955">
        <v>0</v>
      </c>
      <c r="H32" s="955">
        <v>0</v>
      </c>
      <c r="I32" s="955">
        <v>0</v>
      </c>
      <c r="J32" s="955">
        <v>2.9625623571398396E-3</v>
      </c>
      <c r="K32" s="955">
        <v>0</v>
      </c>
      <c r="L32" s="955">
        <v>3.4144132042593003E-3</v>
      </c>
      <c r="M32" s="955">
        <v>0</v>
      </c>
      <c r="N32" s="955">
        <v>0</v>
      </c>
      <c r="O32" s="955">
        <v>0</v>
      </c>
      <c r="P32" s="955">
        <v>0</v>
      </c>
      <c r="Q32" s="955">
        <v>0</v>
      </c>
      <c r="R32" s="954">
        <v>6.3769755613991399E-3</v>
      </c>
      <c r="S32" s="955">
        <v>0</v>
      </c>
      <c r="T32" s="955">
        <v>0</v>
      </c>
      <c r="U32" s="955">
        <v>0</v>
      </c>
      <c r="V32" s="954">
        <v>0</v>
      </c>
      <c r="W32" s="954">
        <v>6.3769755613991399E-3</v>
      </c>
      <c r="X32" s="955">
        <v>0</v>
      </c>
      <c r="Y32" s="955">
        <v>0</v>
      </c>
      <c r="Z32" s="955">
        <v>4.9696416000000005E-5</v>
      </c>
      <c r="AA32" s="956">
        <v>0</v>
      </c>
      <c r="AB32" s="956">
        <v>0</v>
      </c>
      <c r="AC32" s="954">
        <v>6.42667197739914E-3</v>
      </c>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2" t="s">
        <v>471</v>
      </c>
      <c r="B2" s="1183"/>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84" t="s">
        <v>194</v>
      </c>
      <c r="B1" s="1185" t="s">
        <v>195</v>
      </c>
      <c r="C1" s="1186"/>
      <c r="D1" s="1186"/>
      <c r="E1" s="1186"/>
      <c r="F1" s="1186"/>
      <c r="G1" s="1186"/>
      <c r="H1" s="1186"/>
      <c r="I1" s="1186"/>
      <c r="J1" s="1186"/>
      <c r="K1" s="1186"/>
      <c r="L1" s="1186"/>
      <c r="M1" s="1186"/>
      <c r="N1" s="1186"/>
      <c r="O1" s="1186"/>
      <c r="P1" s="1186"/>
    </row>
    <row r="2" spans="1:16" s="334" customFormat="1" ht="15.75" customHeight="1" thickTop="1">
      <c r="A2" s="1184"/>
      <c r="B2" s="1187" t="s">
        <v>21</v>
      </c>
      <c r="C2" s="1187" t="s">
        <v>196</v>
      </c>
      <c r="D2" s="1189" t="s">
        <v>197</v>
      </c>
      <c r="E2" s="1190"/>
      <c r="F2" s="1190"/>
      <c r="G2" s="1190"/>
      <c r="H2" s="1190"/>
      <c r="I2" s="1190"/>
      <c r="J2" s="1190"/>
      <c r="K2" s="1191"/>
      <c r="L2" s="1189" t="s">
        <v>198</v>
      </c>
      <c r="M2" s="1190"/>
      <c r="N2" s="1190"/>
      <c r="O2" s="1190"/>
      <c r="P2" s="1191"/>
    </row>
    <row r="3" spans="1:16" s="334"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968.005</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968.005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0.19850584335491533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192.15464889677483</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84" t="s">
        <v>155</v>
      </c>
      <c r="B1" s="1185" t="s">
        <v>195</v>
      </c>
      <c r="C1" s="1186"/>
      <c r="D1" s="1186"/>
      <c r="E1" s="1186"/>
      <c r="F1" s="1186"/>
      <c r="G1" s="1186"/>
      <c r="H1" s="1186"/>
      <c r="I1" s="1186"/>
      <c r="J1" s="1186"/>
      <c r="K1" s="1186"/>
      <c r="L1" s="1186"/>
      <c r="M1" s="1186"/>
      <c r="N1" s="1186"/>
      <c r="O1" s="1186"/>
      <c r="P1" s="1186"/>
    </row>
    <row r="2" spans="1:16" s="334" customFormat="1" ht="15.75" customHeight="1" thickTop="1">
      <c r="A2" s="1184"/>
      <c r="B2" s="1187" t="s">
        <v>21</v>
      </c>
      <c r="C2" s="1187" t="s">
        <v>196</v>
      </c>
      <c r="D2" s="1189" t="s">
        <v>197</v>
      </c>
      <c r="E2" s="1190"/>
      <c r="F2" s="1190"/>
      <c r="G2" s="1190"/>
      <c r="H2" s="1190"/>
      <c r="I2" s="1190"/>
      <c r="J2" s="1190"/>
      <c r="K2" s="1191"/>
      <c r="L2" s="1189" t="s">
        <v>198</v>
      </c>
      <c r="M2" s="1190"/>
      <c r="N2" s="1190"/>
      <c r="O2" s="1190"/>
      <c r="P2" s="1191"/>
    </row>
    <row r="3" spans="1:16" s="334"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20691.172844821329</v>
      </c>
      <c r="C5" s="17">
        <f>IF(ISERROR('Eigen informatie GS &amp; warmtenet'!B57),0,'Eigen informatie GS &amp; warmtenet'!B57)</f>
        <v>0</v>
      </c>
      <c r="D5" s="30">
        <f>(SUM(HH_hh_gas_kWh,HH_rest_gas_kWh)/1000)*0.902</f>
        <v>43503.731201399627</v>
      </c>
      <c r="E5" s="17">
        <f>B46*B57</f>
        <v>13286.439446872591</v>
      </c>
      <c r="F5" s="17">
        <f>B51*B62</f>
        <v>17068.147382736825</v>
      </c>
      <c r="G5" s="18"/>
      <c r="H5" s="17"/>
      <c r="I5" s="17"/>
      <c r="J5" s="17">
        <f>B50*B61+C50*C61</f>
        <v>3691.7562335016828</v>
      </c>
      <c r="K5" s="17"/>
      <c r="L5" s="17"/>
      <c r="M5" s="17"/>
      <c r="N5" s="17">
        <f>B48*B59+C48*C59</f>
        <v>29675.464333796965</v>
      </c>
      <c r="O5" s="17">
        <f>B69*B70*B71</f>
        <v>314.23</v>
      </c>
      <c r="P5" s="17">
        <f>B77*B78*B79/1000-B77*B78*B79/1000/B80</f>
        <v>819.86666666666667</v>
      </c>
    </row>
    <row r="6" spans="1:16">
      <c r="A6" s="16" t="s">
        <v>621</v>
      </c>
      <c r="B6" s="843">
        <f>kWh_PV_kleiner_dan_10kW</f>
        <v>4764.1738838778328</v>
      </c>
      <c r="C6" s="844"/>
      <c r="D6" s="844"/>
      <c r="E6" s="845"/>
      <c r="F6" s="845"/>
      <c r="G6" s="845"/>
      <c r="H6" s="845"/>
      <c r="I6" s="845"/>
      <c r="J6" s="845"/>
      <c r="K6" s="845"/>
      <c r="L6" s="845"/>
      <c r="M6" s="845"/>
      <c r="N6" s="845"/>
      <c r="O6" s="845"/>
      <c r="P6" s="845"/>
    </row>
    <row r="7" spans="1:16">
      <c r="B7" s="19"/>
      <c r="C7" s="19"/>
      <c r="D7" s="19"/>
      <c r="E7" s="19"/>
      <c r="F7" s="19"/>
      <c r="G7" s="19"/>
      <c r="H7" s="19"/>
      <c r="I7" s="19"/>
      <c r="J7" s="19"/>
      <c r="K7" s="19"/>
      <c r="L7" s="19"/>
      <c r="M7" s="19"/>
      <c r="N7" s="19"/>
      <c r="O7" s="19"/>
      <c r="P7" s="19"/>
    </row>
    <row r="8" spans="1:16" s="8" customFormat="1">
      <c r="A8" s="20" t="s">
        <v>212</v>
      </c>
      <c r="B8" s="21">
        <f>B5+B6</f>
        <v>25455.346728699162</v>
      </c>
      <c r="C8" s="21">
        <f>C5</f>
        <v>0</v>
      </c>
      <c r="D8" s="21">
        <f>D5</f>
        <v>43503.731201399627</v>
      </c>
      <c r="E8" s="21">
        <f>E5</f>
        <v>13286.439446872591</v>
      </c>
      <c r="F8" s="21">
        <f>F5</f>
        <v>17068.147382736825</v>
      </c>
      <c r="G8" s="21"/>
      <c r="H8" s="21"/>
      <c r="I8" s="21"/>
      <c r="J8" s="21">
        <f>J5</f>
        <v>3691.7562335016828</v>
      </c>
      <c r="K8" s="21"/>
      <c r="L8" s="21">
        <f>L5</f>
        <v>0</v>
      </c>
      <c r="M8" s="21">
        <f>M5</f>
        <v>0</v>
      </c>
      <c r="N8" s="21">
        <f>N5</f>
        <v>29675.464333796965</v>
      </c>
      <c r="O8" s="21">
        <f>O5</f>
        <v>314.23</v>
      </c>
      <c r="P8" s="21">
        <f>P5</f>
        <v>819.86666666666667</v>
      </c>
    </row>
    <row r="9" spans="1:16">
      <c r="B9" s="19"/>
      <c r="C9" s="19"/>
      <c r="D9" s="258"/>
      <c r="E9" s="19"/>
      <c r="F9" s="19"/>
      <c r="G9" s="19"/>
      <c r="H9" s="19"/>
      <c r="I9" s="19"/>
      <c r="J9" s="19"/>
      <c r="K9" s="19"/>
      <c r="L9" s="19"/>
      <c r="M9" s="19"/>
      <c r="N9" s="19"/>
      <c r="O9" s="19"/>
      <c r="P9" s="19"/>
    </row>
    <row r="10" spans="1:16">
      <c r="A10" s="24" t="s">
        <v>214</v>
      </c>
      <c r="B10" s="25">
        <f ca="1">'EF ele_warmte'!B12</f>
        <v>0.19850584335491533</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5053.0350702722126</v>
      </c>
      <c r="C12" s="23">
        <f ca="1">C10*C8</f>
        <v>0</v>
      </c>
      <c r="D12" s="23">
        <f>D8*D10</f>
        <v>8787.7537026827249</v>
      </c>
      <c r="E12" s="23">
        <f>E10*E8</f>
        <v>3016.0217544400784</v>
      </c>
      <c r="F12" s="23">
        <f>F10*F8</f>
        <v>4557.1953511907323</v>
      </c>
      <c r="G12" s="23"/>
      <c r="H12" s="23"/>
      <c r="I12" s="23"/>
      <c r="J12" s="23">
        <f>J10*J8</f>
        <v>1306.8817066595957</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1717</v>
      </c>
      <c r="C18" s="166" t="s">
        <v>111</v>
      </c>
      <c r="D18" s="228"/>
      <c r="E18" s="15"/>
    </row>
    <row r="19" spans="1:7">
      <c r="A19" s="171" t="s">
        <v>72</v>
      </c>
      <c r="B19" s="37">
        <f>aantalw2001_ander</f>
        <v>0</v>
      </c>
      <c r="C19" s="166" t="s">
        <v>111</v>
      </c>
      <c r="D19" s="229"/>
      <c r="E19" s="15"/>
    </row>
    <row r="20" spans="1:7">
      <c r="A20" s="171" t="s">
        <v>73</v>
      </c>
      <c r="B20" s="37">
        <f>aantalw2001_propaan</f>
        <v>325</v>
      </c>
      <c r="C20" s="167">
        <f>IF(ISERROR(B20/SUM($B$20,$B$21,$B$22)*100),0,B20/SUM($B$20,$B$21,$B$22)*100)</f>
        <v>33.574380165289256</v>
      </c>
      <c r="D20" s="229"/>
      <c r="E20" s="15"/>
    </row>
    <row r="21" spans="1:7">
      <c r="A21" s="171" t="s">
        <v>74</v>
      </c>
      <c r="B21" s="37">
        <f>aantalw2001_elektriciteit</f>
        <v>430</v>
      </c>
      <c r="C21" s="167">
        <f>IF(ISERROR(B21/SUM($B$20,$B$21,$B$22)*100),0,B21/SUM($B$20,$B$21,$B$22)*100)</f>
        <v>44.421487603305785</v>
      </c>
      <c r="D21" s="229"/>
      <c r="E21" s="15"/>
    </row>
    <row r="22" spans="1:7">
      <c r="A22" s="171" t="s">
        <v>75</v>
      </c>
      <c r="B22" s="37">
        <f>aantalw2001_hout</f>
        <v>213</v>
      </c>
      <c r="C22" s="167">
        <f>IF(ISERROR(B22/SUM($B$20,$B$21,$B$22)*100),0,B22/SUM($B$20,$B$21,$B$22)*100)</f>
        <v>22.004132231404956</v>
      </c>
      <c r="D22" s="229"/>
      <c r="E22" s="15"/>
    </row>
    <row r="23" spans="1:7">
      <c r="A23" s="171" t="s">
        <v>76</v>
      </c>
      <c r="B23" s="37">
        <f>aantalw2001_niet_gespec</f>
        <v>98</v>
      </c>
      <c r="C23" s="166" t="s">
        <v>111</v>
      </c>
      <c r="D23" s="228"/>
      <c r="E23" s="15"/>
    </row>
    <row r="24" spans="1:7">
      <c r="A24" s="171" t="s">
        <v>77</v>
      </c>
      <c r="B24" s="37">
        <f>aantalw2001_steenkool</f>
        <v>235</v>
      </c>
      <c r="C24" s="166" t="s">
        <v>111</v>
      </c>
      <c r="D24" s="229"/>
      <c r="E24" s="15"/>
    </row>
    <row r="25" spans="1:7">
      <c r="A25" s="171" t="s">
        <v>78</v>
      </c>
      <c r="B25" s="37">
        <f>aantalw2001_stookolie</f>
        <v>1832</v>
      </c>
      <c r="C25" s="166" t="s">
        <v>111</v>
      </c>
      <c r="D25" s="228"/>
      <c r="E25" s="52"/>
    </row>
    <row r="26" spans="1:7">
      <c r="A26" s="171" t="s">
        <v>79</v>
      </c>
      <c r="B26" s="37">
        <f>aantalw2001_WP</f>
        <v>2</v>
      </c>
      <c r="C26" s="166" t="s">
        <v>111</v>
      </c>
      <c r="D26" s="228"/>
      <c r="E26" s="15"/>
    </row>
    <row r="27" spans="1:7" s="15" customFormat="1">
      <c r="A27" s="171"/>
      <c r="B27" s="29"/>
      <c r="C27" s="36"/>
      <c r="D27" s="228"/>
    </row>
    <row r="28" spans="1:7" s="15" customFormat="1">
      <c r="A28" s="230" t="s">
        <v>794</v>
      </c>
      <c r="B28" s="37">
        <f>aantalHuishoudens2011</f>
        <v>5696</v>
      </c>
      <c r="C28" s="36"/>
      <c r="D28" s="228"/>
    </row>
    <row r="29" spans="1:7" s="15" customFormat="1">
      <c r="A29" s="230" t="s">
        <v>795</v>
      </c>
      <c r="B29" s="37">
        <f>SUM(HH_hh_gas_aantal,HH_rest_gas_aantal)</f>
        <v>3020</v>
      </c>
      <c r="C29" s="36"/>
      <c r="D29" s="228"/>
    </row>
    <row r="30" spans="1:7" s="15" customFormat="1">
      <c r="A30" s="231"/>
      <c r="B30" s="29"/>
      <c r="C30" s="36"/>
      <c r="D30" s="232"/>
    </row>
    <row r="31" spans="1:7">
      <c r="A31" s="172" t="s">
        <v>796</v>
      </c>
      <c r="B31" s="168" t="s">
        <v>216</v>
      </c>
      <c r="C31" s="165" t="s">
        <v>217</v>
      </c>
      <c r="D31" s="174"/>
      <c r="G31" s="15"/>
    </row>
    <row r="32" spans="1:7">
      <c r="A32" s="171" t="s">
        <v>71</v>
      </c>
      <c r="B32" s="37">
        <f>B29</f>
        <v>3020</v>
      </c>
      <c r="C32" s="167">
        <f>IF(ISERROR(B32/SUM($B$32,$B$34,$B$35,$B$36,$B$38,$B$39)*100),0,B32/SUM($B$32,$B$34,$B$35,$B$36,$B$38,$B$39)*100)</f>
        <v>53.422961259508227</v>
      </c>
      <c r="D32" s="233"/>
      <c r="G32" s="15"/>
    </row>
    <row r="33" spans="1:7">
      <c r="A33" s="171" t="s">
        <v>72</v>
      </c>
      <c r="B33" s="34" t="s">
        <v>111</v>
      </c>
      <c r="C33" s="167"/>
      <c r="D33" s="233"/>
      <c r="G33" s="15"/>
    </row>
    <row r="34" spans="1:7">
      <c r="A34" s="171" t="s">
        <v>73</v>
      </c>
      <c r="B34" s="33">
        <f>IF((($B$28-$B$32-$B$39-$B$77-$B$38)*C20/100)&lt;0,0,($B$28-$B$32-$B$39-$B$77-$B$38)*C20/100)</f>
        <v>627.50516528925618</v>
      </c>
      <c r="C34" s="167">
        <f>IF(ISERROR(B34/SUM($B$32,$B$34,$B$35,$B$36,$B$38,$B$39)*100),0,B34/SUM($B$32,$B$34,$B$35,$B$36,$B$38,$B$39)*100)</f>
        <v>11.100392097811005</v>
      </c>
      <c r="D34" s="233"/>
      <c r="G34" s="15"/>
    </row>
    <row r="35" spans="1:7">
      <c r="A35" s="171" t="s">
        <v>74</v>
      </c>
      <c r="B35" s="33">
        <f>IF((($B$28-$B$32-$B$39-$B$77-$B$38)*C21/100)&lt;0,0,($B$28-$B$32-$B$39-$B$77-$B$38)*C21/100)</f>
        <v>830.23760330578511</v>
      </c>
      <c r="C35" s="167">
        <f>IF(ISERROR(B35/SUM($B$32,$B$34,$B$35,$B$36,$B$38,$B$39)*100),0,B35/SUM($B$32,$B$34,$B$35,$B$36,$B$38,$B$39)*100)</f>
        <v>14.686672621719177</v>
      </c>
      <c r="D35" s="233"/>
      <c r="G35" s="15"/>
    </row>
    <row r="36" spans="1:7">
      <c r="A36" s="171" t="s">
        <v>75</v>
      </c>
      <c r="B36" s="33">
        <f>IF((($B$28-$B$32-$B$39-$B$77-$B$38)*C22/100)&lt;0,0,($B$28-$B$32-$B$39-$B$77-$B$38)*C22/100)</f>
        <v>411.25723140495865</v>
      </c>
      <c r="C36" s="167">
        <f>IF(ISERROR(B36/SUM($B$32,$B$34,$B$35,$B$36,$B$38,$B$39)*100),0,B36/SUM($B$32,$B$34,$B$35,$B$36,$B$38,$B$39)*100)</f>
        <v>7.2750262056422903</v>
      </c>
      <c r="D36" s="233"/>
      <c r="G36" s="15"/>
    </row>
    <row r="37" spans="1:7">
      <c r="A37" s="171" t="s">
        <v>76</v>
      </c>
      <c r="B37" s="34" t="s">
        <v>111</v>
      </c>
      <c r="C37" s="167"/>
      <c r="D37" s="173"/>
      <c r="G37" s="15"/>
    </row>
    <row r="38" spans="1:7">
      <c r="A38" s="171" t="s">
        <v>77</v>
      </c>
      <c r="B38" s="33">
        <f>IF((B24-(B29-B18)*0.1)&lt;0,0,B24-(B29-B18)*0.1)</f>
        <v>104.69999999999999</v>
      </c>
      <c r="C38" s="167">
        <f>IF(ISERROR(B38/SUM($B$32,$B$34,$B$35,$B$36,$B$38,$B$39)*100),0,B38/SUM($B$32,$B$34,$B$35,$B$36,$B$38,$B$39)*100)</f>
        <v>1.8521139218114273</v>
      </c>
      <c r="D38" s="234"/>
      <c r="G38" s="15"/>
    </row>
    <row r="39" spans="1:7">
      <c r="A39" s="171" t="s">
        <v>78</v>
      </c>
      <c r="B39" s="33">
        <f>IF((B25-(B29-B18))&lt;0,0,B25-(B29-B18)*0.9)</f>
        <v>659.3</v>
      </c>
      <c r="C39" s="167">
        <f>IF(ISERROR(B39/SUM($B$32,$B$34,$B$35,$B$36,$B$38,$B$39)*100),0,B39/SUM($B$32,$B$34,$B$35,$B$36,$B$38,$B$39)*100)</f>
        <v>11.662833893507871</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791</v>
      </c>
      <c r="C43" s="169" t="s">
        <v>792</v>
      </c>
      <c r="D43" s="174"/>
    </row>
    <row r="44" spans="1:7">
      <c r="A44" s="171" t="s">
        <v>71</v>
      </c>
      <c r="B44" s="33">
        <f t="shared" ref="B44:B52" si="0">B32</f>
        <v>3020</v>
      </c>
      <c r="C44" s="34" t="s">
        <v>111</v>
      </c>
      <c r="D44" s="174"/>
    </row>
    <row r="45" spans="1:7">
      <c r="A45" s="171" t="s">
        <v>72</v>
      </c>
      <c r="B45" s="33" t="str">
        <f t="shared" si="0"/>
        <v>-</v>
      </c>
      <c r="C45" s="34" t="s">
        <v>111</v>
      </c>
      <c r="D45" s="174"/>
    </row>
    <row r="46" spans="1:7">
      <c r="A46" s="171" t="s">
        <v>73</v>
      </c>
      <c r="B46" s="33">
        <f t="shared" si="0"/>
        <v>627.50516528925618</v>
      </c>
      <c r="C46" s="34" t="s">
        <v>111</v>
      </c>
      <c r="D46" s="174"/>
    </row>
    <row r="47" spans="1:7">
      <c r="A47" s="171" t="s">
        <v>74</v>
      </c>
      <c r="B47" s="33">
        <f t="shared" si="0"/>
        <v>830.23760330578511</v>
      </c>
      <c r="C47" s="34" t="s">
        <v>111</v>
      </c>
      <c r="D47" s="174"/>
    </row>
    <row r="48" spans="1:7">
      <c r="A48" s="171" t="s">
        <v>75</v>
      </c>
      <c r="B48" s="33">
        <f t="shared" si="0"/>
        <v>411.25723140495865</v>
      </c>
      <c r="C48" s="33">
        <f>B48*10</f>
        <v>4112.5723140495866</v>
      </c>
      <c r="D48" s="234"/>
    </row>
    <row r="49" spans="1:6">
      <c r="A49" s="171" t="s">
        <v>76</v>
      </c>
      <c r="B49" s="33" t="str">
        <f t="shared" si="0"/>
        <v>-</v>
      </c>
      <c r="C49" s="34" t="s">
        <v>111</v>
      </c>
      <c r="D49" s="234"/>
    </row>
    <row r="50" spans="1:6">
      <c r="A50" s="171" t="s">
        <v>77</v>
      </c>
      <c r="B50" s="33">
        <f t="shared" si="0"/>
        <v>104.69999999999999</v>
      </c>
      <c r="C50" s="33">
        <f>B50*2</f>
        <v>209.39999999999998</v>
      </c>
      <c r="D50" s="234"/>
    </row>
    <row r="51" spans="1:6">
      <c r="A51" s="171" t="s">
        <v>78</v>
      </c>
      <c r="B51" s="33">
        <f t="shared" si="0"/>
        <v>659.3</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201</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43</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156</v>
      </c>
      <c r="B1" s="1185" t="s">
        <v>195</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14791.335578664935</v>
      </c>
      <c r="C5" s="17">
        <f>IF(ISERROR('Eigen informatie GS &amp; warmtenet'!B58),0,'Eigen informatie GS &amp; warmtenet'!B58)</f>
        <v>0</v>
      </c>
      <c r="D5" s="30">
        <f>SUM(D6:D12)</f>
        <v>12953.874355361375</v>
      </c>
      <c r="E5" s="17">
        <f>SUM(E6:E12)</f>
        <v>236.98630471161727</v>
      </c>
      <c r="F5" s="17">
        <f>SUM(F6:F12)</f>
        <v>2728.7566817100192</v>
      </c>
      <c r="G5" s="18"/>
      <c r="H5" s="17"/>
      <c r="I5" s="17"/>
      <c r="J5" s="17">
        <f>SUM(J6:J12)</f>
        <v>5.6248005265886018E-2</v>
      </c>
      <c r="K5" s="17"/>
      <c r="L5" s="17"/>
      <c r="M5" s="17"/>
      <c r="N5" s="17">
        <f>SUM(N6:N12)</f>
        <v>2223.0411730325659</v>
      </c>
      <c r="O5" s="17">
        <f>B38*B39*B40</f>
        <v>6.2533333333333339</v>
      </c>
      <c r="P5" s="17">
        <f>B46*B47*B48/1000-B46*B47*B48/1000/B49</f>
        <v>0</v>
      </c>
      <c r="R5" s="32"/>
    </row>
    <row r="6" spans="1:18">
      <c r="A6" s="32" t="s">
        <v>54</v>
      </c>
      <c r="B6" s="37">
        <f>B26</f>
        <v>3399.7503412688798</v>
      </c>
      <c r="C6" s="33"/>
      <c r="D6" s="37">
        <f>IF(ISERROR(TER_kantoor_gas_kWh/1000),0,TER_kantoor_gas_kWh/1000)*0.902</f>
        <v>2542.7009759642201</v>
      </c>
      <c r="E6" s="33">
        <f>$C$26*'E Balans VL '!I12/100/3.6*1000000</f>
        <v>2.1308504399824461E-2</v>
      </c>
      <c r="F6" s="33">
        <f>$C$26*('E Balans VL '!L12+'E Balans VL '!N12)/100/3.6*1000000</f>
        <v>510.88747820785289</v>
      </c>
      <c r="G6" s="34"/>
      <c r="H6" s="33"/>
      <c r="I6" s="33"/>
      <c r="J6" s="33">
        <f>$C$26*('E Balans VL '!D12+'E Balans VL '!E12)/100/3.6*1000000</f>
        <v>0</v>
      </c>
      <c r="K6" s="33"/>
      <c r="L6" s="33"/>
      <c r="M6" s="33"/>
      <c r="N6" s="33">
        <f>$C$26*'E Balans VL '!Y12/100/3.6*1000000</f>
        <v>3.2513571331170352</v>
      </c>
      <c r="O6" s="33"/>
      <c r="P6" s="33"/>
      <c r="R6" s="32"/>
    </row>
    <row r="7" spans="1:18">
      <c r="A7" s="32" t="s">
        <v>53</v>
      </c>
      <c r="B7" s="37">
        <f t="shared" ref="B7:B12" si="0">B27</f>
        <v>1175.47808399007</v>
      </c>
      <c r="C7" s="33"/>
      <c r="D7" s="37">
        <f>IF(ISERROR(TER_horeca_gas_kWh/1000),0,TER_horeca_gas_kWh/1000)*0.902</f>
        <v>1262.6496544570475</v>
      </c>
      <c r="E7" s="33">
        <f>$C$27*'E Balans VL '!I9/100/3.6*1000000</f>
        <v>16.832650365466339</v>
      </c>
      <c r="F7" s="33">
        <f>$C$27*('E Balans VL '!L9+'E Balans VL '!N9)/100/3.6*1000000</f>
        <v>148.85429419395288</v>
      </c>
      <c r="G7" s="34"/>
      <c r="H7" s="33"/>
      <c r="I7" s="33"/>
      <c r="J7" s="33">
        <f>$C$27*('E Balans VL '!D9+'E Balans VL '!E9)/100/3.6*1000000</f>
        <v>0</v>
      </c>
      <c r="K7" s="33"/>
      <c r="L7" s="33"/>
      <c r="M7" s="33"/>
      <c r="N7" s="33">
        <f>$C$27*'E Balans VL '!Y9/100/3.6*1000000</f>
        <v>0.33792403208010557</v>
      </c>
      <c r="O7" s="33"/>
      <c r="P7" s="33"/>
      <c r="R7" s="32"/>
    </row>
    <row r="8" spans="1:18">
      <c r="A8" s="6" t="s">
        <v>52</v>
      </c>
      <c r="B8" s="37">
        <f t="shared" si="0"/>
        <v>5246.7961670650602</v>
      </c>
      <c r="C8" s="33"/>
      <c r="D8" s="37">
        <f>IF(ISERROR(TER_handel_gas_kWh/1000),0,TER_handel_gas_kWh/1000)*0.902</f>
        <v>1454.3122515674015</v>
      </c>
      <c r="E8" s="33">
        <f>$C$28*'E Balans VL '!I13/100/3.6*1000000</f>
        <v>190.30064997353324</v>
      </c>
      <c r="F8" s="33">
        <f>$C$28*('E Balans VL '!L13+'E Balans VL '!N13)/100/3.6*1000000</f>
        <v>1010.5860689656432</v>
      </c>
      <c r="G8" s="34"/>
      <c r="H8" s="33"/>
      <c r="I8" s="33"/>
      <c r="J8" s="33">
        <f>$C$28*('E Balans VL '!D13+'E Balans VL '!E13)/100/3.6*1000000</f>
        <v>0</v>
      </c>
      <c r="K8" s="33"/>
      <c r="L8" s="33"/>
      <c r="M8" s="33"/>
      <c r="N8" s="33">
        <f>$C$28*'E Balans VL '!Y13/100/3.6*1000000</f>
        <v>7.268019925342128</v>
      </c>
      <c r="O8" s="33"/>
      <c r="P8" s="33"/>
      <c r="R8" s="32"/>
    </row>
    <row r="9" spans="1:18">
      <c r="A9" s="32" t="s">
        <v>51</v>
      </c>
      <c r="B9" s="37">
        <f t="shared" si="0"/>
        <v>457.95723439345198</v>
      </c>
      <c r="C9" s="33"/>
      <c r="D9" s="37">
        <f>IF(ISERROR(TER_gezond_gas_kWh/1000),0,TER_gezond_gas_kWh/1000)*0.902</f>
        <v>548.73181644739282</v>
      </c>
      <c r="E9" s="33">
        <f>$C$29*'E Balans VL '!I10/100/3.6*1000000</f>
        <v>2.8672644383861565E-2</v>
      </c>
      <c r="F9" s="33">
        <f>$C$29*('E Balans VL '!L10+'E Balans VL '!N10)/100/3.6*1000000</f>
        <v>68.030941516135442</v>
      </c>
      <c r="G9" s="34"/>
      <c r="H9" s="33"/>
      <c r="I9" s="33"/>
      <c r="J9" s="33">
        <f>$C$29*('E Balans VL '!D10+'E Balans VL '!E10)/100/3.6*1000000</f>
        <v>0</v>
      </c>
      <c r="K9" s="33"/>
      <c r="L9" s="33"/>
      <c r="M9" s="33"/>
      <c r="N9" s="33">
        <f>$C$29*'E Balans VL '!Y10/100/3.6*1000000</f>
        <v>7.0837266906937435</v>
      </c>
      <c r="O9" s="33"/>
      <c r="P9" s="33"/>
      <c r="R9" s="32"/>
    </row>
    <row r="10" spans="1:18">
      <c r="A10" s="32" t="s">
        <v>50</v>
      </c>
      <c r="B10" s="37">
        <f t="shared" si="0"/>
        <v>2366.7029112385303</v>
      </c>
      <c r="C10" s="33"/>
      <c r="D10" s="37">
        <f>IF(ISERROR(TER_ander_gas_kWh/1000),0,TER_ander_gas_kWh/1000)*0.902</f>
        <v>3517.9952536842334</v>
      </c>
      <c r="E10" s="33">
        <f>$C$30*'E Balans VL '!I14/100/3.6*1000000</f>
        <v>2.8210252985243818</v>
      </c>
      <c r="F10" s="33">
        <f>$C$30*('E Balans VL '!L14+'E Balans VL '!N14)/100/3.6*1000000</f>
        <v>619.23469692748915</v>
      </c>
      <c r="G10" s="34"/>
      <c r="H10" s="33"/>
      <c r="I10" s="33"/>
      <c r="J10" s="33">
        <f>$C$30*('E Balans VL '!D14+'E Balans VL '!E14)/100/3.6*1000000</f>
        <v>5.137184298373864E-2</v>
      </c>
      <c r="K10" s="33"/>
      <c r="L10" s="33"/>
      <c r="M10" s="33"/>
      <c r="N10" s="33">
        <f>$C$30*'E Balans VL '!Y14/100/3.6*1000000</f>
        <v>2009.7461998186968</v>
      </c>
      <c r="O10" s="33"/>
      <c r="P10" s="33"/>
      <c r="R10" s="32"/>
    </row>
    <row r="11" spans="1:18">
      <c r="A11" s="32" t="s">
        <v>55</v>
      </c>
      <c r="B11" s="37">
        <f t="shared" si="0"/>
        <v>130.976893144092</v>
      </c>
      <c r="C11" s="33"/>
      <c r="D11" s="37">
        <f>IF(ISERROR(TER_onderwijs_gas_kWh/1000),0,TER_onderwijs_gas_kWh/1000)*0.902</f>
        <v>399.56252084804652</v>
      </c>
      <c r="E11" s="33">
        <f>$C$31*'E Balans VL '!I11/100/3.6*1000000</f>
        <v>1.9762303591979749</v>
      </c>
      <c r="F11" s="33">
        <f>$C$31*('E Balans VL '!L11+'E Balans VL '!N11)/100/3.6*1000000</f>
        <v>22.949244096961635</v>
      </c>
      <c r="G11" s="34"/>
      <c r="H11" s="33"/>
      <c r="I11" s="33"/>
      <c r="J11" s="33">
        <f>$C$31*('E Balans VL '!D11+'E Balans VL '!E11)/100/3.6*1000000</f>
        <v>0</v>
      </c>
      <c r="K11" s="33"/>
      <c r="L11" s="33"/>
      <c r="M11" s="33"/>
      <c r="N11" s="33">
        <f>$C$31*'E Balans VL '!Y11/100/3.6*1000000</f>
        <v>0.36857893455008212</v>
      </c>
      <c r="O11" s="33"/>
      <c r="P11" s="33"/>
      <c r="R11" s="32"/>
    </row>
    <row r="12" spans="1:18">
      <c r="A12" s="32" t="s">
        <v>260</v>
      </c>
      <c r="B12" s="37">
        <f t="shared" si="0"/>
        <v>2013.6739475648501</v>
      </c>
      <c r="C12" s="33"/>
      <c r="D12" s="37">
        <f>IF(ISERROR(TER_rest_gas_kWh/1000),0,TER_rest_gas_kWh/1000)*0.902</f>
        <v>3227.9218823930341</v>
      </c>
      <c r="E12" s="33">
        <f>$C$32*'E Balans VL '!I8/100/3.6*1000000</f>
        <v>25.005767566111622</v>
      </c>
      <c r="F12" s="33">
        <f>$C$32*('E Balans VL '!L8+'E Balans VL '!N8)/100/3.6*1000000</f>
        <v>348.21395780198407</v>
      </c>
      <c r="G12" s="34"/>
      <c r="H12" s="33"/>
      <c r="I12" s="33"/>
      <c r="J12" s="33">
        <f>$C$32*('E Balans VL '!D8+'E Balans VL '!E8)/100/3.6*1000000</f>
        <v>4.8761622821473765E-3</v>
      </c>
      <c r="K12" s="33"/>
      <c r="L12" s="33"/>
      <c r="M12" s="33"/>
      <c r="N12" s="33">
        <f>$C$32*'E Balans VL '!Y8/100/3.6*1000000</f>
        <v>194.98536649808585</v>
      </c>
      <c r="O12" s="33"/>
      <c r="P12" s="33"/>
      <c r="R12" s="32"/>
    </row>
    <row r="13" spans="1:18">
      <c r="A13" s="16" t="s">
        <v>488</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14791.335578664935</v>
      </c>
      <c r="C16" s="21">
        <f t="shared" ca="1" si="1"/>
        <v>0</v>
      </c>
      <c r="D16" s="21">
        <f t="shared" ca="1" si="1"/>
        <v>12953.874355361375</v>
      </c>
      <c r="E16" s="21">
        <f t="shared" si="1"/>
        <v>236.98630471161727</v>
      </c>
      <c r="F16" s="21">
        <f t="shared" ca="1" si="1"/>
        <v>2728.7566817100192</v>
      </c>
      <c r="G16" s="21">
        <f t="shared" si="1"/>
        <v>0</v>
      </c>
      <c r="H16" s="21">
        <f t="shared" si="1"/>
        <v>0</v>
      </c>
      <c r="I16" s="21">
        <f t="shared" si="1"/>
        <v>0</v>
      </c>
      <c r="J16" s="21">
        <f t="shared" si="1"/>
        <v>5.6248005265886018E-2</v>
      </c>
      <c r="K16" s="21">
        <f t="shared" si="1"/>
        <v>0</v>
      </c>
      <c r="L16" s="21">
        <f t="shared" ca="1" si="1"/>
        <v>0</v>
      </c>
      <c r="M16" s="21">
        <f t="shared" si="1"/>
        <v>0</v>
      </c>
      <c r="N16" s="21">
        <f t="shared" ca="1" si="1"/>
        <v>2223.0411730325659</v>
      </c>
      <c r="O16" s="21">
        <f>O5</f>
        <v>6.2533333333333339</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0.19850584335491533</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2936.1665433884477</v>
      </c>
      <c r="C20" s="23">
        <f t="shared" ref="C20:P20" ca="1" si="2">C16*C18</f>
        <v>0</v>
      </c>
      <c r="D20" s="23">
        <f t="shared" ca="1" si="2"/>
        <v>2616.6826197829978</v>
      </c>
      <c r="E20" s="23">
        <f t="shared" si="2"/>
        <v>53.795891169537121</v>
      </c>
      <c r="F20" s="23">
        <f t="shared" ca="1" si="2"/>
        <v>728.5780340165752</v>
      </c>
      <c r="G20" s="23">
        <f t="shared" si="2"/>
        <v>0</v>
      </c>
      <c r="H20" s="23">
        <f t="shared" si="2"/>
        <v>0</v>
      </c>
      <c r="I20" s="23">
        <f t="shared" si="2"/>
        <v>0</v>
      </c>
      <c r="J20" s="23">
        <f t="shared" si="2"/>
        <v>1.9911793864123648E-2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3399.7503412688798</v>
      </c>
      <c r="C26" s="39">
        <f>IF(ISERROR(B26*3.6/1000000/'E Balans VL '!Z12*100),0,B26*3.6/1000000/'E Balans VL '!Z12*100)</f>
        <v>7.1865336574858149E-2</v>
      </c>
      <c r="D26" s="237" t="s">
        <v>754</v>
      </c>
      <c r="F26" s="6"/>
    </row>
    <row r="27" spans="1:18">
      <c r="A27" s="231" t="s">
        <v>53</v>
      </c>
      <c r="B27" s="33">
        <f>IF(ISERROR(TER_horeca_ele_kWh/1000),0,TER_horeca_ele_kWh/1000)</f>
        <v>1175.47808399007</v>
      </c>
      <c r="C27" s="39">
        <f>IF(ISERROR(B27*3.6/1000000/'E Balans VL '!Z9*100),0,B27*3.6/1000000/'E Balans VL '!Z9*100)</f>
        <v>9.2662499237888329E-2</v>
      </c>
      <c r="D27" s="237" t="s">
        <v>754</v>
      </c>
      <c r="F27" s="6"/>
    </row>
    <row r="28" spans="1:18">
      <c r="A28" s="171" t="s">
        <v>52</v>
      </c>
      <c r="B28" s="33">
        <f>IF(ISERROR(TER_handel_ele_kWh/1000),0,TER_handel_ele_kWh/1000)</f>
        <v>5246.7961670650602</v>
      </c>
      <c r="C28" s="39">
        <f>IF(ISERROR(B28*3.6/1000000/'E Balans VL '!Z13*100),0,B28*3.6/1000000/'E Balans VL '!Z13*100)</f>
        <v>0.15228322420026874</v>
      </c>
      <c r="D28" s="237" t="s">
        <v>754</v>
      </c>
      <c r="F28" s="6"/>
    </row>
    <row r="29" spans="1:18">
      <c r="A29" s="231" t="s">
        <v>51</v>
      </c>
      <c r="B29" s="33">
        <f>IF(ISERROR(TER_gezond_ele_kWh/1000),0,TER_gezond_ele_kWh/1000)</f>
        <v>457.95723439345198</v>
      </c>
      <c r="C29" s="39">
        <f>IF(ISERROR(B29*3.6/1000000/'E Balans VL '!Z10*100),0,B29*3.6/1000000/'E Balans VL '!Z10*100)</f>
        <v>4.8230416637914372E-2</v>
      </c>
      <c r="D29" s="237" t="s">
        <v>754</v>
      </c>
      <c r="F29" s="6"/>
    </row>
    <row r="30" spans="1:18">
      <c r="A30" s="231" t="s">
        <v>50</v>
      </c>
      <c r="B30" s="33">
        <f>IF(ISERROR(TER_ander_ele_kWh/1000),0,TER_ander_ele_kWh/1000)</f>
        <v>2366.7029112385303</v>
      </c>
      <c r="C30" s="39">
        <f>IF(ISERROR(B30*3.6/1000000/'E Balans VL '!Z14*100),0,B30*3.6/1000000/'E Balans VL '!Z14*100)</f>
        <v>0.17456852077826926</v>
      </c>
      <c r="D30" s="237" t="s">
        <v>754</v>
      </c>
      <c r="F30" s="6"/>
    </row>
    <row r="31" spans="1:18">
      <c r="A31" s="231" t="s">
        <v>55</v>
      </c>
      <c r="B31" s="33">
        <f>IF(ISERROR(TER_onderwijs_ele_kWh/1000),0,TER_onderwijs_ele_kWh/1000)</f>
        <v>130.976893144092</v>
      </c>
      <c r="C31" s="39">
        <f>IF(ISERROR(B31*3.6/1000000/'E Balans VL '!Z11*100),0,B31*3.6/1000000/'E Balans VL '!Z11*100)</f>
        <v>3.2527697886674485E-2</v>
      </c>
      <c r="D31" s="237" t="s">
        <v>754</v>
      </c>
    </row>
    <row r="32" spans="1:18">
      <c r="A32" s="231" t="s">
        <v>260</v>
      </c>
      <c r="B32" s="33">
        <f>IF(ISERROR(TER_rest_ele_kWh/1000),0,TER_rest_ele_kWh/1000)</f>
        <v>2013.6739475648501</v>
      </c>
      <c r="C32" s="39">
        <f>IF(ISERROR(B32*3.6/1000000/'E Balans VL '!Z8*100),0,B32*3.6/1000000/'E Balans VL '!Z8*100)</f>
        <v>1.6569863707998674E-2</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4</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61">
        <f>aantalWP_NB_ander+antalWP_NB_ander_met_kantoor+aantalWP_NB_kantoor+aantalWP_NB_school+WP_NHH_bestaande_bouw</f>
        <v>0</v>
      </c>
      <c r="C46" s="32"/>
      <c r="D46" s="232"/>
    </row>
    <row r="47" spans="1:4">
      <c r="A47" s="171" t="s">
        <v>447</v>
      </c>
      <c r="B47" s="562">
        <v>13</v>
      </c>
      <c r="C47" s="32" t="s">
        <v>263</v>
      </c>
      <c r="D47" s="309" t="s">
        <v>507</v>
      </c>
    </row>
    <row r="48" spans="1:4">
      <c r="A48" s="171" t="s">
        <v>448</v>
      </c>
      <c r="B48" s="562">
        <v>2000</v>
      </c>
      <c r="C48" s="32" t="s">
        <v>265</v>
      </c>
      <c r="D48" s="309" t="s">
        <v>507</v>
      </c>
    </row>
    <row r="49" spans="1:4">
      <c r="A49" s="171" t="s">
        <v>410</v>
      </c>
      <c r="B49" s="562">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163</v>
      </c>
      <c r="B1" s="1185" t="s">
        <v>195</v>
      </c>
      <c r="C1" s="1186"/>
      <c r="D1" s="1186"/>
      <c r="E1" s="1186"/>
      <c r="F1" s="1186"/>
      <c r="G1" s="1186"/>
      <c r="H1" s="1186"/>
      <c r="I1" s="1186"/>
      <c r="J1" s="1186"/>
      <c r="K1" s="1186"/>
      <c r="L1" s="1186"/>
      <c r="M1" s="1186"/>
      <c r="N1" s="1186"/>
      <c r="O1" s="1186"/>
      <c r="P1" s="1186"/>
      <c r="R1" s="825"/>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c r="R2" s="825"/>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825"/>
    </row>
    <row r="4" spans="1:18" ht="15.75">
      <c r="A4" s="13"/>
      <c r="B4" s="14"/>
      <c r="C4" s="14"/>
      <c r="D4" s="14"/>
      <c r="E4" s="14"/>
      <c r="F4" s="14"/>
      <c r="G4" s="14"/>
      <c r="H4" s="14"/>
      <c r="I4" s="14"/>
      <c r="J4" s="14"/>
      <c r="K4" s="14"/>
      <c r="L4" s="14"/>
      <c r="M4" s="14"/>
      <c r="N4" s="14"/>
      <c r="O4" s="14"/>
      <c r="P4" s="14"/>
      <c r="R4" s="6"/>
    </row>
    <row r="5" spans="1:18">
      <c r="A5" s="16" t="s">
        <v>269</v>
      </c>
      <c r="B5" s="30">
        <f>SUM(B6:B15)</f>
        <v>31697.797659111755</v>
      </c>
      <c r="C5" s="17">
        <f>IF(ISERROR('Eigen informatie GS &amp; warmtenet'!B59),0,'Eigen informatie GS &amp; warmtenet'!B59)</f>
        <v>0</v>
      </c>
      <c r="D5" s="30">
        <f>SUM(D6:D15)</f>
        <v>43458.304765796318</v>
      </c>
      <c r="E5" s="17">
        <f>SUM(E6:E15)</f>
        <v>1888.0996195323528</v>
      </c>
      <c r="F5" s="17">
        <f>SUM(F6:F15)</f>
        <v>6754.1526354639936</v>
      </c>
      <c r="G5" s="18"/>
      <c r="H5" s="17"/>
      <c r="I5" s="17"/>
      <c r="J5" s="17">
        <f>SUM(J6:J15)</f>
        <v>50.048065033259931</v>
      </c>
      <c r="K5" s="17"/>
      <c r="L5" s="17"/>
      <c r="M5" s="17"/>
      <c r="N5" s="17">
        <f>SUM(N6:N15)</f>
        <v>6721.6812767533684</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9527.1873955518495</v>
      </c>
      <c r="C8" s="33"/>
      <c r="D8" s="37">
        <f>IF( ISERROR(IND_metaal_Gas_kWH/1000),0,IND_metaal_Gas_kWH/1000)*0.902</f>
        <v>5960.5591280108511</v>
      </c>
      <c r="E8" s="33">
        <f>C30*'E Balans VL '!I18/100/3.6*1000000</f>
        <v>87.593286657006615</v>
      </c>
      <c r="F8" s="33">
        <f>C30*'E Balans VL '!L18/100/3.6*1000000+C30*'E Balans VL '!N18/100/3.6*1000000</f>
        <v>893.3329855267192</v>
      </c>
      <c r="G8" s="34"/>
      <c r="H8" s="33"/>
      <c r="I8" s="33"/>
      <c r="J8" s="40">
        <f>C30*'E Balans VL '!D18/100/3.6*1000000+C30*'E Balans VL '!E18/100/3.6*1000000</f>
        <v>0</v>
      </c>
      <c r="K8" s="33"/>
      <c r="L8" s="33"/>
      <c r="M8" s="33"/>
      <c r="N8" s="33">
        <f>C30*'E Balans VL '!Y18/100/3.6*1000000</f>
        <v>135.92107253772895</v>
      </c>
      <c r="O8" s="33"/>
      <c r="P8" s="33"/>
      <c r="R8" s="32"/>
    </row>
    <row r="9" spans="1:18">
      <c r="A9" s="6" t="s">
        <v>33</v>
      </c>
      <c r="B9" s="37">
        <f t="shared" si="0"/>
        <v>3491.0671102996998</v>
      </c>
      <c r="C9" s="33"/>
      <c r="D9" s="37">
        <f>IF( ISERROR(IND_andere_gas_kWh/1000),0,IND_andere_gas_kWh/1000)*0.902</f>
        <v>2499.0124271841491</v>
      </c>
      <c r="E9" s="33">
        <f>C31*'E Balans VL '!I19/100/3.6*1000000</f>
        <v>1020.5068794010431</v>
      </c>
      <c r="F9" s="33">
        <f>C31*'E Balans VL '!L19/100/3.6*1000000+C31*'E Balans VL '!N19/100/3.6*1000000</f>
        <v>2805.3366726252493</v>
      </c>
      <c r="G9" s="34"/>
      <c r="H9" s="33"/>
      <c r="I9" s="33"/>
      <c r="J9" s="40">
        <f>C31*'E Balans VL '!D19/100/3.6*1000000+C31*'E Balans VL '!E19/100/3.6*1000000</f>
        <v>0</v>
      </c>
      <c r="K9" s="33"/>
      <c r="L9" s="33"/>
      <c r="M9" s="33"/>
      <c r="N9" s="33">
        <f>C31*'E Balans VL '!Y19/100/3.6*1000000</f>
        <v>1153.5027158551873</v>
      </c>
      <c r="O9" s="33"/>
      <c r="P9" s="33"/>
      <c r="R9" s="32"/>
    </row>
    <row r="10" spans="1:18">
      <c r="A10" s="6" t="s">
        <v>41</v>
      </c>
      <c r="B10" s="37">
        <f t="shared" si="0"/>
        <v>3988.6245905460501</v>
      </c>
      <c r="C10" s="33"/>
      <c r="D10" s="37">
        <f>IF( ISERROR(IND_voed_gas_kWh/1000),0,IND_voed_gas_kWh/1000)*0.902</f>
        <v>898.85052695367153</v>
      </c>
      <c r="E10" s="33">
        <f>C32*'E Balans VL '!I20/100/3.6*1000000</f>
        <v>8.4379971656569221</v>
      </c>
      <c r="F10" s="33">
        <f>C32*'E Balans VL '!L20/100/3.6*1000000+C32*'E Balans VL '!N20/100/3.6*1000000</f>
        <v>253.60082572746123</v>
      </c>
      <c r="G10" s="34"/>
      <c r="H10" s="33"/>
      <c r="I10" s="33"/>
      <c r="J10" s="40">
        <f>C32*'E Balans VL '!D20/100/3.6*1000000+C32*'E Balans VL '!E20/100/3.6*1000000</f>
        <v>0</v>
      </c>
      <c r="K10" s="33"/>
      <c r="L10" s="33"/>
      <c r="M10" s="33"/>
      <c r="N10" s="33">
        <f>C32*'E Balans VL '!Y20/100/3.6*1000000</f>
        <v>275.25445745689944</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86.436334336683089</v>
      </c>
      <c r="C12" s="33"/>
      <c r="D12" s="37">
        <f>IF( ISERROR(IND_min_gas_kWh/1000),0,IND_min_gas_kWh/1000)*0.902</f>
        <v>0</v>
      </c>
      <c r="E12" s="33">
        <f>C34*'E Balans VL '!I22/100/3.6*1000000</f>
        <v>2.5054334166269268</v>
      </c>
      <c r="F12" s="33">
        <f>C34*'E Balans VL '!L22/100/3.6*1000000+C34*'E Balans VL '!N22/100/3.6*1000000</f>
        <v>29.717788497298621</v>
      </c>
      <c r="G12" s="34"/>
      <c r="H12" s="33"/>
      <c r="I12" s="33"/>
      <c r="J12" s="40">
        <f>C34*'E Balans VL '!D22/100/3.6*1000000+C34*'E Balans VL '!E22/100/3.6*1000000</f>
        <v>0.14204094451599444</v>
      </c>
      <c r="K12" s="33"/>
      <c r="L12" s="33"/>
      <c r="M12" s="33"/>
      <c r="N12" s="33">
        <f>C34*'E Balans VL '!Y22/100/3.6*1000000</f>
        <v>18.922334019759653</v>
      </c>
      <c r="O12" s="33"/>
      <c r="P12" s="33"/>
      <c r="R12" s="32"/>
    </row>
    <row r="13" spans="1:18">
      <c r="A13" s="6" t="s">
        <v>39</v>
      </c>
      <c r="B13" s="37">
        <f t="shared" si="0"/>
        <v>694.16681293957708</v>
      </c>
      <c r="C13" s="33"/>
      <c r="D13" s="37">
        <f>IF( ISERROR(IND_papier_gas_kWh/1000),0,IND_papier_gas_kWh/1000)*0.902</f>
        <v>0</v>
      </c>
      <c r="E13" s="33">
        <f>C35*'E Balans VL '!I23/100/3.6*1000000</f>
        <v>0.98486395284355033</v>
      </c>
      <c r="F13" s="33">
        <f>C35*'E Balans VL '!L23/100/3.6*1000000+C35*'E Balans VL '!N23/100/3.6*1000000</f>
        <v>16.94722213936512</v>
      </c>
      <c r="G13" s="34"/>
      <c r="H13" s="33"/>
      <c r="I13" s="33"/>
      <c r="J13" s="40">
        <f>C35*'E Balans VL '!D23/100/3.6*1000000+C35*'E Balans VL '!E23/100/3.6*1000000</f>
        <v>0.10735941485628919</v>
      </c>
      <c r="K13" s="33"/>
      <c r="L13" s="33"/>
      <c r="M13" s="33"/>
      <c r="N13" s="33">
        <f>C35*'E Balans VL '!Y23/100/3.6*1000000</f>
        <v>2017.7786046441131</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13910.315415437899</v>
      </c>
      <c r="C15" s="33"/>
      <c r="D15" s="37">
        <f>IF( ISERROR(IND_rest_gas_kWh/1000),0,IND_rest_gas_kWh/1000)*0.902</f>
        <v>34099.882683647651</v>
      </c>
      <c r="E15" s="33">
        <f>C37*'E Balans VL '!I15/100/3.6*1000000</f>
        <v>768.0711589391758</v>
      </c>
      <c r="F15" s="33">
        <f>C37*'E Balans VL '!L15/100/3.6*1000000+C37*'E Balans VL '!N15/100/3.6*1000000</f>
        <v>2755.2171409479001</v>
      </c>
      <c r="G15" s="34"/>
      <c r="H15" s="33"/>
      <c r="I15" s="33"/>
      <c r="J15" s="40">
        <f>C37*'E Balans VL '!D15/100/3.6*1000000+C37*'E Balans VL '!E15/100/3.6*1000000</f>
        <v>49.79866467388765</v>
      </c>
      <c r="K15" s="33"/>
      <c r="L15" s="33"/>
      <c r="M15" s="33"/>
      <c r="N15" s="33">
        <f>C37*'E Balans VL '!Y15/100/3.6*1000000</f>
        <v>3120.30209223968</v>
      </c>
      <c r="O15" s="33"/>
      <c r="P15" s="33"/>
      <c r="R15" s="32"/>
    </row>
    <row r="16" spans="1:18">
      <c r="A16" s="16" t="s">
        <v>488</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31697.797659111755</v>
      </c>
      <c r="C18" s="21">
        <f>C5+C16</f>
        <v>0</v>
      </c>
      <c r="D18" s="21">
        <f>MAX((D5+D16),0)</f>
        <v>43458.304765796318</v>
      </c>
      <c r="E18" s="21">
        <f>MAX((E5+E16),0)</f>
        <v>1888.0996195323528</v>
      </c>
      <c r="F18" s="21">
        <f>MAX((F5+F16),0)</f>
        <v>6754.1526354639936</v>
      </c>
      <c r="G18" s="21"/>
      <c r="H18" s="21"/>
      <c r="I18" s="21"/>
      <c r="J18" s="21">
        <f>MAX((J5+J16),0)</f>
        <v>50.048065033259931</v>
      </c>
      <c r="K18" s="21"/>
      <c r="L18" s="21">
        <f>MAX((L5+L16),0)</f>
        <v>0</v>
      </c>
      <c r="M18" s="21"/>
      <c r="N18" s="21">
        <f>MAX((N5+N16),0)</f>
        <v>6721.6812767533684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0.19850584335491533</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6292.1980568154404</v>
      </c>
      <c r="C22" s="23">
        <f ca="1">C18*C20</f>
        <v>0</v>
      </c>
      <c r="D22" s="23">
        <f>D18*D20</f>
        <v>8778.5775626908562</v>
      </c>
      <c r="E22" s="23">
        <f>E18*E20</f>
        <v>428.59861363384408</v>
      </c>
      <c r="F22" s="23">
        <f>F18*F20</f>
        <v>1803.3587536688865</v>
      </c>
      <c r="G22" s="23"/>
      <c r="H22" s="23"/>
      <c r="I22" s="23"/>
      <c r="J22" s="23">
        <f>J18*J20</f>
        <v>17.717015021774014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9527.1873955518495</v>
      </c>
      <c r="C30" s="39">
        <f>IF(ISERROR(B30*3.6/1000000/'E Balans VL '!Z18*100),0,B30*3.6/1000000/'E Balans VL '!Z18*100)</f>
        <v>0.53993013901220033</v>
      </c>
      <c r="D30" s="237" t="s">
        <v>754</v>
      </c>
    </row>
    <row r="31" spans="1:18">
      <c r="A31" s="6" t="s">
        <v>33</v>
      </c>
      <c r="B31" s="37">
        <f>IF( ISERROR(IND_ander_ele_kWh/1000),0,IND_ander_ele_kWh/1000)</f>
        <v>3491.0671102996998</v>
      </c>
      <c r="C31" s="39">
        <f>IF(ISERROR(B31*3.6/1000000/'E Balans VL '!Z19*100),0,B31*3.6/1000000/'E Balans VL '!Z19*100)</f>
        <v>0.1583402675727513</v>
      </c>
      <c r="D31" s="237" t="s">
        <v>754</v>
      </c>
    </row>
    <row r="32" spans="1:18">
      <c r="A32" s="171" t="s">
        <v>41</v>
      </c>
      <c r="B32" s="37">
        <f>IF( ISERROR(IND_voed_ele_kWh/1000),0,IND_voed_ele_kWh/1000)</f>
        <v>3988.6245905460501</v>
      </c>
      <c r="C32" s="39">
        <f>IF(ISERROR(B32*3.6/1000000/'E Balans VL '!Z20*100),0,B32*3.6/1000000/'E Balans VL '!Z20*100)</f>
        <v>0.12338626541237155</v>
      </c>
      <c r="D32" s="237" t="s">
        <v>754</v>
      </c>
    </row>
    <row r="33" spans="1:5">
      <c r="A33" s="171" t="s">
        <v>40</v>
      </c>
      <c r="B33" s="37">
        <f>IF( ISERROR(IND_textiel_ele_kWh/1000),0,IND_textiel_ele_kWh/1000)</f>
        <v>0</v>
      </c>
      <c r="C33" s="39">
        <f>IF(ISERROR(B33*3.6/1000000/'E Balans VL '!Z21*100),0,B33*3.6/1000000/'E Balans VL '!Z21*100)</f>
        <v>0</v>
      </c>
      <c r="D33" s="237" t="s">
        <v>754</v>
      </c>
    </row>
    <row r="34" spans="1:5">
      <c r="A34" s="171" t="s">
        <v>37</v>
      </c>
      <c r="B34" s="37">
        <f>IF( ISERROR(IND_min_ele_kWh/1000),0,IND_min_ele_kWh/1000)</f>
        <v>86.436334336683089</v>
      </c>
      <c r="C34" s="39">
        <f>IF(ISERROR(B34*3.6/1000000/'E Balans VL '!Z22*100),0,B34*3.6/1000000/'E Balans VL '!Z22*100)</f>
        <v>1.5547199764596599E-2</v>
      </c>
      <c r="D34" s="237" t="s">
        <v>754</v>
      </c>
    </row>
    <row r="35" spans="1:5">
      <c r="A35" s="171" t="s">
        <v>39</v>
      </c>
      <c r="B35" s="37">
        <f>IF( ISERROR(IND_papier_ele_kWh/1000),0,IND_papier_ele_kWh/1000)</f>
        <v>694.16681293957708</v>
      </c>
      <c r="C35" s="39">
        <f>IF(ISERROR(B35*3.6/1000000/'E Balans VL '!Z22*100),0,B35*3.6/1000000/'E Balans VL '!Z22*100)</f>
        <v>0.12485895189269675</v>
      </c>
      <c r="D35" s="237" t="s">
        <v>754</v>
      </c>
    </row>
    <row r="36" spans="1:5">
      <c r="A36" s="171" t="s">
        <v>34</v>
      </c>
      <c r="B36" s="37">
        <f>IF( ISERROR(IND_chemie_ele_kWh/1000),0,IND_chemie_ele_kWh/1000)</f>
        <v>0</v>
      </c>
      <c r="C36" s="39">
        <f>IF(ISERROR(B36*3.6/1000000/'E Balans VL '!Z24*100),0,B36*3.6/1000000/'E Balans VL '!Z24*100)</f>
        <v>0</v>
      </c>
      <c r="D36" s="237" t="s">
        <v>754</v>
      </c>
    </row>
    <row r="37" spans="1:5">
      <c r="A37" s="171" t="s">
        <v>270</v>
      </c>
      <c r="B37" s="37">
        <f>IF( ISERROR(IND_rest_ele_kWh/1000),0,IND_rest_ele_kWh/1000)</f>
        <v>13910.315415437899</v>
      </c>
      <c r="C37" s="39">
        <f>IF(ISERROR(B37*3.6/1000000/'E Balans VL '!Z15*100),0,B37*3.6/1000000/'E Balans VL '!Z15*100)</f>
        <v>0.11025633315939784</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271</v>
      </c>
      <c r="B1" s="1185" t="s">
        <v>195</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9343.603938383596</v>
      </c>
      <c r="C5" s="17">
        <f>'Eigen informatie GS &amp; warmtenet'!B60</f>
        <v>0</v>
      </c>
      <c r="D5" s="30">
        <f>IF(ISERROR(SUM(LB_lb_gas_kWh,LB_rest_gas_kWh,onbekend_gas_kWh)/1000),0,SUM(LB_lb_gas_kWh,LB_rest_gas_kWh,onbekend_gas_kWh)/1000)*0.902</f>
        <v>6054.8663034390765</v>
      </c>
      <c r="E5" s="17">
        <f>B17*'E Balans VL '!I25/3.6*1000000/100</f>
        <v>274.63705840949666</v>
      </c>
      <c r="F5" s="17">
        <f>B17*('E Balans VL '!L25/3.6*1000000+'E Balans VL '!N25/3.6*1000000)/100</f>
        <v>38924.94910545036</v>
      </c>
      <c r="G5" s="18"/>
      <c r="H5" s="17"/>
      <c r="I5" s="17"/>
      <c r="J5" s="17">
        <f>('E Balans VL '!D25+'E Balans VL '!E25)/3.6*1000000*landbouw!B17/100</f>
        <v>1353.6875544803177</v>
      </c>
      <c r="K5" s="17"/>
      <c r="L5" s="17">
        <f>L6*(-1)</f>
        <v>0</v>
      </c>
      <c r="M5" s="17"/>
      <c r="N5" s="17">
        <f>N6*(-1)</f>
        <v>0</v>
      </c>
      <c r="O5" s="17"/>
      <c r="P5" s="17"/>
      <c r="R5" s="32"/>
    </row>
    <row r="6" spans="1:18">
      <c r="A6" s="16" t="s">
        <v>488</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9343.603938383596</v>
      </c>
      <c r="C8" s="21">
        <f>C5+C6</f>
        <v>0</v>
      </c>
      <c r="D8" s="21">
        <f>MAX((D5+D6),0)</f>
        <v>6054.8663034390765</v>
      </c>
      <c r="E8" s="21">
        <f>MAX((E5+E6),0)</f>
        <v>274.63705840949666</v>
      </c>
      <c r="F8" s="21">
        <f>MAX((F5+F6),0)</f>
        <v>38924.94910545036</v>
      </c>
      <c r="G8" s="21"/>
      <c r="H8" s="21"/>
      <c r="I8" s="21"/>
      <c r="J8" s="21">
        <f>MAX((J5+J6),0)</f>
        <v>1353.6875544803177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0.19850584335491533</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1854.7599797631442</v>
      </c>
      <c r="C12" s="23">
        <f ca="1">C8*C10</f>
        <v>0</v>
      </c>
      <c r="D12" s="23">
        <f>D8*D10</f>
        <v>1223.0829932946936</v>
      </c>
      <c r="E12" s="23">
        <f>E8*E10</f>
        <v>62.342612258955747</v>
      </c>
      <c r="F12" s="23">
        <f>F8*F10</f>
        <v>10392.961411155247</v>
      </c>
      <c r="G12" s="23"/>
      <c r="H12" s="23"/>
      <c r="I12" s="23"/>
      <c r="J12" s="23">
        <f>J8*J10</f>
        <v>479.2053942860324</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1.325886713519983</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192" t="s">
        <v>303</v>
      </c>
      <c r="B22" s="1195" t="s">
        <v>304</v>
      </c>
      <c r="C22" s="1195" t="s">
        <v>493</v>
      </c>
    </row>
    <row r="23" spans="1:4">
      <c r="A23" s="1193"/>
      <c r="B23" s="1196"/>
      <c r="C23" s="1196"/>
    </row>
    <row r="24" spans="1:4" ht="15.75" thickBot="1">
      <c r="A24" s="1194"/>
      <c r="B24" s="1197"/>
      <c r="C24" s="1197"/>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1348.7750086574154</v>
      </c>
      <c r="C26" s="247">
        <f>B26*'GWP N2O_CH4'!B5</f>
        <v>28324.275181805722</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980.09570225833431</v>
      </c>
      <c r="C27" s="247">
        <f>B27*'GWP N2O_CH4'!B5</f>
        <v>20582.009747425021</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19.82805788060573</v>
      </c>
      <c r="C28" s="247">
        <f>B28*'GWP N2O_CH4'!B4</f>
        <v>6146.6979429877765</v>
      </c>
      <c r="D28" s="50"/>
    </row>
    <row r="29" spans="1:4">
      <c r="A29" s="41" t="s">
        <v>277</v>
      </c>
      <c r="B29" s="247">
        <f>B34*'ha_N2O bodem landbouw'!B4</f>
        <v>30.700280818347988</v>
      </c>
      <c r="C29" s="247">
        <f>B29*'GWP N2O_CH4'!B4</f>
        <v>9517.0870536878756</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7.0056982848726726E-3</v>
      </c>
      <c r="C34" s="1014" t="s">
        <v>793</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3" zoomScaleNormal="100" workbookViewId="0">
      <selection activeCell="C34" sqref="C3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84" t="s">
        <v>497</v>
      </c>
      <c r="B1" s="1185" t="s">
        <v>546</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1.0218811135342293E-4</v>
      </c>
      <c r="C5" s="463" t="s">
        <v>211</v>
      </c>
      <c r="D5" s="448">
        <f>SUM(D6:D11)</f>
        <v>3.8309942711730878E-4</v>
      </c>
      <c r="E5" s="448">
        <f>SUM(E6:E11)</f>
        <v>5.2179323153059103E-4</v>
      </c>
      <c r="F5" s="461" t="s">
        <v>211</v>
      </c>
      <c r="G5" s="448">
        <f>SUM(G6:G11)</f>
        <v>0.20285926021345915</v>
      </c>
      <c r="H5" s="448">
        <f>SUM(H6:H11)</f>
        <v>4.3262347598850719E-2</v>
      </c>
      <c r="I5" s="463" t="s">
        <v>211</v>
      </c>
      <c r="J5" s="463" t="s">
        <v>211</v>
      </c>
      <c r="K5" s="463" t="s">
        <v>211</v>
      </c>
      <c r="L5" s="463" t="s">
        <v>211</v>
      </c>
      <c r="M5" s="448">
        <f>SUM(M6:M11)</f>
        <v>1.3136189743262704E-2</v>
      </c>
      <c r="N5" s="463" t="s">
        <v>211</v>
      </c>
      <c r="O5" s="463" t="s">
        <v>211</v>
      </c>
      <c r="P5" s="464" t="s">
        <v>211</v>
      </c>
    </row>
    <row r="6" spans="1:18">
      <c r="A6" s="261" t="s">
        <v>658</v>
      </c>
      <c r="B6" s="96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5.5393530276258555E-5</v>
      </c>
      <c r="C6" s="449"/>
      <c r="D6" s="962">
        <f>vkm_2011_GW_PW*SUMIFS(TableVerdeelsleutelVkm[CNG],TableVerdeelsleutelVkm[Voertuigtype],"Lichte voertuigen")*SUMIFS(TableECFTransport[EnergieConsumptieFactor (PJ per km)],TableECFTransport[Index],CONCATENATE($A6,"_CNG_CNG"))</f>
        <v>1.6614879783431925E-4</v>
      </c>
      <c r="E6" s="962">
        <f>vkm_2011_GW_PW*SUMIFS(TableVerdeelsleutelVkm[LPG],TableVerdeelsleutelVkm[Voertuigtype],"Lichte voertuigen")*SUMIFS(TableECFTransport[EnergieConsumptieFactor (PJ per km)],TableECFTransport[Index],CONCATENATE($A6,"_LPG_LPG"))</f>
        <v>2.2698312394031381E-4</v>
      </c>
      <c r="F6" s="451"/>
      <c r="G6" s="96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5.8687430782841034E-2</v>
      </c>
      <c r="H6" s="96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1.8894208662143426E-2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3.9895628245447427E-3</v>
      </c>
      <c r="N6" s="449"/>
      <c r="O6" s="449"/>
      <c r="P6" s="450"/>
    </row>
    <row r="7" spans="1:18">
      <c r="A7" s="261" t="s">
        <v>659</v>
      </c>
      <c r="B7" s="96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62">
        <f>vkm_2011_GW_ZV*SUMIFS(TableVerdeelsleutelVkm[CNG],TableVerdeelsleutelVkm[Voertuigtype],"Zware voertuigen")*SUMIFS(TableECFTransport[EnergieConsumptieFactor (PJ per km)],TableECFTransport[Index],CONCATENATE($A7,"_CNG_CNG"))</f>
        <v>0</v>
      </c>
      <c r="E7" s="962">
        <f>vkm_2011_GW_ZV*SUMIFS(TableVerdeelsleutelVkm[LPG],TableVerdeelsleutelVkm[Voertuigtype],"Zware voertuigen")*SUMIFS(TableECFTransport[EnergieConsumptieFactor (PJ per km)],TableECFTransport[Index],CONCATENATE($A7,"_LPG_LPG"))</f>
        <v>0</v>
      </c>
      <c r="F7" s="451"/>
      <c r="G7" s="96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4.5482478038021842E-2</v>
      </c>
      <c r="H7" s="96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1.3859710522451919E-5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2.6578449919459936E-3</v>
      </c>
      <c r="N7" s="449"/>
      <c r="O7" s="449"/>
      <c r="P7" s="450"/>
      <c r="R7" s="95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3.1943426287010874E-5</v>
      </c>
      <c r="C8" s="449"/>
      <c r="D8" s="451">
        <f>vkm_2011_NGW_PW*SUMIFS(TableVerdeelsleutelVkm[CNG],TableVerdeelsleutelVkm[Voertuigtype],"Lichte voertuigen")*SUMIFS(TableECFTransport[EnergieConsumptieFactor (PJ per km)],TableECFTransport[Index],CONCATENATE($A8,"_CNG_CNG"))</f>
        <v>1.7035471153342157E-4</v>
      </c>
      <c r="E8" s="451">
        <f>vkm_2011_NGW_PW*SUMIFS(TableVerdeelsleutelVkm[LPG],TableVerdeelsleutelVkm[Voertuigtype],"Lichte voertuigen")*SUMIFS(TableECFTransport[EnergieConsumptieFactor (PJ per km)],TableECFTransport[Index],CONCATENATE($A8,"_LPG_LPG"))</f>
        <v>2.1553346839539518E-4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5.1931737234292494E-2</v>
      </c>
      <c r="H8" s="96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1.8825826170751715E-2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3.5928146842024401E-3</v>
      </c>
      <c r="N8" s="449"/>
      <c r="O8" s="449"/>
      <c r="P8" s="450"/>
      <c r="R8" s="95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1.5487713877901394E-2</v>
      </c>
      <c r="H9" s="96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4.4430153097564038E-6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9.0504236826566547E-4</v>
      </c>
      <c r="N9" s="449"/>
      <c r="O9" s="449"/>
      <c r="P9" s="450"/>
      <c r="R9" s="95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1.4851154790153499E-5</v>
      </c>
      <c r="C10" s="449"/>
      <c r="D10" s="451">
        <f>vkm_2011_SW_PW*SUMIFS(TableVerdeelsleutelVkm[CNG],TableVerdeelsleutelVkm[Voertuigtype],"Lichte voertuigen")*SUMIFS(TableECFTransport[EnergieConsumptieFactor (PJ per km)],TableECFTransport[Index],CONCATENATE($A10,"_CNG_CNG"))</f>
        <v>4.6595917749567907E-5</v>
      </c>
      <c r="E10" s="451">
        <f>vkm_2011_SW_PW*SUMIFS(TableVerdeelsleutelVkm[LPG],TableVerdeelsleutelVkm[Voertuigtype],"Lichte voertuigen")*SUMIFS(TableECFTransport[EnergieConsumptieFactor (PJ per km)],TableECFTransport[Index],CONCATENATE($A10,"_LPG_LPG"))</f>
        <v>7.9276639194882006E-5</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1.8273444951310454E-2</v>
      </c>
      <c r="H10" s="96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5.5197332839934934E-3</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1.2314457921543114E-3</v>
      </c>
      <c r="N10" s="449"/>
      <c r="O10" s="449"/>
      <c r="P10" s="450"/>
      <c r="R10" s="95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1.2996455329091926E-2</v>
      </c>
      <c r="H11" s="96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4.2767561298763495E-6</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7.5947908214954918E-4</v>
      </c>
      <c r="N11" s="452"/>
      <c r="O11" s="452"/>
      <c r="P11" s="454"/>
      <c r="R11" s="95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28.385586487061929</v>
      </c>
      <c r="C14" s="21"/>
      <c r="D14" s="21">
        <f t="shared" ref="D14:M14" si="0">((D5)*10^9/3600)+D12</f>
        <v>106.41650753258577</v>
      </c>
      <c r="E14" s="21">
        <f t="shared" si="0"/>
        <v>144.94256431405307</v>
      </c>
      <c r="F14" s="21"/>
      <c r="G14" s="21">
        <f t="shared" si="0"/>
        <v>56349.79450373866</v>
      </c>
      <c r="H14" s="21">
        <f t="shared" si="0"/>
        <v>12017.318777458533</v>
      </c>
      <c r="I14" s="21"/>
      <c r="J14" s="21"/>
      <c r="K14" s="21"/>
      <c r="L14" s="21"/>
      <c r="M14" s="21">
        <f t="shared" si="0"/>
        <v>3648.9415953507514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0.19850584335491533</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5.6347047847381164</v>
      </c>
      <c r="C18" s="23"/>
      <c r="D18" s="23">
        <f t="shared" ref="D18:M18" si="1">D14*D16</f>
        <v>21.496134521582327</v>
      </c>
      <c r="E18" s="23">
        <f t="shared" si="1"/>
        <v>32.901962099290046</v>
      </c>
      <c r="F18" s="23"/>
      <c r="G18" s="23">
        <f t="shared" si="1"/>
        <v>15045.395132498223</v>
      </c>
      <c r="H18" s="23">
        <f t="shared" si="1"/>
        <v>2992.3123755871748</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4"/>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99" t="s">
        <v>309</v>
      </c>
      <c r="C23" s="999" t="s">
        <v>664</v>
      </c>
      <c r="D23" s="999" t="s">
        <v>665</v>
      </c>
      <c r="E23" s="999" t="s">
        <v>666</v>
      </c>
      <c r="F23" s="999" t="s">
        <v>648</v>
      </c>
      <c r="G23" s="999" t="s">
        <v>667</v>
      </c>
      <c r="H23" s="999" t="s">
        <v>668</v>
      </c>
      <c r="I23" s="999" t="s">
        <v>119</v>
      </c>
      <c r="J23" s="999" t="s">
        <v>669</v>
      </c>
      <c r="K23" s="999" t="s">
        <v>670</v>
      </c>
      <c r="L23" s="1000" t="s">
        <v>671</v>
      </c>
      <c r="M23" s="129" t="s">
        <v>182</v>
      </c>
      <c r="N23" s="268" t="s">
        <v>316</v>
      </c>
    </row>
    <row r="24" spans="1:18">
      <c r="A24" s="32" t="s">
        <v>656</v>
      </c>
      <c r="B24" s="986">
        <v>1.7527418841460775E-3</v>
      </c>
      <c r="C24" s="986">
        <v>0.7563121638200232</v>
      </c>
      <c r="D24" s="960"/>
      <c r="E24" s="986"/>
      <c r="F24" s="986">
        <v>1.8295346115930801E-5</v>
      </c>
      <c r="G24" s="986">
        <v>1.6661787394054279E-3</v>
      </c>
      <c r="H24" s="960"/>
      <c r="I24" s="960">
        <v>2.7132769787715184E-3</v>
      </c>
      <c r="J24" s="960">
        <v>0.23184851461767081</v>
      </c>
      <c r="K24" s="960">
        <v>7.3550073532725451E-3</v>
      </c>
      <c r="M24" s="269" t="s">
        <v>759</v>
      </c>
      <c r="N24" s="961">
        <f>SUM(B24:K24)</f>
        <v>1.0016661787394054</v>
      </c>
      <c r="O24" s="958" t="s">
        <v>649</v>
      </c>
    </row>
    <row r="25" spans="1:18">
      <c r="A25" s="32" t="s">
        <v>657</v>
      </c>
      <c r="B25" s="960" t="s">
        <v>678</v>
      </c>
      <c r="C25" s="986">
        <v>0.99953633237026762</v>
      </c>
      <c r="D25" s="960"/>
      <c r="E25" s="960"/>
      <c r="F25" s="986" t="s">
        <v>678</v>
      </c>
      <c r="G25" s="960" t="s">
        <v>678</v>
      </c>
      <c r="H25" s="960"/>
      <c r="I25" s="960" t="s">
        <v>678</v>
      </c>
      <c r="J25" s="960">
        <v>4.6366762973236767E-4</v>
      </c>
      <c r="K25" s="96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957">
        <v>2016</v>
      </c>
      <c r="D30" s="274" t="s">
        <v>319</v>
      </c>
      <c r="E30" s="243" t="s">
        <v>182</v>
      </c>
      <c r="F30" s="271"/>
      <c r="G30" s="243"/>
      <c r="H30" s="243"/>
      <c r="I30" s="243"/>
      <c r="J30" s="243"/>
      <c r="K30" s="243"/>
      <c r="L30" s="272"/>
    </row>
    <row r="31" spans="1:18">
      <c r="A31" s="275" t="s">
        <v>320</v>
      </c>
      <c r="B31" s="276"/>
      <c r="C31" s="277"/>
      <c r="D31" s="276">
        <v>4.2694999999999997E-2</v>
      </c>
      <c r="E31" s="997" t="s">
        <v>706</v>
      </c>
      <c r="F31" s="53"/>
      <c r="G31" s="43"/>
      <c r="H31" s="43"/>
      <c r="I31" s="43"/>
      <c r="J31" s="43"/>
      <c r="K31" s="43"/>
      <c r="L31" s="174"/>
    </row>
    <row r="32" spans="1:18">
      <c r="A32" s="278" t="s">
        <v>321</v>
      </c>
      <c r="B32" s="279"/>
      <c r="C32" s="280"/>
      <c r="D32" s="279">
        <v>3.73E-2</v>
      </c>
      <c r="E32" s="997" t="s">
        <v>706</v>
      </c>
      <c r="F32" s="53"/>
      <c r="G32" s="43"/>
      <c r="H32" s="43"/>
      <c r="I32" s="43"/>
      <c r="J32" s="43"/>
      <c r="K32" s="43"/>
      <c r="L32" s="174"/>
    </row>
    <row r="33" spans="1:16">
      <c r="A33" s="278" t="s">
        <v>322</v>
      </c>
      <c r="B33" s="281"/>
      <c r="C33" s="282"/>
      <c r="D33" s="58"/>
      <c r="E33" s="996"/>
      <c r="F33" s="53"/>
      <c r="G33" s="43"/>
      <c r="H33" s="43"/>
      <c r="I33" s="43"/>
      <c r="J33" s="43"/>
      <c r="K33" s="43"/>
      <c r="L33" s="174"/>
    </row>
    <row r="34" spans="1:16" ht="30">
      <c r="A34" s="278" t="s">
        <v>323</v>
      </c>
      <c r="B34" s="281"/>
      <c r="C34" s="283">
        <v>6.2686143809389083E-2</v>
      </c>
      <c r="D34" s="58"/>
      <c r="E34" s="997" t="s">
        <v>760</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957">
        <f>C30</f>
        <v>2016</v>
      </c>
      <c r="D37" s="274" t="s">
        <v>319</v>
      </c>
      <c r="E37" s="998" t="s">
        <v>182</v>
      </c>
      <c r="F37" s="286"/>
      <c r="G37" s="267"/>
      <c r="H37" s="267"/>
      <c r="I37" s="267"/>
      <c r="J37" s="267"/>
      <c r="K37" s="267"/>
      <c r="L37" s="268"/>
    </row>
    <row r="38" spans="1:16">
      <c r="A38" s="278" t="s">
        <v>325</v>
      </c>
      <c r="B38" s="279"/>
      <c r="C38" s="280"/>
      <c r="D38" s="279">
        <v>4.3774E-2</v>
      </c>
      <c r="E38" s="997" t="s">
        <v>706</v>
      </c>
      <c r="F38" s="282"/>
      <c r="G38" s="58"/>
      <c r="H38" s="58"/>
      <c r="I38" s="58"/>
      <c r="J38" s="58"/>
      <c r="K38" s="58"/>
      <c r="L38" s="284"/>
    </row>
    <row r="39" spans="1:16">
      <c r="A39" s="278" t="s">
        <v>326</v>
      </c>
      <c r="B39" s="279"/>
      <c r="C39" s="280"/>
      <c r="D39" s="279">
        <v>2.8799999999999999E-2</v>
      </c>
      <c r="E39" s="997" t="s">
        <v>706</v>
      </c>
      <c r="F39" s="282"/>
      <c r="G39" s="58"/>
      <c r="H39" s="58"/>
      <c r="I39" s="58"/>
      <c r="J39" s="58"/>
      <c r="K39" s="58"/>
      <c r="L39" s="284"/>
    </row>
    <row r="40" spans="1:16">
      <c r="A40" s="278" t="s">
        <v>322</v>
      </c>
      <c r="B40" s="281"/>
      <c r="C40" s="282"/>
      <c r="D40" s="282"/>
      <c r="E40" s="997"/>
      <c r="F40" s="58"/>
      <c r="G40" s="58"/>
      <c r="H40" s="58"/>
      <c r="I40" s="58"/>
      <c r="J40" s="58"/>
      <c r="K40" s="58"/>
      <c r="L40" s="284"/>
    </row>
    <row r="41" spans="1:16" ht="30">
      <c r="A41" s="278" t="s">
        <v>327</v>
      </c>
      <c r="B41" s="281"/>
      <c r="C41" s="283">
        <v>4.3150684931505645E-2</v>
      </c>
      <c r="D41" s="282"/>
      <c r="E41" s="997" t="s">
        <v>760</v>
      </c>
      <c r="F41" s="58"/>
      <c r="G41" s="58"/>
      <c r="H41" s="58"/>
      <c r="I41" s="58"/>
      <c r="J41" s="58"/>
      <c r="K41" s="58"/>
      <c r="L41" s="284"/>
    </row>
    <row r="42" spans="1:16">
      <c r="A42" s="278" t="s">
        <v>324</v>
      </c>
      <c r="B42" s="281"/>
      <c r="C42" s="283">
        <f>1/(1+((1/C41-1)*($D$38/$D$39)))</f>
        <v>2.8815240975551364E-2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98" t="s">
        <v>498</v>
      </c>
      <c r="B46" s="1199" t="s">
        <v>545</v>
      </c>
      <c r="C46" s="1200"/>
      <c r="D46" s="1200"/>
      <c r="E46" s="1200"/>
      <c r="F46" s="1200"/>
      <c r="G46" s="1200"/>
      <c r="H46" s="1200"/>
      <c r="I46" s="1200"/>
      <c r="J46" s="1200"/>
      <c r="K46" s="1200"/>
      <c r="L46" s="1200"/>
      <c r="M46" s="1200"/>
      <c r="N46" s="1200"/>
      <c r="O46" s="1200"/>
      <c r="P46" s="1200"/>
    </row>
    <row r="47" spans="1:16" s="15" customFormat="1" ht="15.75" thickTop="1">
      <c r="A47" s="1198"/>
      <c r="B47" s="1201" t="s">
        <v>21</v>
      </c>
      <c r="C47" s="1201" t="s">
        <v>196</v>
      </c>
      <c r="D47" s="1203" t="s">
        <v>197</v>
      </c>
      <c r="E47" s="1204"/>
      <c r="F47" s="1204"/>
      <c r="G47" s="1204"/>
      <c r="H47" s="1204"/>
      <c r="I47" s="1204"/>
      <c r="J47" s="1204"/>
      <c r="K47" s="1205"/>
      <c r="L47" s="1203" t="s">
        <v>198</v>
      </c>
      <c r="M47" s="1204"/>
      <c r="N47" s="1204"/>
      <c r="O47" s="1204"/>
      <c r="P47" s="1205"/>
    </row>
    <row r="48" spans="1:16" s="15" customFormat="1" ht="45">
      <c r="A48" s="1198"/>
      <c r="B48" s="1202"/>
      <c r="C48" s="1202"/>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2.2884597810472287E-3</v>
      </c>
      <c r="H50" s="321">
        <f t="shared" si="2"/>
        <v>0</v>
      </c>
      <c r="I50" s="321">
        <f t="shared" si="2"/>
        <v>0</v>
      </c>
      <c r="J50" s="321">
        <f t="shared" si="2"/>
        <v>0</v>
      </c>
      <c r="K50" s="321">
        <f t="shared" si="2"/>
        <v>0</v>
      </c>
      <c r="L50" s="321">
        <f t="shared" si="2"/>
        <v>0</v>
      </c>
      <c r="M50" s="321">
        <f t="shared" si="2"/>
        <v>1.2997441298297614E-4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2.2884597810472287E-3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1.2997441298297614E-4</v>
      </c>
      <c r="N51" s="323"/>
      <c r="O51" s="323"/>
      <c r="P51" s="326"/>
    </row>
    <row r="52" spans="1:18">
      <c r="A52" s="4" t="s">
        <v>330</v>
      </c>
      <c r="B52" s="96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635.68327251311905</v>
      </c>
      <c r="H54" s="21">
        <f t="shared" si="3"/>
        <v>0</v>
      </c>
      <c r="I54" s="21">
        <f t="shared" si="3"/>
        <v>0</v>
      </c>
      <c r="J54" s="21">
        <f t="shared" si="3"/>
        <v>0</v>
      </c>
      <c r="K54" s="21">
        <f t="shared" si="3"/>
        <v>0</v>
      </c>
      <c r="L54" s="21">
        <f t="shared" si="3"/>
        <v>0</v>
      </c>
      <c r="M54" s="21">
        <f t="shared" si="3"/>
        <v>36.104003606382264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0.19850584335491533</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169.7274337610028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761</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957">
        <f>C30</f>
        <v>2016</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2017</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Normal="100" workbookViewId="0">
      <selection activeCell="B62" sqref="B62:Z62"/>
    </sheetView>
  </sheetViews>
  <sheetFormatPr defaultColWidth="9.140625" defaultRowHeight="15"/>
  <cols>
    <col min="1" max="1" width="38" style="647" customWidth="1"/>
    <col min="2" max="2" width="27" style="647" customWidth="1"/>
    <col min="3" max="3" width="25.42578125" style="647" customWidth="1"/>
    <col min="4" max="4" width="41.28515625" style="647" customWidth="1"/>
    <col min="5" max="5" width="27.5703125" style="647" customWidth="1"/>
    <col min="6" max="7" width="18" style="647" customWidth="1"/>
    <col min="8" max="8" width="23.42578125" style="647" customWidth="1"/>
    <col min="9" max="9" width="28.5703125" style="647" customWidth="1"/>
    <col min="10" max="10" width="35.28515625" style="647" customWidth="1"/>
    <col min="11" max="11" width="32.7109375" style="647" customWidth="1"/>
    <col min="12" max="12" width="23.85546875" style="647" customWidth="1"/>
    <col min="13" max="13" width="21.140625" style="647" customWidth="1"/>
    <col min="14" max="14" width="17.5703125" style="647" customWidth="1"/>
    <col min="15" max="15" width="22.85546875" style="647" customWidth="1"/>
    <col min="16" max="16" width="19.140625" style="647" customWidth="1"/>
    <col min="17" max="17" width="24.7109375" style="647" customWidth="1"/>
    <col min="18" max="18" width="9.140625" style="647"/>
    <col min="19" max="19" width="21.140625" style="647" customWidth="1"/>
    <col min="20" max="20" width="14.85546875" style="647" customWidth="1"/>
    <col min="21" max="21" width="16.140625" style="647" customWidth="1"/>
    <col min="22" max="22" width="14.7109375" style="647" customWidth="1"/>
    <col min="23" max="24" width="16.140625" style="647" customWidth="1"/>
    <col min="25" max="25" width="17.28515625" style="647" customWidth="1"/>
    <col min="26" max="26" width="16.85546875" style="647" customWidth="1"/>
    <col min="27" max="16384" width="9.140625" style="647"/>
  </cols>
  <sheetData>
    <row r="1" spans="1:19" s="563" customFormat="1" ht="17.45" customHeight="1" thickTop="1" thickBot="1">
      <c r="A1" s="1230" t="s">
        <v>241</v>
      </c>
      <c r="B1" s="1230" t="s">
        <v>242</v>
      </c>
      <c r="C1" s="1233" t="s">
        <v>243</v>
      </c>
      <c r="D1" s="1234"/>
      <c r="E1" s="1234"/>
      <c r="F1" s="1234"/>
      <c r="G1" s="1234"/>
      <c r="H1" s="1234"/>
      <c r="I1" s="1234"/>
      <c r="J1" s="1234"/>
      <c r="K1" s="1234"/>
      <c r="L1" s="1235"/>
      <c r="M1" s="1219" t="s">
        <v>244</v>
      </c>
      <c r="N1" s="1218" t="s">
        <v>547</v>
      </c>
      <c r="O1" s="1219"/>
      <c r="Q1" s="1217"/>
      <c r="R1" s="1217"/>
      <c r="S1" s="1217"/>
    </row>
    <row r="2" spans="1:19" s="563" customFormat="1" ht="15.75" thickBot="1">
      <c r="A2" s="1231"/>
      <c r="B2" s="1231"/>
      <c r="C2" s="1254" t="s">
        <v>197</v>
      </c>
      <c r="D2" s="1255"/>
      <c r="E2" s="1255"/>
      <c r="F2" s="1255"/>
      <c r="G2" s="1256"/>
      <c r="H2" s="1257" t="s">
        <v>245</v>
      </c>
      <c r="I2" s="1243" t="s">
        <v>246</v>
      </c>
      <c r="J2" s="1243" t="s">
        <v>234</v>
      </c>
      <c r="K2" s="1243" t="s">
        <v>247</v>
      </c>
      <c r="L2" s="1245" t="s">
        <v>127</v>
      </c>
      <c r="M2" s="1221"/>
      <c r="N2" s="1220"/>
      <c r="O2" s="1221"/>
      <c r="Q2" s="1217"/>
      <c r="R2" s="1217"/>
      <c r="S2" s="1217"/>
    </row>
    <row r="3" spans="1:19" s="563" customFormat="1" ht="53.45" customHeight="1" thickBot="1">
      <c r="A3" s="1232"/>
      <c r="B3" s="1222"/>
      <c r="C3" s="564" t="s">
        <v>199</v>
      </c>
      <c r="D3" s="565" t="s">
        <v>200</v>
      </c>
      <c r="E3" s="566" t="s">
        <v>201</v>
      </c>
      <c r="F3" s="567" t="s">
        <v>203</v>
      </c>
      <c r="G3" s="568" t="s">
        <v>204</v>
      </c>
      <c r="H3" s="1240"/>
      <c r="I3" s="1244"/>
      <c r="J3" s="1244"/>
      <c r="K3" s="1244"/>
      <c r="L3" s="1253"/>
      <c r="M3" s="1223"/>
      <c r="N3" s="1222"/>
      <c r="O3" s="1223"/>
      <c r="Q3" s="1217"/>
      <c r="R3" s="1217"/>
      <c r="S3" s="1217"/>
    </row>
    <row r="4" spans="1:19" s="563" customFormat="1" ht="15.75" thickTop="1">
      <c r="A4" s="569" t="s">
        <v>249</v>
      </c>
      <c r="B4" s="570">
        <f>IF(ISERROR(kWh_wind_land),0,kWh_wind_land)</f>
        <v>0</v>
      </c>
      <c r="C4" s="1261"/>
      <c r="D4" s="1249"/>
      <c r="E4" s="1249"/>
      <c r="F4" s="1264"/>
      <c r="G4" s="1267"/>
      <c r="H4" s="1258"/>
      <c r="I4" s="1249"/>
      <c r="J4" s="1249"/>
      <c r="K4" s="571"/>
      <c r="L4" s="1250"/>
      <c r="M4" s="572"/>
      <c r="N4" s="1224"/>
      <c r="O4" s="1225"/>
      <c r="Q4" s="573"/>
      <c r="R4" s="1214"/>
      <c r="S4" s="1214"/>
    </row>
    <row r="5" spans="1:19" s="563" customFormat="1">
      <c r="A5" s="574" t="s">
        <v>250</v>
      </c>
      <c r="B5" s="570">
        <f>IF(ISERROR(kWh_waterkracht),0,kWh_waterkracht)</f>
        <v>0</v>
      </c>
      <c r="C5" s="1262"/>
      <c r="D5" s="1247"/>
      <c r="E5" s="1247"/>
      <c r="F5" s="1265"/>
      <c r="G5" s="1268"/>
      <c r="H5" s="1259"/>
      <c r="I5" s="1247"/>
      <c r="J5" s="1247"/>
      <c r="K5" s="1247"/>
      <c r="L5" s="1251"/>
      <c r="M5" s="575"/>
      <c r="N5" s="1226"/>
      <c r="O5" s="1227"/>
      <c r="Q5" s="573"/>
      <c r="R5" s="1214"/>
      <c r="S5" s="1214"/>
    </row>
    <row r="6" spans="1:19" s="563" customFormat="1">
      <c r="A6" s="574" t="s">
        <v>251</v>
      </c>
      <c r="B6" s="570">
        <f>IF(ISERROR((kWh_PV_kleiner_dan_10kW+kWh_PV_groter_dan_10kW)),0,(kWh_PV_kleiner_dan_10kW+kWh_PV_groter_dan_10kW))</f>
        <v>8375.2029803928581</v>
      </c>
      <c r="C6" s="1263"/>
      <c r="D6" s="1248"/>
      <c r="E6" s="1248"/>
      <c r="F6" s="1266"/>
      <c r="G6" s="1269"/>
      <c r="H6" s="1260"/>
      <c r="I6" s="1248"/>
      <c r="J6" s="1248"/>
      <c r="K6" s="1248"/>
      <c r="L6" s="1252"/>
      <c r="M6" s="575"/>
      <c r="N6" s="1226"/>
      <c r="O6" s="1227"/>
      <c r="Q6" s="573"/>
      <c r="R6" s="1214"/>
      <c r="S6" s="1214"/>
    </row>
    <row r="7" spans="1:19" s="563" customFormat="1">
      <c r="A7" s="576" t="s">
        <v>252</v>
      </c>
      <c r="B7" s="577">
        <f>N57</f>
        <v>0</v>
      </c>
      <c r="C7" s="578">
        <f>B100</f>
        <v>0</v>
      </c>
      <c r="D7" s="579"/>
      <c r="E7" s="579">
        <f>E100</f>
        <v>0</v>
      </c>
      <c r="F7" s="580"/>
      <c r="G7" s="581"/>
      <c r="H7" s="579">
        <f>I100</f>
        <v>0</v>
      </c>
      <c r="I7" s="579">
        <f>G100+F100</f>
        <v>0</v>
      </c>
      <c r="J7" s="579">
        <f>H100+D100+C100</f>
        <v>0</v>
      </c>
      <c r="K7" s="579"/>
      <c r="L7" s="582"/>
      <c r="M7" s="583">
        <f>C7*$C$11+D7*$D$11+E7*$E$11+F7*$F$11+G7*$G$11+H7*$H$11+I7*$I$11+J7*$J$11</f>
        <v>0</v>
      </c>
      <c r="N7" s="1226"/>
      <c r="O7" s="1227"/>
      <c r="Q7" s="573"/>
      <c r="R7" s="1214"/>
      <c r="S7" s="1214"/>
    </row>
    <row r="8" spans="1:19" s="563" customFormat="1" ht="17.45" customHeight="1" thickBot="1">
      <c r="A8" s="584" t="s">
        <v>248</v>
      </c>
      <c r="B8" s="585">
        <f>N88+'Eigen informatie GS &amp; warmtenet'!B12</f>
        <v>0</v>
      </c>
      <c r="C8" s="586">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7">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7">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7">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7">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8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3">
        <f>C8*$C$11+D8*$D$11+E8*$E$11+F8*$F$11+G8*$G$11+H8*$H$11+I8*$I$11+J8*$J$11</f>
        <v>0</v>
      </c>
      <c r="N8" s="1228"/>
      <c r="O8" s="1229"/>
      <c r="P8" s="591"/>
      <c r="Q8" s="573"/>
      <c r="R8" s="1214"/>
      <c r="S8" s="1214"/>
    </row>
    <row r="9" spans="1:19" s="563" customFormat="1" ht="16.5" thickTop="1" thickBot="1">
      <c r="A9" s="592" t="s">
        <v>116</v>
      </c>
      <c r="B9" s="593">
        <f>SUM(B4:B8)</f>
        <v>8375.2029803928581</v>
      </c>
      <c r="C9" s="594">
        <f t="shared" ref="C9:L9" si="0">SUM(C7:C8)</f>
        <v>0</v>
      </c>
      <c r="D9" s="594">
        <f t="shared" si="0"/>
        <v>0</v>
      </c>
      <c r="E9" s="594">
        <f t="shared" si="0"/>
        <v>0</v>
      </c>
      <c r="F9" s="594">
        <f t="shared" si="0"/>
        <v>0</v>
      </c>
      <c r="G9" s="594">
        <f t="shared" si="0"/>
        <v>0</v>
      </c>
      <c r="H9" s="594">
        <f t="shared" si="0"/>
        <v>0</v>
      </c>
      <c r="I9" s="594">
        <f t="shared" si="0"/>
        <v>0</v>
      </c>
      <c r="J9" s="594">
        <f t="shared" si="0"/>
        <v>0</v>
      </c>
      <c r="K9" s="594">
        <f t="shared" si="0"/>
        <v>0</v>
      </c>
      <c r="L9" s="594">
        <f t="shared" si="0"/>
        <v>0</v>
      </c>
      <c r="M9" s="595">
        <f>SUM(M4:M8)</f>
        <v>0</v>
      </c>
      <c r="N9" s="596"/>
      <c r="P9" s="597"/>
      <c r="Q9" s="573"/>
      <c r="R9" s="597"/>
      <c r="S9" s="597"/>
    </row>
    <row r="10" spans="1:19" s="600" customFormat="1" ht="15.75" thickTop="1">
      <c r="A10" s="598"/>
      <c r="B10" s="599"/>
      <c r="C10" s="599"/>
      <c r="D10" s="599"/>
      <c r="E10" s="599"/>
      <c r="F10" s="599"/>
      <c r="G10" s="599"/>
      <c r="H10" s="599"/>
      <c r="I10" s="599"/>
      <c r="J10" s="599"/>
      <c r="K10" s="599"/>
      <c r="L10" s="599"/>
      <c r="N10" s="599"/>
      <c r="P10" s="599"/>
    </row>
    <row r="11" spans="1:19" s="600" customFormat="1">
      <c r="A11" s="601" t="s">
        <v>290</v>
      </c>
      <c r="B11" s="602"/>
      <c r="C11" s="602">
        <f>EF_CO2_aardgas</f>
        <v>0.20200000000000001</v>
      </c>
      <c r="D11" s="602">
        <f>EF_VLgas_CO2</f>
        <v>0.22700000000000001</v>
      </c>
      <c r="E11" s="602">
        <f>EF_stookolie_CO2</f>
        <v>0.26700000000000002</v>
      </c>
      <c r="F11" s="602">
        <f>EF_bruinkool_CO2</f>
        <v>0.35099999999999998</v>
      </c>
      <c r="G11" s="602">
        <f>EF_steenkool_CO2</f>
        <v>0.35399999999999998</v>
      </c>
      <c r="H11" s="602">
        <f>'EF brandstof'!M4</f>
        <v>0.33</v>
      </c>
      <c r="I11" s="602">
        <f>'EF brandstof'!J4</f>
        <v>0</v>
      </c>
      <c r="J11" s="602">
        <f>'EF brandstof'!L4</f>
        <v>0</v>
      </c>
      <c r="K11" s="602">
        <f>'EF brandstof'!L4</f>
        <v>0</v>
      </c>
      <c r="L11" s="602"/>
      <c r="N11" s="603"/>
      <c r="O11" s="603"/>
      <c r="P11" s="603"/>
    </row>
    <row r="12" spans="1:19" s="563" customFormat="1" ht="15.75" thickBot="1">
      <c r="A12" s="604"/>
      <c r="B12" s="603"/>
      <c r="C12" s="603"/>
      <c r="D12" s="603"/>
      <c r="E12" s="603"/>
      <c r="F12" s="603"/>
      <c r="G12" s="603"/>
      <c r="H12" s="603"/>
      <c r="I12" s="603"/>
      <c r="J12" s="603"/>
      <c r="K12" s="603"/>
      <c r="L12" s="603"/>
      <c r="M12" s="603"/>
      <c r="N12" s="603"/>
      <c r="O12" s="603"/>
      <c r="P12" s="603"/>
    </row>
    <row r="13" spans="1:19" s="563" customFormat="1" ht="17.25" thickTop="1" thickBot="1">
      <c r="A13" s="1230" t="s">
        <v>253</v>
      </c>
      <c r="B13" s="1230" t="s">
        <v>254</v>
      </c>
      <c r="C13" s="1233" t="s">
        <v>255</v>
      </c>
      <c r="D13" s="1234"/>
      <c r="E13" s="1234"/>
      <c r="F13" s="1234"/>
      <c r="G13" s="1234"/>
      <c r="H13" s="1234"/>
      <c r="I13" s="1234"/>
      <c r="J13" s="1234"/>
      <c r="K13" s="1234"/>
      <c r="L13" s="1235"/>
      <c r="M13" s="1219" t="s">
        <v>244</v>
      </c>
      <c r="N13" s="1218" t="s">
        <v>256</v>
      </c>
      <c r="O13" s="1219"/>
      <c r="P13" s="1217"/>
      <c r="Q13" s="1217"/>
      <c r="R13" s="1217"/>
    </row>
    <row r="14" spans="1:19" s="563" customFormat="1" ht="15.75" thickBot="1">
      <c r="A14" s="1231"/>
      <c r="B14" s="1231"/>
      <c r="C14" s="1236" t="s">
        <v>197</v>
      </c>
      <c r="D14" s="1237"/>
      <c r="E14" s="1237"/>
      <c r="F14" s="1237"/>
      <c r="G14" s="1238"/>
      <c r="H14" s="1239" t="s">
        <v>245</v>
      </c>
      <c r="I14" s="1239" t="s">
        <v>246</v>
      </c>
      <c r="J14" s="1241" t="s">
        <v>234</v>
      </c>
      <c r="K14" s="1243" t="s">
        <v>257</v>
      </c>
      <c r="L14" s="1245" t="s">
        <v>127</v>
      </c>
      <c r="M14" s="1221"/>
      <c r="N14" s="1220"/>
      <c r="O14" s="1221"/>
      <c r="P14" s="1217"/>
      <c r="Q14" s="1217"/>
      <c r="R14" s="1217"/>
    </row>
    <row r="15" spans="1:19" s="563" customFormat="1" ht="40.700000000000003" customHeight="1" thickBot="1">
      <c r="A15" s="1232"/>
      <c r="B15" s="1232"/>
      <c r="C15" s="605" t="s">
        <v>199</v>
      </c>
      <c r="D15" s="565" t="s">
        <v>200</v>
      </c>
      <c r="E15" s="606" t="s">
        <v>201</v>
      </c>
      <c r="F15" s="565" t="s">
        <v>203</v>
      </c>
      <c r="G15" s="607" t="s">
        <v>204</v>
      </c>
      <c r="H15" s="1240"/>
      <c r="I15" s="1240"/>
      <c r="J15" s="1242"/>
      <c r="K15" s="1244"/>
      <c r="L15" s="1246"/>
      <c r="M15" s="1223"/>
      <c r="N15" s="1222"/>
      <c r="O15" s="1223"/>
      <c r="P15" s="1217"/>
      <c r="Q15" s="1217"/>
      <c r="R15" s="1217"/>
    </row>
    <row r="16" spans="1:19" s="563" customFormat="1" ht="15.75" thickTop="1">
      <c r="A16" s="608" t="s">
        <v>252</v>
      </c>
      <c r="B16" s="609">
        <f>O57</f>
        <v>0</v>
      </c>
      <c r="C16" s="610">
        <f>B101</f>
        <v>0</v>
      </c>
      <c r="D16" s="611"/>
      <c r="E16" s="611">
        <f>E101</f>
        <v>0</v>
      </c>
      <c r="F16" s="612"/>
      <c r="G16" s="613"/>
      <c r="H16" s="610">
        <f>I101</f>
        <v>0</v>
      </c>
      <c r="I16" s="611">
        <f>G101+F101</f>
        <v>0</v>
      </c>
      <c r="J16" s="611">
        <f>H101+D101+C101</f>
        <v>0</v>
      </c>
      <c r="K16" s="611"/>
      <c r="L16" s="614"/>
      <c r="M16" s="615">
        <f>C16*$C$21+E16*$E$21+H16*$H$21+I16*$I$21+J16*$J$21+D16*$D$21+F16*$F$21+G16*$G$21+K16*$K$21+L16*$L$21</f>
        <v>0</v>
      </c>
      <c r="N16" s="1209"/>
      <c r="O16" s="1210"/>
      <c r="P16" s="616"/>
      <c r="Q16" s="1211"/>
      <c r="R16" s="1211"/>
    </row>
    <row r="17" spans="1:26" s="563" customFormat="1">
      <c r="A17" s="617" t="s">
        <v>258</v>
      </c>
      <c r="B17" s="618">
        <f>'Eigen informatie GS &amp; warmtenet'!B32</f>
        <v>0</v>
      </c>
      <c r="C17" s="579">
        <f>'Eigen informatie GS &amp; warmtenet'!B35</f>
        <v>0</v>
      </c>
      <c r="D17" s="579">
        <f>'Eigen informatie GS &amp; warmtenet'!B36</f>
        <v>0</v>
      </c>
      <c r="E17" s="579">
        <f>'Eigen informatie GS &amp; warmtenet'!B37</f>
        <v>0</v>
      </c>
      <c r="F17" s="579">
        <f>'Eigen informatie GS &amp; warmtenet'!B38</f>
        <v>0</v>
      </c>
      <c r="G17" s="579">
        <f>'Eigen informatie GS &amp; warmtenet'!B39</f>
        <v>0</v>
      </c>
      <c r="H17" s="579">
        <f>'Eigen informatie GS &amp; warmtenet'!B40</f>
        <v>0</v>
      </c>
      <c r="I17" s="579">
        <f>'Eigen informatie GS &amp; warmtenet'!B41</f>
        <v>0</v>
      </c>
      <c r="J17" s="579">
        <f>'Eigen informatie GS &amp; warmtenet'!B42</f>
        <v>0</v>
      </c>
      <c r="K17" s="579">
        <f>'Eigen informatie GS &amp; warmtenet'!B43</f>
        <v>0</v>
      </c>
      <c r="L17" s="579">
        <f>'Eigen informatie GS &amp; warmtenet'!B44</f>
        <v>0</v>
      </c>
      <c r="M17" s="615">
        <f>C17*$C$21+E17*$E$21+H17*$H$21+I17*$I$21+J17*$J$21+D17*$D$21+F17*$F$21+G17*$G$21+K17*$K$21+L17*$L$21</f>
        <v>0</v>
      </c>
      <c r="N17" s="1212"/>
      <c r="O17" s="1213"/>
      <c r="P17" s="573"/>
      <c r="Q17" s="1214"/>
      <c r="R17" s="1214"/>
    </row>
    <row r="18" spans="1:26" s="563" customFormat="1" ht="15.75" thickBot="1">
      <c r="A18" s="584" t="s">
        <v>248</v>
      </c>
      <c r="B18" s="618">
        <f>'Eigen informatie GS &amp; warmtenet'!B11</f>
        <v>0</v>
      </c>
      <c r="C18" s="61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1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1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1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1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1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1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1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1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1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5">
        <f>C18*$C$21+E18*$E$21+H18*$H$21+I18*$I$21+J18*$J$21+D18*$D$21+F18*$F$21+G18*$G$21+K18*$K$21+L18*$L$21</f>
        <v>0</v>
      </c>
      <c r="N18" s="1215"/>
      <c r="O18" s="1216"/>
      <c r="P18" s="573"/>
      <c r="Q18" s="1214"/>
      <c r="R18" s="1214"/>
    </row>
    <row r="19" spans="1:26" s="563" customFormat="1" ht="16.5" thickTop="1" thickBot="1">
      <c r="A19" s="592" t="s">
        <v>116</v>
      </c>
      <c r="B19" s="593">
        <f>SUM(B16:B18)</f>
        <v>0</v>
      </c>
      <c r="C19" s="593">
        <f>SUM(C16:C18)</f>
        <v>0</v>
      </c>
      <c r="D19" s="593">
        <f t="shared" ref="D19:M19" si="1">SUM(D16:D18)</f>
        <v>0</v>
      </c>
      <c r="E19" s="593">
        <f t="shared" si="1"/>
        <v>0</v>
      </c>
      <c r="F19" s="593">
        <f t="shared" si="1"/>
        <v>0</v>
      </c>
      <c r="G19" s="593">
        <f t="shared" si="1"/>
        <v>0</v>
      </c>
      <c r="H19" s="593">
        <f t="shared" si="1"/>
        <v>0</v>
      </c>
      <c r="I19" s="593">
        <f t="shared" si="1"/>
        <v>0</v>
      </c>
      <c r="J19" s="593">
        <f t="shared" si="1"/>
        <v>0</v>
      </c>
      <c r="K19" s="593">
        <f t="shared" si="1"/>
        <v>0</v>
      </c>
      <c r="L19" s="593">
        <f t="shared" si="1"/>
        <v>0</v>
      </c>
      <c r="M19" s="620">
        <f t="shared" si="1"/>
        <v>0</v>
      </c>
      <c r="N19" s="1206"/>
      <c r="O19" s="1207"/>
      <c r="P19" s="573"/>
      <c r="Q19" s="1208"/>
      <c r="R19" s="1208"/>
    </row>
    <row r="20" spans="1:26" s="563" customFormat="1" ht="15.75" thickTop="1">
      <c r="A20" s="616"/>
      <c r="B20" s="573"/>
      <c r="C20" s="573"/>
      <c r="D20" s="573"/>
      <c r="E20" s="573"/>
      <c r="F20" s="573"/>
      <c r="G20" s="573"/>
      <c r="H20" s="573"/>
      <c r="I20" s="573"/>
      <c r="J20" s="573"/>
      <c r="K20" s="573"/>
      <c r="L20" s="573"/>
      <c r="M20" s="573"/>
      <c r="N20" s="597"/>
      <c r="O20" s="597"/>
      <c r="P20" s="573"/>
      <c r="Q20" s="597"/>
      <c r="R20" s="597"/>
    </row>
    <row r="21" spans="1:26" s="600" customFormat="1">
      <c r="A21" s="601" t="s">
        <v>290</v>
      </c>
      <c r="B21" s="602"/>
      <c r="C21" s="602">
        <f>EF_CO2_aardgas</f>
        <v>0.20200000000000001</v>
      </c>
      <c r="D21" s="602">
        <f>EF_VLgas_CO2</f>
        <v>0.22700000000000001</v>
      </c>
      <c r="E21" s="602">
        <f>EF_stookolie_CO2</f>
        <v>0.26700000000000002</v>
      </c>
      <c r="F21" s="602">
        <f>EF_bruinkool_CO2</f>
        <v>0.35099999999999998</v>
      </c>
      <c r="G21" s="602">
        <f>EF_steenkool_CO2</f>
        <v>0.35399999999999998</v>
      </c>
      <c r="H21" s="602">
        <f>'EF brandstof'!M4</f>
        <v>0.33</v>
      </c>
      <c r="I21" s="602">
        <f>'EF brandstof'!J4</f>
        <v>0</v>
      </c>
      <c r="J21" s="602">
        <f>'EF brandstof'!L4</f>
        <v>0</v>
      </c>
      <c r="K21" s="602">
        <f>'EF brandstof'!L4</f>
        <v>0</v>
      </c>
      <c r="L21" s="602"/>
      <c r="M21" s="603"/>
      <c r="N21" s="603"/>
      <c r="O21" s="603"/>
      <c r="P21" s="603"/>
      <c r="Q21" s="563"/>
    </row>
    <row r="22" spans="1:26" s="600" customFormat="1">
      <c r="A22" s="604"/>
      <c r="B22" s="603"/>
      <c r="C22" s="603"/>
      <c r="D22" s="603"/>
      <c r="E22" s="603"/>
      <c r="F22" s="603"/>
      <c r="G22" s="603"/>
      <c r="H22" s="603"/>
      <c r="I22" s="603"/>
      <c r="J22" s="603"/>
      <c r="K22" s="603"/>
      <c r="L22" s="603"/>
      <c r="M22" s="603"/>
      <c r="N22" s="603"/>
      <c r="O22" s="603"/>
      <c r="P22" s="603"/>
      <c r="Q22" s="563"/>
    </row>
    <row r="23" spans="1:26" s="600" customFormat="1">
      <c r="A23" s="604"/>
      <c r="B23" s="603"/>
      <c r="C23" s="603"/>
      <c r="D23" s="621"/>
      <c r="E23" s="621"/>
      <c r="F23" s="621"/>
      <c r="G23" s="603"/>
      <c r="H23" s="603"/>
      <c r="I23" s="603"/>
      <c r="J23" s="603"/>
      <c r="K23" s="603"/>
      <c r="L23" s="603"/>
      <c r="M23" s="603"/>
      <c r="N23" s="603"/>
      <c r="O23" s="603"/>
      <c r="P23" s="603"/>
    </row>
    <row r="24" spans="1:26" s="600" customFormat="1">
      <c r="A24" s="604"/>
      <c r="B24" s="603"/>
      <c r="C24" s="603"/>
      <c r="D24" s="621"/>
      <c r="E24" s="621"/>
      <c r="F24" s="621"/>
      <c r="G24" s="603"/>
      <c r="H24" s="603"/>
      <c r="I24" s="603"/>
      <c r="J24" s="603"/>
      <c r="K24" s="603"/>
      <c r="L24" s="603"/>
      <c r="M24" s="603"/>
      <c r="N24" s="603"/>
      <c r="O24" s="603"/>
      <c r="P24" s="603"/>
    </row>
    <row r="25" spans="1:26" s="563" customFormat="1" ht="15.75" thickBot="1">
      <c r="B25" s="621"/>
      <c r="C25" s="621"/>
      <c r="D25" s="621"/>
      <c r="E25" s="621"/>
      <c r="F25" s="621"/>
      <c r="G25" s="621"/>
      <c r="H25" s="621"/>
      <c r="I25" s="621"/>
      <c r="J25" s="621"/>
      <c r="K25" s="621"/>
      <c r="L25" s="621"/>
      <c r="M25" s="621"/>
      <c r="N25" s="621"/>
      <c r="O25" s="622"/>
      <c r="P25" s="622"/>
    </row>
    <row r="26" spans="1:26" s="563" customFormat="1" ht="45">
      <c r="A26" s="623" t="s">
        <v>279</v>
      </c>
      <c r="B26" s="668" t="s">
        <v>90</v>
      </c>
      <c r="C26" s="668" t="s">
        <v>91</v>
      </c>
      <c r="D26" s="668" t="s">
        <v>92</v>
      </c>
      <c r="E26" s="668" t="s">
        <v>93</v>
      </c>
      <c r="F26" s="668" t="s">
        <v>94</v>
      </c>
      <c r="G26" s="668" t="s">
        <v>95</v>
      </c>
      <c r="H26" s="668" t="s">
        <v>96</v>
      </c>
      <c r="I26" s="668" t="s">
        <v>97</v>
      </c>
      <c r="J26" s="668" t="s">
        <v>98</v>
      </c>
      <c r="K26" s="668" t="s">
        <v>99</v>
      </c>
      <c r="L26" s="668" t="s">
        <v>100</v>
      </c>
      <c r="M26" s="669" t="s">
        <v>298</v>
      </c>
      <c r="N26" s="669" t="s">
        <v>101</v>
      </c>
      <c r="O26" s="669" t="s">
        <v>102</v>
      </c>
      <c r="P26" s="669" t="s">
        <v>534</v>
      </c>
      <c r="Q26" s="669" t="s">
        <v>103</v>
      </c>
      <c r="R26" s="669" t="s">
        <v>104</v>
      </c>
      <c r="S26" s="669" t="s">
        <v>105</v>
      </c>
      <c r="T26" s="669" t="s">
        <v>106</v>
      </c>
      <c r="U26" s="669" t="s">
        <v>107</v>
      </c>
      <c r="V26" s="669" t="s">
        <v>108</v>
      </c>
      <c r="W26" s="668" t="s">
        <v>109</v>
      </c>
      <c r="X26" s="668" t="s">
        <v>299</v>
      </c>
      <c r="Y26" s="668" t="s">
        <v>110</v>
      </c>
      <c r="Z26" s="670" t="s">
        <v>300</v>
      </c>
    </row>
    <row r="27" spans="1:26" s="625" customFormat="1" ht="12.75">
      <c r="A27" s="624"/>
      <c r="B27" s="851"/>
      <c r="C27" s="851"/>
      <c r="D27" s="672"/>
      <c r="E27" s="671"/>
      <c r="F27" s="671"/>
      <c r="G27" s="671"/>
      <c r="H27" s="671"/>
      <c r="I27" s="671"/>
      <c r="J27" s="850"/>
      <c r="K27" s="850"/>
      <c r="L27" s="671"/>
      <c r="M27" s="671"/>
      <c r="N27" s="671"/>
      <c r="O27" s="671"/>
      <c r="P27" s="671"/>
      <c r="Q27" s="671"/>
      <c r="R27" s="671"/>
      <c r="S27" s="671"/>
      <c r="T27" s="671"/>
      <c r="U27" s="671"/>
      <c r="V27" s="671"/>
      <c r="W27" s="671"/>
      <c r="X27" s="671"/>
      <c r="Y27" s="671"/>
      <c r="Z27" s="673"/>
    </row>
    <row r="28" spans="1:26" s="625" customFormat="1" ht="12.75">
      <c r="A28" s="624"/>
      <c r="B28" s="851"/>
      <c r="C28" s="851"/>
      <c r="D28" s="672"/>
      <c r="E28" s="671"/>
      <c r="F28" s="671"/>
      <c r="G28" s="671"/>
      <c r="H28" s="671"/>
      <c r="I28" s="671"/>
      <c r="J28" s="850"/>
      <c r="K28" s="850"/>
      <c r="L28" s="671"/>
      <c r="M28" s="671"/>
      <c r="N28" s="671"/>
      <c r="O28" s="671"/>
      <c r="P28" s="671"/>
      <c r="Q28" s="671"/>
      <c r="R28" s="671"/>
      <c r="S28" s="671"/>
      <c r="T28" s="671"/>
      <c r="U28" s="671"/>
      <c r="V28" s="671"/>
      <c r="W28" s="671"/>
      <c r="X28" s="671"/>
      <c r="Y28" s="671"/>
      <c r="Z28" s="673"/>
    </row>
    <row r="29" spans="1:26" s="625" customFormat="1" ht="12.75">
      <c r="A29" s="624"/>
      <c r="B29" s="851"/>
      <c r="C29" s="851"/>
      <c r="D29" s="672"/>
      <c r="E29" s="671"/>
      <c r="F29" s="671"/>
      <c r="G29" s="671"/>
      <c r="H29" s="671"/>
      <c r="I29" s="671"/>
      <c r="J29" s="850"/>
      <c r="K29" s="850"/>
      <c r="L29" s="671"/>
      <c r="M29" s="671"/>
      <c r="N29" s="671"/>
      <c r="O29" s="671"/>
      <c r="P29" s="671"/>
      <c r="Q29" s="671"/>
      <c r="R29" s="671"/>
      <c r="S29" s="671"/>
      <c r="T29" s="671"/>
      <c r="U29" s="671"/>
      <c r="V29" s="671"/>
      <c r="W29" s="671"/>
      <c r="X29" s="671"/>
      <c r="Y29" s="671"/>
      <c r="Z29" s="673"/>
    </row>
    <row r="30" spans="1:26" s="625" customFormat="1" ht="12.75">
      <c r="A30" s="624"/>
      <c r="B30" s="851"/>
      <c r="C30" s="851"/>
      <c r="D30" s="672"/>
      <c r="E30" s="671"/>
      <c r="F30" s="671"/>
      <c r="G30" s="671"/>
      <c r="H30" s="671"/>
      <c r="I30" s="671"/>
      <c r="J30" s="850"/>
      <c r="K30" s="850"/>
      <c r="L30" s="671"/>
      <c r="M30" s="671"/>
      <c r="N30" s="671"/>
      <c r="O30" s="671"/>
      <c r="P30" s="671"/>
      <c r="Q30" s="671"/>
      <c r="R30" s="671"/>
      <c r="S30" s="671"/>
      <c r="T30" s="671"/>
      <c r="U30" s="671"/>
      <c r="V30" s="671"/>
      <c r="W30" s="671"/>
      <c r="X30" s="671"/>
      <c r="Y30" s="671"/>
      <c r="Z30" s="673"/>
    </row>
    <row r="31" spans="1:26" s="625" customFormat="1" ht="12.75">
      <c r="A31" s="624"/>
      <c r="B31" s="851"/>
      <c r="C31" s="851"/>
      <c r="D31" s="672"/>
      <c r="E31" s="671"/>
      <c r="F31" s="671"/>
      <c r="G31" s="671"/>
      <c r="H31" s="671"/>
      <c r="I31" s="671"/>
      <c r="J31" s="850"/>
      <c r="K31" s="850"/>
      <c r="L31" s="671"/>
      <c r="M31" s="671"/>
      <c r="N31" s="671"/>
      <c r="O31" s="671"/>
      <c r="P31" s="671"/>
      <c r="Q31" s="671"/>
      <c r="R31" s="671"/>
      <c r="S31" s="671"/>
      <c r="T31" s="671"/>
      <c r="U31" s="671"/>
      <c r="V31" s="671"/>
      <c r="W31" s="671"/>
      <c r="X31" s="671"/>
      <c r="Y31" s="671"/>
      <c r="Z31" s="673"/>
    </row>
    <row r="32" spans="1:26" s="625" customFormat="1" ht="12.75">
      <c r="A32" s="624"/>
      <c r="B32" s="851"/>
      <c r="C32" s="851"/>
      <c r="D32" s="672"/>
      <c r="E32" s="671"/>
      <c r="F32" s="671"/>
      <c r="G32" s="671"/>
      <c r="H32" s="671"/>
      <c r="I32" s="671"/>
      <c r="J32" s="850"/>
      <c r="K32" s="850"/>
      <c r="L32" s="671"/>
      <c r="M32" s="671"/>
      <c r="N32" s="671"/>
      <c r="O32" s="671"/>
      <c r="P32" s="671"/>
      <c r="Q32" s="671"/>
      <c r="R32" s="671"/>
      <c r="S32" s="671"/>
      <c r="T32" s="671"/>
      <c r="U32" s="671"/>
      <c r="V32" s="671"/>
      <c r="W32" s="671"/>
      <c r="X32" s="671"/>
      <c r="Y32" s="671"/>
      <c r="Z32" s="673"/>
    </row>
    <row r="33" spans="1:26" s="625" customFormat="1" ht="12.75">
      <c r="A33" s="624"/>
      <c r="B33" s="851"/>
      <c r="C33" s="851"/>
      <c r="D33" s="672"/>
      <c r="E33" s="671"/>
      <c r="F33" s="671"/>
      <c r="G33" s="671"/>
      <c r="H33" s="671"/>
      <c r="I33" s="671"/>
      <c r="J33" s="850"/>
      <c r="K33" s="850"/>
      <c r="L33" s="671"/>
      <c r="M33" s="671"/>
      <c r="N33" s="671"/>
      <c r="O33" s="671"/>
      <c r="P33" s="671"/>
      <c r="Q33" s="671"/>
      <c r="R33" s="671"/>
      <c r="S33" s="671"/>
      <c r="T33" s="671"/>
      <c r="U33" s="671"/>
      <c r="V33" s="671"/>
      <c r="W33" s="671"/>
      <c r="X33" s="671"/>
      <c r="Y33" s="671"/>
      <c r="Z33" s="673"/>
    </row>
    <row r="34" spans="1:26" s="625" customFormat="1" ht="12.75">
      <c r="A34" s="624"/>
      <c r="B34" s="851"/>
      <c r="C34" s="851"/>
      <c r="D34" s="672"/>
      <c r="E34" s="671"/>
      <c r="F34" s="671"/>
      <c r="G34" s="671"/>
      <c r="H34" s="671"/>
      <c r="I34" s="671"/>
      <c r="J34" s="850"/>
      <c r="K34" s="850"/>
      <c r="L34" s="671"/>
      <c r="M34" s="671"/>
      <c r="N34" s="671"/>
      <c r="O34" s="671"/>
      <c r="P34" s="671"/>
      <c r="Q34" s="671"/>
      <c r="R34" s="671"/>
      <c r="S34" s="671"/>
      <c r="T34" s="671"/>
      <c r="U34" s="671"/>
      <c r="V34" s="671"/>
      <c r="W34" s="671"/>
      <c r="X34" s="671"/>
      <c r="Y34" s="671"/>
      <c r="Z34" s="673"/>
    </row>
    <row r="35" spans="1:26" s="625" customFormat="1" ht="12.75">
      <c r="A35" s="624"/>
      <c r="B35" s="851"/>
      <c r="C35" s="851"/>
      <c r="D35" s="672"/>
      <c r="E35" s="671"/>
      <c r="F35" s="671"/>
      <c r="G35" s="671"/>
      <c r="H35" s="671"/>
      <c r="I35" s="671"/>
      <c r="J35" s="850"/>
      <c r="K35" s="850"/>
      <c r="L35" s="671"/>
      <c r="M35" s="671"/>
      <c r="N35" s="671"/>
      <c r="O35" s="671"/>
      <c r="P35" s="671"/>
      <c r="Q35" s="671"/>
      <c r="R35" s="671"/>
      <c r="S35" s="671"/>
      <c r="T35" s="671"/>
      <c r="U35" s="671"/>
      <c r="V35" s="671"/>
      <c r="W35" s="671"/>
      <c r="X35" s="671"/>
      <c r="Y35" s="671"/>
      <c r="Z35" s="673"/>
    </row>
    <row r="36" spans="1:26" s="625" customFormat="1" ht="12.75">
      <c r="A36" s="624"/>
      <c r="B36" s="851"/>
      <c r="C36" s="851"/>
      <c r="D36" s="672"/>
      <c r="E36" s="671"/>
      <c r="F36" s="671"/>
      <c r="G36" s="671"/>
      <c r="H36" s="671"/>
      <c r="I36" s="671"/>
      <c r="J36" s="850"/>
      <c r="K36" s="850"/>
      <c r="L36" s="671"/>
      <c r="M36" s="671"/>
      <c r="N36" s="671"/>
      <c r="O36" s="671"/>
      <c r="P36" s="671"/>
      <c r="Q36" s="671"/>
      <c r="R36" s="671"/>
      <c r="S36" s="671"/>
      <c r="T36" s="671"/>
      <c r="U36" s="671"/>
      <c r="V36" s="671"/>
      <c r="W36" s="671"/>
      <c r="X36" s="671"/>
      <c r="Y36" s="671"/>
      <c r="Z36" s="673"/>
    </row>
    <row r="37" spans="1:26" s="625" customFormat="1" ht="12.75">
      <c r="A37" s="624"/>
      <c r="B37" s="851"/>
      <c r="C37" s="851"/>
      <c r="D37" s="672"/>
      <c r="E37" s="671"/>
      <c r="F37" s="671"/>
      <c r="G37" s="671"/>
      <c r="H37" s="671"/>
      <c r="I37" s="671"/>
      <c r="J37" s="850"/>
      <c r="K37" s="850"/>
      <c r="L37" s="671"/>
      <c r="M37" s="671"/>
      <c r="N37" s="671"/>
      <c r="O37" s="671"/>
      <c r="P37" s="671"/>
      <c r="Q37" s="671"/>
      <c r="R37" s="671"/>
      <c r="S37" s="671"/>
      <c r="T37" s="671"/>
      <c r="U37" s="671"/>
      <c r="V37" s="671"/>
      <c r="W37" s="671"/>
      <c r="X37" s="671"/>
      <c r="Y37" s="671"/>
      <c r="Z37" s="673"/>
    </row>
    <row r="38" spans="1:26" s="625" customFormat="1" ht="12.75">
      <c r="A38" s="624"/>
      <c r="B38" s="851"/>
      <c r="C38" s="851"/>
      <c r="D38" s="672"/>
      <c r="E38" s="671"/>
      <c r="F38" s="671"/>
      <c r="G38" s="671"/>
      <c r="H38" s="671"/>
      <c r="I38" s="671"/>
      <c r="J38" s="850"/>
      <c r="K38" s="850"/>
      <c r="L38" s="671"/>
      <c r="M38" s="671"/>
      <c r="N38" s="671"/>
      <c r="O38" s="671"/>
      <c r="P38" s="671"/>
      <c r="Q38" s="671"/>
      <c r="R38" s="671"/>
      <c r="S38" s="671"/>
      <c r="T38" s="671"/>
      <c r="U38" s="671"/>
      <c r="V38" s="671"/>
      <c r="W38" s="671"/>
      <c r="X38" s="671"/>
      <c r="Y38" s="671"/>
      <c r="Z38" s="673"/>
    </row>
    <row r="39" spans="1:26" s="625" customFormat="1" ht="12.75">
      <c r="A39" s="624"/>
      <c r="B39" s="851"/>
      <c r="C39" s="851"/>
      <c r="D39" s="672"/>
      <c r="E39" s="671"/>
      <c r="F39" s="671"/>
      <c r="G39" s="671"/>
      <c r="H39" s="671"/>
      <c r="I39" s="671"/>
      <c r="J39" s="850"/>
      <c r="K39" s="850"/>
      <c r="L39" s="671"/>
      <c r="M39" s="671"/>
      <c r="N39" s="671"/>
      <c r="O39" s="671"/>
      <c r="P39" s="671"/>
      <c r="Q39" s="671"/>
      <c r="R39" s="671"/>
      <c r="S39" s="671"/>
      <c r="T39" s="671"/>
      <c r="U39" s="671"/>
      <c r="V39" s="671"/>
      <c r="W39" s="671"/>
      <c r="X39" s="671"/>
      <c r="Y39" s="671"/>
      <c r="Z39" s="673"/>
    </row>
    <row r="40" spans="1:26" s="625" customFormat="1" ht="12.75">
      <c r="A40" s="624"/>
      <c r="B40" s="851"/>
      <c r="C40" s="851"/>
      <c r="D40" s="672"/>
      <c r="E40" s="671"/>
      <c r="F40" s="671"/>
      <c r="G40" s="671"/>
      <c r="H40" s="671"/>
      <c r="I40" s="671"/>
      <c r="J40" s="850"/>
      <c r="K40" s="850"/>
      <c r="L40" s="671"/>
      <c r="M40" s="671"/>
      <c r="N40" s="671"/>
      <c r="O40" s="671"/>
      <c r="P40" s="671"/>
      <c r="Q40" s="671"/>
      <c r="R40" s="671"/>
      <c r="S40" s="671"/>
      <c r="T40" s="671"/>
      <c r="U40" s="671"/>
      <c r="V40" s="671"/>
      <c r="W40" s="671"/>
      <c r="X40" s="671"/>
      <c r="Y40" s="671"/>
      <c r="Z40" s="673"/>
    </row>
    <row r="41" spans="1:26" s="625" customFormat="1" ht="12.75">
      <c r="A41" s="624"/>
      <c r="B41" s="851"/>
      <c r="C41" s="851"/>
      <c r="D41" s="672"/>
      <c r="E41" s="671"/>
      <c r="F41" s="671"/>
      <c r="G41" s="671"/>
      <c r="H41" s="671"/>
      <c r="I41" s="671"/>
      <c r="J41" s="850"/>
      <c r="K41" s="850"/>
      <c r="L41" s="671"/>
      <c r="M41" s="671"/>
      <c r="N41" s="671"/>
      <c r="O41" s="671"/>
      <c r="P41" s="671"/>
      <c r="Q41" s="671"/>
      <c r="R41" s="671"/>
      <c r="S41" s="671"/>
      <c r="T41" s="671"/>
      <c r="U41" s="671"/>
      <c r="V41" s="671"/>
      <c r="W41" s="671"/>
      <c r="X41" s="671"/>
      <c r="Y41" s="671"/>
      <c r="Z41" s="673"/>
    </row>
    <row r="42" spans="1:26" s="625" customFormat="1" ht="12.75">
      <c r="A42" s="624"/>
      <c r="B42" s="851"/>
      <c r="C42" s="851"/>
      <c r="D42" s="672"/>
      <c r="E42" s="671"/>
      <c r="F42" s="671"/>
      <c r="G42" s="671"/>
      <c r="H42" s="671"/>
      <c r="I42" s="671"/>
      <c r="J42" s="850"/>
      <c r="K42" s="850"/>
      <c r="L42" s="671"/>
      <c r="M42" s="671"/>
      <c r="N42" s="671"/>
      <c r="O42" s="671"/>
      <c r="P42" s="671"/>
      <c r="Q42" s="671"/>
      <c r="R42" s="671"/>
      <c r="S42" s="671"/>
      <c r="T42" s="671"/>
      <c r="U42" s="671"/>
      <c r="V42" s="671"/>
      <c r="W42" s="671"/>
      <c r="X42" s="671"/>
      <c r="Y42" s="671"/>
      <c r="Z42" s="673"/>
    </row>
    <row r="43" spans="1:26" s="625" customFormat="1" ht="12.75">
      <c r="A43" s="624"/>
      <c r="B43" s="851"/>
      <c r="C43" s="851"/>
      <c r="D43" s="672"/>
      <c r="E43" s="671"/>
      <c r="F43" s="671"/>
      <c r="G43" s="671"/>
      <c r="H43" s="671"/>
      <c r="I43" s="671"/>
      <c r="J43" s="850"/>
      <c r="K43" s="850"/>
      <c r="L43" s="671"/>
      <c r="M43" s="671"/>
      <c r="N43" s="671"/>
      <c r="O43" s="671"/>
      <c r="P43" s="671"/>
      <c r="Q43" s="671"/>
      <c r="R43" s="671"/>
      <c r="S43" s="671"/>
      <c r="T43" s="671"/>
      <c r="U43" s="671"/>
      <c r="V43" s="671"/>
      <c r="W43" s="671"/>
      <c r="X43" s="671"/>
      <c r="Y43" s="671"/>
      <c r="Z43" s="673"/>
    </row>
    <row r="44" spans="1:26" s="625" customFormat="1" ht="12.75">
      <c r="A44" s="624"/>
      <c r="B44" s="851"/>
      <c r="C44" s="851"/>
      <c r="D44" s="672"/>
      <c r="E44" s="671"/>
      <c r="F44" s="671"/>
      <c r="G44" s="671"/>
      <c r="H44" s="671"/>
      <c r="I44" s="671"/>
      <c r="J44" s="850"/>
      <c r="K44" s="850"/>
      <c r="L44" s="671"/>
      <c r="M44" s="671"/>
      <c r="N44" s="671"/>
      <c r="O44" s="671"/>
      <c r="P44" s="671"/>
      <c r="Q44" s="671"/>
      <c r="R44" s="671"/>
      <c r="S44" s="671"/>
      <c r="T44" s="671"/>
      <c r="U44" s="671"/>
      <c r="V44" s="671"/>
      <c r="W44" s="671"/>
      <c r="X44" s="671"/>
      <c r="Y44" s="671"/>
      <c r="Z44" s="673"/>
    </row>
    <row r="45" spans="1:26" s="625" customFormat="1" ht="12.75">
      <c r="A45" s="624"/>
      <c r="B45" s="851"/>
      <c r="C45" s="851"/>
      <c r="D45" s="672"/>
      <c r="E45" s="671"/>
      <c r="F45" s="671"/>
      <c r="G45" s="671"/>
      <c r="H45" s="671"/>
      <c r="I45" s="671"/>
      <c r="J45" s="850"/>
      <c r="K45" s="850"/>
      <c r="L45" s="671"/>
      <c r="M45" s="671"/>
      <c r="N45" s="671"/>
      <c r="O45" s="671"/>
      <c r="P45" s="671"/>
      <c r="Q45" s="671"/>
      <c r="R45" s="671"/>
      <c r="S45" s="671"/>
      <c r="T45" s="671"/>
      <c r="U45" s="671"/>
      <c r="V45" s="671"/>
      <c r="W45" s="671"/>
      <c r="X45" s="671"/>
      <c r="Y45" s="671"/>
      <c r="Z45" s="673"/>
    </row>
    <row r="46" spans="1:26" s="625" customFormat="1" ht="12.75">
      <c r="A46" s="624"/>
      <c r="B46" s="851"/>
      <c r="C46" s="851"/>
      <c r="D46" s="672"/>
      <c r="E46" s="671"/>
      <c r="F46" s="671"/>
      <c r="G46" s="671"/>
      <c r="H46" s="671"/>
      <c r="I46" s="671"/>
      <c r="J46" s="850"/>
      <c r="K46" s="850"/>
      <c r="L46" s="671"/>
      <c r="M46" s="671"/>
      <c r="N46" s="671"/>
      <c r="O46" s="671"/>
      <c r="P46" s="671"/>
      <c r="Q46" s="671"/>
      <c r="R46" s="671"/>
      <c r="S46" s="671"/>
      <c r="T46" s="671"/>
      <c r="U46" s="671"/>
      <c r="V46" s="671"/>
      <c r="W46" s="671"/>
      <c r="X46" s="671"/>
      <c r="Y46" s="671"/>
      <c r="Z46" s="673"/>
    </row>
    <row r="47" spans="1:26" s="625" customFormat="1" ht="12.75">
      <c r="A47" s="624"/>
      <c r="B47" s="851"/>
      <c r="C47" s="851"/>
      <c r="D47" s="672"/>
      <c r="E47" s="671"/>
      <c r="F47" s="671"/>
      <c r="G47" s="671"/>
      <c r="H47" s="671"/>
      <c r="I47" s="671"/>
      <c r="J47" s="850"/>
      <c r="K47" s="850"/>
      <c r="L47" s="671"/>
      <c r="M47" s="671"/>
      <c r="N47" s="671"/>
      <c r="O47" s="671"/>
      <c r="P47" s="671"/>
      <c r="Q47" s="671"/>
      <c r="R47" s="671"/>
      <c r="S47" s="671"/>
      <c r="T47" s="671"/>
      <c r="U47" s="671"/>
      <c r="V47" s="671"/>
      <c r="W47" s="671"/>
      <c r="X47" s="671"/>
      <c r="Y47" s="671"/>
      <c r="Z47" s="673"/>
    </row>
    <row r="48" spans="1:26" s="625" customFormat="1" ht="12.75">
      <c r="A48" s="624"/>
      <c r="B48" s="851"/>
      <c r="C48" s="851"/>
      <c r="D48" s="672"/>
      <c r="E48" s="671"/>
      <c r="F48" s="671"/>
      <c r="G48" s="671"/>
      <c r="H48" s="671"/>
      <c r="I48" s="671"/>
      <c r="J48" s="850"/>
      <c r="K48" s="850"/>
      <c r="L48" s="671"/>
      <c r="M48" s="671"/>
      <c r="N48" s="671"/>
      <c r="O48" s="671"/>
      <c r="P48" s="671"/>
      <c r="Q48" s="671"/>
      <c r="R48" s="671"/>
      <c r="S48" s="671"/>
      <c r="T48" s="671"/>
      <c r="U48" s="671"/>
      <c r="V48" s="671"/>
      <c r="W48" s="671"/>
      <c r="X48" s="671"/>
      <c r="Y48" s="671"/>
      <c r="Z48" s="673"/>
    </row>
    <row r="49" spans="1:26" s="625" customFormat="1" ht="12.75">
      <c r="A49" s="624"/>
      <c r="B49" s="851"/>
      <c r="C49" s="851"/>
      <c r="D49" s="672"/>
      <c r="E49" s="671"/>
      <c r="F49" s="671"/>
      <c r="G49" s="671"/>
      <c r="H49" s="671"/>
      <c r="I49" s="671"/>
      <c r="J49" s="850"/>
      <c r="K49" s="850"/>
      <c r="L49" s="671"/>
      <c r="M49" s="671"/>
      <c r="N49" s="671"/>
      <c r="O49" s="671"/>
      <c r="P49" s="671"/>
      <c r="Q49" s="671"/>
      <c r="R49" s="671"/>
      <c r="S49" s="671"/>
      <c r="T49" s="671"/>
      <c r="U49" s="671"/>
      <c r="V49" s="671"/>
      <c r="W49" s="671"/>
      <c r="X49" s="671"/>
      <c r="Y49" s="671"/>
      <c r="Z49" s="673"/>
    </row>
    <row r="50" spans="1:26" s="625" customFormat="1" ht="12.75">
      <c r="A50" s="626"/>
      <c r="B50" s="851"/>
      <c r="C50" s="851"/>
      <c r="D50" s="672"/>
      <c r="E50" s="671"/>
      <c r="F50" s="671"/>
      <c r="G50" s="671"/>
      <c r="H50" s="671"/>
      <c r="I50" s="671"/>
      <c r="J50" s="850"/>
      <c r="K50" s="850"/>
      <c r="L50" s="671"/>
      <c r="M50" s="671"/>
      <c r="N50" s="671"/>
      <c r="O50" s="671"/>
      <c r="P50" s="671"/>
      <c r="Q50" s="671"/>
      <c r="R50" s="671"/>
      <c r="S50" s="671"/>
      <c r="T50" s="671"/>
      <c r="U50" s="671"/>
      <c r="V50" s="671"/>
      <c r="W50" s="671"/>
      <c r="X50" s="671"/>
      <c r="Y50" s="671"/>
      <c r="Z50" s="673"/>
    </row>
    <row r="51" spans="1:26" s="625" customFormat="1" ht="12.75">
      <c r="A51" s="626"/>
      <c r="B51" s="851"/>
      <c r="C51" s="851"/>
      <c r="D51" s="671"/>
      <c r="E51" s="671"/>
      <c r="F51" s="671"/>
      <c r="G51" s="671"/>
      <c r="H51" s="671"/>
      <c r="I51" s="671"/>
      <c r="J51" s="850"/>
      <c r="K51" s="850"/>
      <c r="L51" s="671"/>
      <c r="M51" s="671"/>
      <c r="N51" s="671"/>
      <c r="O51" s="671"/>
      <c r="P51" s="671"/>
      <c r="Q51" s="671"/>
      <c r="R51" s="671"/>
      <c r="S51" s="671"/>
      <c r="T51" s="671"/>
      <c r="U51" s="671"/>
      <c r="V51" s="671"/>
      <c r="W51" s="671"/>
      <c r="X51" s="671"/>
      <c r="Y51" s="671"/>
      <c r="Z51" s="673"/>
    </row>
    <row r="52" spans="1:26" s="625" customFormat="1" ht="12.75">
      <c r="A52" s="626"/>
      <c r="B52" s="851"/>
      <c r="C52" s="851"/>
      <c r="D52" s="671"/>
      <c r="E52" s="671"/>
      <c r="F52" s="671"/>
      <c r="G52" s="671"/>
      <c r="H52" s="671"/>
      <c r="I52" s="671"/>
      <c r="J52" s="850"/>
      <c r="K52" s="850"/>
      <c r="L52" s="671"/>
      <c r="M52" s="671"/>
      <c r="N52" s="671"/>
      <c r="O52" s="671"/>
      <c r="P52" s="671"/>
      <c r="Q52" s="671"/>
      <c r="R52" s="671"/>
      <c r="S52" s="671"/>
      <c r="T52" s="671"/>
      <c r="U52" s="671"/>
      <c r="V52" s="671"/>
      <c r="W52" s="671"/>
      <c r="X52" s="671"/>
      <c r="Y52" s="671"/>
      <c r="Z52" s="673"/>
    </row>
    <row r="53" spans="1:26" s="625" customFormat="1" ht="12.75">
      <c r="A53" s="626"/>
      <c r="B53" s="851"/>
      <c r="C53" s="851"/>
      <c r="D53" s="671"/>
      <c r="E53" s="671"/>
      <c r="F53" s="671"/>
      <c r="G53" s="671"/>
      <c r="H53" s="671"/>
      <c r="I53" s="671"/>
      <c r="J53" s="850"/>
      <c r="K53" s="850"/>
      <c r="L53" s="671"/>
      <c r="M53" s="671"/>
      <c r="N53" s="671"/>
      <c r="O53" s="671"/>
      <c r="P53" s="671"/>
      <c r="Q53" s="671"/>
      <c r="R53" s="671"/>
      <c r="S53" s="671"/>
      <c r="T53" s="671"/>
      <c r="U53" s="671"/>
      <c r="V53" s="671"/>
      <c r="W53" s="671"/>
      <c r="X53" s="671"/>
      <c r="Y53" s="671"/>
      <c r="Z53" s="673"/>
    </row>
    <row r="54" spans="1:26" s="625" customFormat="1" ht="12.75">
      <c r="A54" s="626"/>
      <c r="B54" s="851"/>
      <c r="C54" s="851"/>
      <c r="D54" s="671"/>
      <c r="E54" s="671"/>
      <c r="F54" s="671"/>
      <c r="G54" s="671"/>
      <c r="H54" s="671"/>
      <c r="I54" s="671"/>
      <c r="J54" s="850"/>
      <c r="K54" s="850"/>
      <c r="L54" s="671"/>
      <c r="M54" s="671"/>
      <c r="N54" s="671"/>
      <c r="O54" s="671"/>
      <c r="P54" s="671"/>
      <c r="Q54" s="671"/>
      <c r="R54" s="671"/>
      <c r="S54" s="671"/>
      <c r="T54" s="671"/>
      <c r="U54" s="671"/>
      <c r="V54" s="671"/>
      <c r="W54" s="671"/>
      <c r="X54" s="671"/>
      <c r="Y54" s="671"/>
      <c r="Z54" s="673"/>
    </row>
    <row r="55" spans="1:26" s="625" customFormat="1" ht="12.75">
      <c r="A55" s="626"/>
      <c r="B55" s="851"/>
      <c r="C55" s="851"/>
      <c r="D55" s="671"/>
      <c r="E55" s="671"/>
      <c r="F55" s="671"/>
      <c r="G55" s="671"/>
      <c r="H55" s="671"/>
      <c r="I55" s="671"/>
      <c r="J55" s="850"/>
      <c r="K55" s="850"/>
      <c r="L55" s="671"/>
      <c r="M55" s="671"/>
      <c r="N55" s="671"/>
      <c r="O55" s="671"/>
      <c r="P55" s="671"/>
      <c r="Q55" s="671"/>
      <c r="R55" s="671"/>
      <c r="S55" s="671"/>
      <c r="T55" s="671"/>
      <c r="U55" s="671"/>
      <c r="V55" s="671"/>
      <c r="W55" s="671"/>
      <c r="X55" s="671"/>
      <c r="Y55" s="671"/>
      <c r="Z55" s="673"/>
    </row>
    <row r="56" spans="1:26" s="625" customFormat="1" ht="12.75">
      <c r="A56" s="626"/>
      <c r="B56" s="851"/>
      <c r="C56" s="851"/>
      <c r="D56" s="671"/>
      <c r="E56" s="671"/>
      <c r="F56" s="671"/>
      <c r="G56" s="671"/>
      <c r="H56" s="671"/>
      <c r="I56" s="671"/>
      <c r="J56" s="850"/>
      <c r="K56" s="850"/>
      <c r="L56" s="671"/>
      <c r="M56" s="671"/>
      <c r="N56" s="671"/>
      <c r="O56" s="671"/>
      <c r="P56" s="671"/>
      <c r="Q56" s="671"/>
      <c r="R56" s="671"/>
      <c r="S56" s="671"/>
      <c r="T56" s="671"/>
      <c r="U56" s="671"/>
      <c r="V56" s="671"/>
      <c r="W56" s="671"/>
      <c r="X56" s="671"/>
      <c r="Y56" s="671"/>
      <c r="Z56" s="673"/>
    </row>
    <row r="57" spans="1:26" s="604" customFormat="1">
      <c r="A57" s="627" t="s">
        <v>280</v>
      </c>
      <c r="B57" s="628"/>
      <c r="C57" s="628"/>
      <c r="D57" s="628"/>
      <c r="E57" s="628"/>
      <c r="F57" s="628"/>
      <c r="G57" s="628"/>
      <c r="H57" s="628"/>
      <c r="I57" s="628"/>
      <c r="J57" s="628"/>
      <c r="K57" s="628"/>
      <c r="L57" s="629"/>
      <c r="M57" s="629">
        <f>SUM(M27:M56)</f>
        <v>0</v>
      </c>
      <c r="N57" s="629">
        <f>SUM(N27:N56)</f>
        <v>0</v>
      </c>
      <c r="O57" s="629">
        <f t="shared" ref="O57:W57" si="2">SUM(O27:O56)</f>
        <v>0</v>
      </c>
      <c r="P57" s="629">
        <f t="shared" si="2"/>
        <v>0</v>
      </c>
      <c r="Q57" s="629">
        <f t="shared" si="2"/>
        <v>0</v>
      </c>
      <c r="R57" s="629">
        <f t="shared" si="2"/>
        <v>0</v>
      </c>
      <c r="S57" s="629">
        <f t="shared" si="2"/>
        <v>0</v>
      </c>
      <c r="T57" s="629">
        <f t="shared" si="2"/>
        <v>0</v>
      </c>
      <c r="U57" s="629">
        <f t="shared" si="2"/>
        <v>0</v>
      </c>
      <c r="V57" s="629">
        <f t="shared" si="2"/>
        <v>0</v>
      </c>
      <c r="W57" s="629">
        <f t="shared" si="2"/>
        <v>0</v>
      </c>
      <c r="X57" s="630"/>
      <c r="Y57" s="630"/>
      <c r="Z57" s="631"/>
    </row>
    <row r="58" spans="1:26" s="604" customFormat="1">
      <c r="A58" s="627" t="s">
        <v>287</v>
      </c>
      <c r="B58" s="628"/>
      <c r="C58" s="628"/>
      <c r="D58" s="628"/>
      <c r="E58" s="628"/>
      <c r="F58" s="628"/>
      <c r="G58" s="628"/>
      <c r="H58" s="628"/>
      <c r="I58" s="628"/>
      <c r="J58" s="628"/>
      <c r="K58" s="628"/>
      <c r="L58" s="629"/>
      <c r="M58" s="629">
        <f>SUMIF($Z$27:$Z$56,"industrie",M27:M56)</f>
        <v>0</v>
      </c>
      <c r="N58" s="629">
        <f t="shared" ref="N58:W58" si="3">SUMIF($Z$27:$Z$56,"industrie",N27:N56)</f>
        <v>0</v>
      </c>
      <c r="O58" s="629">
        <f t="shared" si="3"/>
        <v>0</v>
      </c>
      <c r="P58" s="629">
        <f t="shared" si="3"/>
        <v>0</v>
      </c>
      <c r="Q58" s="629">
        <f t="shared" si="3"/>
        <v>0</v>
      </c>
      <c r="R58" s="629">
        <f t="shared" si="3"/>
        <v>0</v>
      </c>
      <c r="S58" s="629">
        <f t="shared" si="3"/>
        <v>0</v>
      </c>
      <c r="T58" s="629">
        <f t="shared" si="3"/>
        <v>0</v>
      </c>
      <c r="U58" s="629">
        <f t="shared" si="3"/>
        <v>0</v>
      </c>
      <c r="V58" s="629">
        <f t="shared" si="3"/>
        <v>0</v>
      </c>
      <c r="W58" s="629">
        <f t="shared" si="3"/>
        <v>0</v>
      </c>
      <c r="X58" s="630"/>
      <c r="Y58" s="630"/>
      <c r="Z58" s="631"/>
    </row>
    <row r="59" spans="1:26" s="604" customFormat="1">
      <c r="A59" s="627" t="s">
        <v>288</v>
      </c>
      <c r="B59" s="628"/>
      <c r="C59" s="628"/>
      <c r="D59" s="628"/>
      <c r="E59" s="628"/>
      <c r="F59" s="628"/>
      <c r="G59" s="628"/>
      <c r="H59" s="628"/>
      <c r="I59" s="628"/>
      <c r="J59" s="628"/>
      <c r="K59" s="628"/>
      <c r="L59" s="629"/>
      <c r="M59" s="629">
        <f ca="1">SUMIF($Z$27:AA56,"tertiair",M27:M56)</f>
        <v>0</v>
      </c>
      <c r="N59" s="629">
        <f ca="1">SUMIF($Z$27:AB56,"tertiair",N27:N56)</f>
        <v>0</v>
      </c>
      <c r="O59" s="629">
        <f ca="1">SUMIF($Z$27:AC56,"tertiair",O27:O56)</f>
        <v>0</v>
      </c>
      <c r="P59" s="629">
        <f ca="1">SUMIF($Z$27:AD56,"tertiair",P27:P56)</f>
        <v>0</v>
      </c>
      <c r="Q59" s="629">
        <f ca="1">SUMIF($Z$27:AE56,"tertiair",Q27:Q56)</f>
        <v>0</v>
      </c>
      <c r="R59" s="629">
        <f ca="1">SUMIF($Z$27:AF56,"tertiair",R27:R56)</f>
        <v>0</v>
      </c>
      <c r="S59" s="629">
        <f ca="1">SUMIF($Z$27:AG56,"tertiair",S27:S56)</f>
        <v>0</v>
      </c>
      <c r="T59" s="629">
        <f ca="1">SUMIF($Z$27:AH56,"tertiair",T27:T56)</f>
        <v>0</v>
      </c>
      <c r="U59" s="629">
        <f ca="1">SUMIF($Z$27:AI56,"tertiair",U27:U56)</f>
        <v>0</v>
      </c>
      <c r="V59" s="629">
        <f ca="1">SUMIF($Z$27:AJ56,"tertiair",V27:V56)</f>
        <v>0</v>
      </c>
      <c r="W59" s="629">
        <f ca="1">SUMIF($Z$27:AK56,"tertiair",W27:W56)</f>
        <v>0</v>
      </c>
      <c r="X59" s="630"/>
      <c r="Y59" s="630"/>
      <c r="Z59" s="631"/>
    </row>
    <row r="60" spans="1:26" s="604" customFormat="1" ht="15.75" thickBot="1">
      <c r="A60" s="632" t="s">
        <v>289</v>
      </c>
      <c r="B60" s="633"/>
      <c r="C60" s="633"/>
      <c r="D60" s="633"/>
      <c r="E60" s="633"/>
      <c r="F60" s="633"/>
      <c r="G60" s="633"/>
      <c r="H60" s="633"/>
      <c r="I60" s="633"/>
      <c r="J60" s="633"/>
      <c r="K60" s="633"/>
      <c r="L60" s="634"/>
      <c r="M60" s="634">
        <f>SUMIF($Z$27:$Z$56,"landbouw",M27:M56)</f>
        <v>0</v>
      </c>
      <c r="N60" s="634">
        <f t="shared" ref="N60:W60" si="4">SUMIF($Z$27:$Z$56,"landbouw",N27:N56)</f>
        <v>0</v>
      </c>
      <c r="O60" s="634">
        <f t="shared" si="4"/>
        <v>0</v>
      </c>
      <c r="P60" s="634">
        <f t="shared" si="4"/>
        <v>0</v>
      </c>
      <c r="Q60" s="634">
        <f t="shared" si="4"/>
        <v>0</v>
      </c>
      <c r="R60" s="634">
        <f t="shared" si="4"/>
        <v>0</v>
      </c>
      <c r="S60" s="634">
        <f t="shared" si="4"/>
        <v>0</v>
      </c>
      <c r="T60" s="634">
        <f t="shared" si="4"/>
        <v>0</v>
      </c>
      <c r="U60" s="634">
        <f t="shared" si="4"/>
        <v>0</v>
      </c>
      <c r="V60" s="634">
        <f t="shared" si="4"/>
        <v>0</v>
      </c>
      <c r="W60" s="634">
        <f t="shared" si="4"/>
        <v>0</v>
      </c>
      <c r="X60" s="635"/>
      <c r="Y60" s="635"/>
      <c r="Z60" s="636"/>
    </row>
    <row r="61" spans="1:26" s="563" customFormat="1" ht="15.75" thickBot="1">
      <c r="A61" s="637"/>
      <c r="B61" s="638"/>
      <c r="C61" s="638"/>
      <c r="D61" s="638"/>
      <c r="E61" s="638"/>
      <c r="F61" s="638"/>
      <c r="G61" s="638"/>
      <c r="H61" s="638"/>
      <c r="I61" s="638"/>
      <c r="J61" s="638"/>
      <c r="K61" s="638"/>
      <c r="L61" s="621"/>
      <c r="M61" s="621"/>
      <c r="N61" s="621"/>
      <c r="O61" s="622"/>
      <c r="P61" s="622"/>
    </row>
    <row r="62" spans="1:26" s="563" customFormat="1" ht="45">
      <c r="A62" s="639" t="s">
        <v>281</v>
      </c>
      <c r="B62" s="668" t="s">
        <v>90</v>
      </c>
      <c r="C62" s="668" t="s">
        <v>91</v>
      </c>
      <c r="D62" s="668" t="s">
        <v>92</v>
      </c>
      <c r="E62" s="668" t="s">
        <v>93</v>
      </c>
      <c r="F62" s="668" t="s">
        <v>94</v>
      </c>
      <c r="G62" s="668" t="s">
        <v>95</v>
      </c>
      <c r="H62" s="668" t="s">
        <v>96</v>
      </c>
      <c r="I62" s="668" t="s">
        <v>97</v>
      </c>
      <c r="J62" s="668" t="s">
        <v>98</v>
      </c>
      <c r="K62" s="668" t="s">
        <v>99</v>
      </c>
      <c r="L62" s="668" t="s">
        <v>100</v>
      </c>
      <c r="M62" s="669" t="s">
        <v>298</v>
      </c>
      <c r="N62" s="669" t="s">
        <v>101</v>
      </c>
      <c r="O62" s="669" t="s">
        <v>102</v>
      </c>
      <c r="P62" s="669" t="s">
        <v>534</v>
      </c>
      <c r="Q62" s="669" t="s">
        <v>103</v>
      </c>
      <c r="R62" s="669" t="s">
        <v>104</v>
      </c>
      <c r="S62" s="669" t="s">
        <v>105</v>
      </c>
      <c r="T62" s="669" t="s">
        <v>106</v>
      </c>
      <c r="U62" s="669" t="s">
        <v>107</v>
      </c>
      <c r="V62" s="669" t="s">
        <v>108</v>
      </c>
      <c r="W62" s="668" t="s">
        <v>109</v>
      </c>
      <c r="X62" s="668" t="s">
        <v>299</v>
      </c>
      <c r="Y62" s="668" t="s">
        <v>110</v>
      </c>
      <c r="Z62" s="670" t="s">
        <v>300</v>
      </c>
    </row>
    <row r="63" spans="1:26" s="640" customFormat="1" ht="12.75">
      <c r="A63" s="626"/>
      <c r="B63" s="851"/>
      <c r="C63" s="851"/>
      <c r="D63" s="674"/>
      <c r="E63" s="674"/>
      <c r="F63" s="674"/>
      <c r="G63" s="674"/>
      <c r="H63" s="674"/>
      <c r="I63" s="674"/>
      <c r="J63" s="850"/>
      <c r="K63" s="850"/>
      <c r="L63" s="674"/>
      <c r="M63" s="674"/>
      <c r="N63" s="674"/>
      <c r="O63" s="674"/>
      <c r="P63" s="674"/>
      <c r="Q63" s="674"/>
      <c r="R63" s="674"/>
      <c r="S63" s="674"/>
      <c r="T63" s="674"/>
      <c r="U63" s="674"/>
      <c r="V63" s="674"/>
      <c r="W63" s="674"/>
      <c r="X63" s="674"/>
      <c r="Y63" s="674"/>
      <c r="Z63" s="675"/>
    </row>
    <row r="64" spans="1:26" s="640" customFormat="1" ht="12.75">
      <c r="A64" s="626"/>
      <c r="B64" s="851"/>
      <c r="C64" s="851"/>
      <c r="D64" s="674"/>
      <c r="E64" s="674"/>
      <c r="F64" s="674"/>
      <c r="G64" s="674"/>
      <c r="H64" s="674"/>
      <c r="I64" s="674"/>
      <c r="J64" s="850"/>
      <c r="K64" s="850"/>
      <c r="L64" s="674"/>
      <c r="M64" s="674"/>
      <c r="N64" s="674"/>
      <c r="O64" s="674"/>
      <c r="P64" s="674"/>
      <c r="Q64" s="674"/>
      <c r="R64" s="674"/>
      <c r="S64" s="674"/>
      <c r="T64" s="674"/>
      <c r="U64" s="674"/>
      <c r="V64" s="674"/>
      <c r="W64" s="674"/>
      <c r="X64" s="674"/>
      <c r="Y64" s="674"/>
      <c r="Z64" s="675"/>
    </row>
    <row r="65" spans="1:26" s="640" customFormat="1" ht="12.75">
      <c r="A65" s="626"/>
      <c r="B65" s="851"/>
      <c r="C65" s="851"/>
      <c r="D65" s="674"/>
      <c r="E65" s="674"/>
      <c r="F65" s="674"/>
      <c r="G65" s="674"/>
      <c r="H65" s="674"/>
      <c r="I65" s="674"/>
      <c r="J65" s="850"/>
      <c r="K65" s="850"/>
      <c r="L65" s="674"/>
      <c r="M65" s="674"/>
      <c r="N65" s="674"/>
      <c r="O65" s="674"/>
      <c r="P65" s="674"/>
      <c r="Q65" s="674"/>
      <c r="R65" s="674"/>
      <c r="S65" s="674"/>
      <c r="T65" s="674"/>
      <c r="U65" s="674"/>
      <c r="V65" s="674"/>
      <c r="W65" s="674"/>
      <c r="X65" s="674"/>
      <c r="Y65" s="674"/>
      <c r="Z65" s="675"/>
    </row>
    <row r="66" spans="1:26" s="640" customFormat="1" ht="12.75">
      <c r="A66" s="626"/>
      <c r="B66" s="851"/>
      <c r="C66" s="851"/>
      <c r="D66" s="674"/>
      <c r="E66" s="674"/>
      <c r="F66" s="674"/>
      <c r="G66" s="674"/>
      <c r="H66" s="674"/>
      <c r="I66" s="674"/>
      <c r="J66" s="850"/>
      <c r="K66" s="850"/>
      <c r="L66" s="674"/>
      <c r="M66" s="674"/>
      <c r="N66" s="674"/>
      <c r="O66" s="674"/>
      <c r="P66" s="674"/>
      <c r="Q66" s="674"/>
      <c r="R66" s="674"/>
      <c r="S66" s="674"/>
      <c r="T66" s="674"/>
      <c r="U66" s="674"/>
      <c r="V66" s="674"/>
      <c r="W66" s="674"/>
      <c r="X66" s="674"/>
      <c r="Y66" s="674"/>
      <c r="Z66" s="675"/>
    </row>
    <row r="67" spans="1:26" s="640" customFormat="1" ht="12.75">
      <c r="A67" s="626"/>
      <c r="B67" s="851"/>
      <c r="C67" s="851"/>
      <c r="D67" s="674"/>
      <c r="E67" s="674"/>
      <c r="F67" s="674"/>
      <c r="G67" s="674"/>
      <c r="H67" s="674"/>
      <c r="I67" s="674"/>
      <c r="J67" s="850"/>
      <c r="K67" s="850"/>
      <c r="L67" s="674"/>
      <c r="M67" s="674"/>
      <c r="N67" s="674"/>
      <c r="O67" s="674"/>
      <c r="P67" s="674"/>
      <c r="Q67" s="674"/>
      <c r="R67" s="674"/>
      <c r="S67" s="674"/>
      <c r="T67" s="674"/>
      <c r="U67" s="674"/>
      <c r="V67" s="674"/>
      <c r="W67" s="674"/>
      <c r="X67" s="674"/>
      <c r="Y67" s="674"/>
      <c r="Z67" s="675"/>
    </row>
    <row r="68" spans="1:26" s="640" customFormat="1" ht="12.75">
      <c r="A68" s="626"/>
      <c r="B68" s="851"/>
      <c r="C68" s="851"/>
      <c r="D68" s="674"/>
      <c r="E68" s="674"/>
      <c r="F68" s="674"/>
      <c r="G68" s="674"/>
      <c r="H68" s="674"/>
      <c r="I68" s="674"/>
      <c r="J68" s="850"/>
      <c r="K68" s="850"/>
      <c r="L68" s="674"/>
      <c r="M68" s="674"/>
      <c r="N68" s="674"/>
      <c r="O68" s="674"/>
      <c r="P68" s="674"/>
      <c r="Q68" s="674"/>
      <c r="R68" s="674"/>
      <c r="S68" s="674"/>
      <c r="T68" s="674"/>
      <c r="U68" s="674"/>
      <c r="V68" s="674"/>
      <c r="W68" s="674"/>
      <c r="X68" s="674"/>
      <c r="Y68" s="674"/>
      <c r="Z68" s="675"/>
    </row>
    <row r="69" spans="1:26" s="640" customFormat="1" ht="12.75">
      <c r="A69" s="626"/>
      <c r="B69" s="851"/>
      <c r="C69" s="851"/>
      <c r="D69" s="674"/>
      <c r="E69" s="674"/>
      <c r="F69" s="674"/>
      <c r="G69" s="674"/>
      <c r="H69" s="674"/>
      <c r="I69" s="674"/>
      <c r="J69" s="850"/>
      <c r="K69" s="850"/>
      <c r="L69" s="674"/>
      <c r="M69" s="674"/>
      <c r="N69" s="674"/>
      <c r="O69" s="674"/>
      <c r="P69" s="674"/>
      <c r="Q69" s="674"/>
      <c r="R69" s="674"/>
      <c r="S69" s="674"/>
      <c r="T69" s="674"/>
      <c r="U69" s="674"/>
      <c r="V69" s="674"/>
      <c r="W69" s="674"/>
      <c r="X69" s="674"/>
      <c r="Y69" s="674"/>
      <c r="Z69" s="675"/>
    </row>
    <row r="70" spans="1:26" s="640" customFormat="1" ht="12.75">
      <c r="A70" s="626"/>
      <c r="B70" s="851"/>
      <c r="C70" s="851"/>
      <c r="D70" s="674"/>
      <c r="E70" s="674"/>
      <c r="F70" s="674"/>
      <c r="G70" s="674"/>
      <c r="H70" s="674"/>
      <c r="I70" s="674"/>
      <c r="J70" s="850"/>
      <c r="K70" s="850"/>
      <c r="L70" s="674"/>
      <c r="M70" s="674"/>
      <c r="N70" s="674"/>
      <c r="O70" s="674"/>
      <c r="P70" s="674"/>
      <c r="Q70" s="674"/>
      <c r="R70" s="674"/>
      <c r="S70" s="674"/>
      <c r="T70" s="674"/>
      <c r="U70" s="674"/>
      <c r="V70" s="674"/>
      <c r="W70" s="674"/>
      <c r="X70" s="674"/>
      <c r="Y70" s="674"/>
      <c r="Z70" s="675"/>
    </row>
    <row r="71" spans="1:26" s="640" customFormat="1" ht="12.75">
      <c r="A71" s="626"/>
      <c r="B71" s="851"/>
      <c r="C71" s="851"/>
      <c r="D71" s="674"/>
      <c r="E71" s="674"/>
      <c r="F71" s="674"/>
      <c r="G71" s="674"/>
      <c r="H71" s="674"/>
      <c r="I71" s="674"/>
      <c r="J71" s="850"/>
      <c r="K71" s="850"/>
      <c r="L71" s="674"/>
      <c r="M71" s="674"/>
      <c r="N71" s="674"/>
      <c r="O71" s="674"/>
      <c r="P71" s="674"/>
      <c r="Q71" s="674"/>
      <c r="R71" s="674"/>
      <c r="S71" s="674"/>
      <c r="T71" s="674"/>
      <c r="U71" s="674"/>
      <c r="V71" s="674"/>
      <c r="W71" s="674"/>
      <c r="X71" s="674"/>
      <c r="Y71" s="674"/>
      <c r="Z71" s="675"/>
    </row>
    <row r="72" spans="1:26" s="640" customFormat="1" ht="12.75">
      <c r="A72" s="626"/>
      <c r="B72" s="851"/>
      <c r="C72" s="851"/>
      <c r="D72" s="674"/>
      <c r="E72" s="674"/>
      <c r="F72" s="674"/>
      <c r="G72" s="674"/>
      <c r="H72" s="674"/>
      <c r="I72" s="674"/>
      <c r="J72" s="850"/>
      <c r="K72" s="850"/>
      <c r="L72" s="674"/>
      <c r="M72" s="674"/>
      <c r="N72" s="674"/>
      <c r="O72" s="674"/>
      <c r="P72" s="674"/>
      <c r="Q72" s="674"/>
      <c r="R72" s="674"/>
      <c r="S72" s="674"/>
      <c r="T72" s="674"/>
      <c r="U72" s="674"/>
      <c r="V72" s="674"/>
      <c r="W72" s="674"/>
      <c r="X72" s="674"/>
      <c r="Y72" s="674"/>
      <c r="Z72" s="675"/>
    </row>
    <row r="73" spans="1:26" s="640" customFormat="1" ht="12.75">
      <c r="A73" s="626"/>
      <c r="B73" s="851"/>
      <c r="C73" s="851"/>
      <c r="D73" s="674"/>
      <c r="E73" s="674"/>
      <c r="F73" s="674"/>
      <c r="G73" s="674"/>
      <c r="H73" s="674"/>
      <c r="I73" s="674"/>
      <c r="J73" s="850"/>
      <c r="K73" s="850"/>
      <c r="L73" s="674"/>
      <c r="M73" s="674"/>
      <c r="N73" s="674"/>
      <c r="O73" s="674"/>
      <c r="P73" s="674"/>
      <c r="Q73" s="674"/>
      <c r="R73" s="674"/>
      <c r="S73" s="674"/>
      <c r="T73" s="674"/>
      <c r="U73" s="674"/>
      <c r="V73" s="674"/>
      <c r="W73" s="674"/>
      <c r="X73" s="674"/>
      <c r="Y73" s="674"/>
      <c r="Z73" s="675"/>
    </row>
    <row r="74" spans="1:26" s="640" customFormat="1" ht="12.75">
      <c r="A74" s="626"/>
      <c r="B74" s="851"/>
      <c r="C74" s="851"/>
      <c r="D74" s="674"/>
      <c r="E74" s="674"/>
      <c r="F74" s="674"/>
      <c r="G74" s="674"/>
      <c r="H74" s="674"/>
      <c r="I74" s="674"/>
      <c r="J74" s="850"/>
      <c r="K74" s="850"/>
      <c r="L74" s="674"/>
      <c r="M74" s="674"/>
      <c r="N74" s="674"/>
      <c r="O74" s="674"/>
      <c r="P74" s="674"/>
      <c r="Q74" s="674"/>
      <c r="R74" s="674"/>
      <c r="S74" s="674"/>
      <c r="T74" s="674"/>
      <c r="U74" s="674"/>
      <c r="V74" s="674"/>
      <c r="W74" s="674"/>
      <c r="X74" s="674"/>
      <c r="Y74" s="674"/>
      <c r="Z74" s="675"/>
    </row>
    <row r="75" spans="1:26" s="640" customFormat="1" ht="12.75">
      <c r="A75" s="626"/>
      <c r="B75" s="851"/>
      <c r="C75" s="851"/>
      <c r="D75" s="674"/>
      <c r="E75" s="674"/>
      <c r="F75" s="674"/>
      <c r="G75" s="674"/>
      <c r="H75" s="674"/>
      <c r="I75" s="674"/>
      <c r="J75" s="850"/>
      <c r="K75" s="850"/>
      <c r="L75" s="674"/>
      <c r="M75" s="674"/>
      <c r="N75" s="674"/>
      <c r="O75" s="674"/>
      <c r="P75" s="674"/>
      <c r="Q75" s="674"/>
      <c r="R75" s="674"/>
      <c r="S75" s="674"/>
      <c r="T75" s="674"/>
      <c r="U75" s="674"/>
      <c r="V75" s="674"/>
      <c r="W75" s="674"/>
      <c r="X75" s="674"/>
      <c r="Y75" s="674"/>
      <c r="Z75" s="675"/>
    </row>
    <row r="76" spans="1:26" s="640" customFormat="1" ht="12.75">
      <c r="A76" s="626"/>
      <c r="B76" s="851"/>
      <c r="C76" s="851"/>
      <c r="D76" s="674"/>
      <c r="E76" s="674"/>
      <c r="F76" s="674"/>
      <c r="G76" s="674"/>
      <c r="H76" s="674"/>
      <c r="I76" s="674"/>
      <c r="J76" s="850"/>
      <c r="K76" s="850"/>
      <c r="L76" s="674"/>
      <c r="M76" s="674"/>
      <c r="N76" s="674"/>
      <c r="O76" s="674"/>
      <c r="P76" s="674"/>
      <c r="Q76" s="674"/>
      <c r="R76" s="674"/>
      <c r="S76" s="674"/>
      <c r="T76" s="674"/>
      <c r="U76" s="674"/>
      <c r="V76" s="674"/>
      <c r="W76" s="674"/>
      <c r="X76" s="674"/>
      <c r="Y76" s="674"/>
      <c r="Z76" s="675"/>
    </row>
    <row r="77" spans="1:26" s="640" customFormat="1" ht="12.75">
      <c r="A77" s="626"/>
      <c r="B77" s="851"/>
      <c r="C77" s="851"/>
      <c r="D77" s="674"/>
      <c r="E77" s="674"/>
      <c r="F77" s="674"/>
      <c r="G77" s="674"/>
      <c r="H77" s="674"/>
      <c r="I77" s="674"/>
      <c r="J77" s="850"/>
      <c r="K77" s="850"/>
      <c r="L77" s="674"/>
      <c r="M77" s="674"/>
      <c r="N77" s="674"/>
      <c r="O77" s="674"/>
      <c r="P77" s="674"/>
      <c r="Q77" s="674"/>
      <c r="R77" s="674"/>
      <c r="S77" s="674"/>
      <c r="T77" s="674"/>
      <c r="U77" s="674"/>
      <c r="V77" s="674"/>
      <c r="W77" s="674"/>
      <c r="X77" s="674"/>
      <c r="Y77" s="674"/>
      <c r="Z77" s="675"/>
    </row>
    <row r="78" spans="1:26" s="640" customFormat="1" ht="12.75">
      <c r="A78" s="626"/>
      <c r="B78" s="851"/>
      <c r="C78" s="851"/>
      <c r="D78" s="674"/>
      <c r="E78" s="674"/>
      <c r="F78" s="674"/>
      <c r="G78" s="674"/>
      <c r="H78" s="674"/>
      <c r="I78" s="674"/>
      <c r="J78" s="850"/>
      <c r="K78" s="850"/>
      <c r="L78" s="674"/>
      <c r="M78" s="674"/>
      <c r="N78" s="674"/>
      <c r="O78" s="674"/>
      <c r="P78" s="674"/>
      <c r="Q78" s="674"/>
      <c r="R78" s="674"/>
      <c r="S78" s="674"/>
      <c r="T78" s="674"/>
      <c r="U78" s="674"/>
      <c r="V78" s="674"/>
      <c r="W78" s="674"/>
      <c r="X78" s="674"/>
      <c r="Y78" s="674"/>
      <c r="Z78" s="675"/>
    </row>
    <row r="79" spans="1:26" s="640" customFormat="1" ht="12.75">
      <c r="A79" s="626"/>
      <c r="B79" s="851"/>
      <c r="C79" s="851"/>
      <c r="D79" s="674"/>
      <c r="E79" s="674"/>
      <c r="F79" s="674"/>
      <c r="G79" s="674"/>
      <c r="H79" s="674"/>
      <c r="I79" s="674"/>
      <c r="J79" s="850"/>
      <c r="K79" s="850"/>
      <c r="L79" s="674"/>
      <c r="M79" s="674"/>
      <c r="N79" s="674"/>
      <c r="O79" s="674"/>
      <c r="P79" s="674"/>
      <c r="Q79" s="674"/>
      <c r="R79" s="674"/>
      <c r="S79" s="674"/>
      <c r="T79" s="674"/>
      <c r="U79" s="674"/>
      <c r="V79" s="674"/>
      <c r="W79" s="674"/>
      <c r="X79" s="674"/>
      <c r="Y79" s="674"/>
      <c r="Z79" s="675"/>
    </row>
    <row r="80" spans="1:26" s="640" customFormat="1" ht="12.75">
      <c r="A80" s="626"/>
      <c r="B80" s="851"/>
      <c r="C80" s="851"/>
      <c r="D80" s="674"/>
      <c r="E80" s="674"/>
      <c r="F80" s="674"/>
      <c r="G80" s="674"/>
      <c r="H80" s="674"/>
      <c r="I80" s="674"/>
      <c r="J80" s="850"/>
      <c r="K80" s="850"/>
      <c r="L80" s="674"/>
      <c r="M80" s="674"/>
      <c r="N80" s="674"/>
      <c r="O80" s="674"/>
      <c r="P80" s="674"/>
      <c r="Q80" s="674"/>
      <c r="R80" s="674"/>
      <c r="S80" s="674"/>
      <c r="T80" s="674"/>
      <c r="U80" s="674"/>
      <c r="V80" s="674"/>
      <c r="W80" s="674"/>
      <c r="X80" s="674"/>
      <c r="Y80" s="674"/>
      <c r="Z80" s="675"/>
    </row>
    <row r="81" spans="1:26" s="640" customFormat="1" ht="12.75">
      <c r="A81" s="626"/>
      <c r="B81" s="851"/>
      <c r="C81" s="851"/>
      <c r="D81" s="674"/>
      <c r="E81" s="674"/>
      <c r="F81" s="674"/>
      <c r="G81" s="674"/>
      <c r="H81" s="674"/>
      <c r="I81" s="674"/>
      <c r="J81" s="850"/>
      <c r="K81" s="850"/>
      <c r="L81" s="674"/>
      <c r="M81" s="674"/>
      <c r="N81" s="674"/>
      <c r="O81" s="674"/>
      <c r="P81" s="674"/>
      <c r="Q81" s="674"/>
      <c r="R81" s="674"/>
      <c r="S81" s="674"/>
      <c r="T81" s="674"/>
      <c r="U81" s="674"/>
      <c r="V81" s="674"/>
      <c r="W81" s="674"/>
      <c r="X81" s="674"/>
      <c r="Y81" s="674"/>
      <c r="Z81" s="675"/>
    </row>
    <row r="82" spans="1:26" s="640" customFormat="1" ht="12.75">
      <c r="A82" s="626"/>
      <c r="B82" s="851"/>
      <c r="C82" s="851"/>
      <c r="D82" s="674"/>
      <c r="E82" s="674"/>
      <c r="F82" s="674"/>
      <c r="G82" s="674"/>
      <c r="H82" s="674"/>
      <c r="I82" s="674"/>
      <c r="J82" s="850"/>
      <c r="K82" s="850"/>
      <c r="L82" s="674"/>
      <c r="M82" s="674"/>
      <c r="N82" s="674"/>
      <c r="O82" s="674"/>
      <c r="P82" s="674"/>
      <c r="Q82" s="674"/>
      <c r="R82" s="674"/>
      <c r="S82" s="674"/>
      <c r="T82" s="674"/>
      <c r="U82" s="674"/>
      <c r="V82" s="674"/>
      <c r="W82" s="674"/>
      <c r="X82" s="674"/>
      <c r="Y82" s="674"/>
      <c r="Z82" s="675"/>
    </row>
    <row r="83" spans="1:26" s="640" customFormat="1" ht="12.75">
      <c r="A83" s="626"/>
      <c r="B83" s="851"/>
      <c r="C83" s="851"/>
      <c r="D83" s="674"/>
      <c r="E83" s="674"/>
      <c r="F83" s="674"/>
      <c r="G83" s="674"/>
      <c r="H83" s="674"/>
      <c r="I83" s="674"/>
      <c r="J83" s="850"/>
      <c r="K83" s="850"/>
      <c r="L83" s="674"/>
      <c r="M83" s="674"/>
      <c r="N83" s="674"/>
      <c r="O83" s="674"/>
      <c r="P83" s="674"/>
      <c r="Q83" s="674"/>
      <c r="R83" s="674"/>
      <c r="S83" s="674"/>
      <c r="T83" s="674"/>
      <c r="U83" s="674"/>
      <c r="V83" s="674"/>
      <c r="W83" s="674"/>
      <c r="X83" s="674"/>
      <c r="Y83" s="674"/>
      <c r="Z83" s="675"/>
    </row>
    <row r="84" spans="1:26" s="640" customFormat="1" ht="12.75">
      <c r="A84" s="626"/>
      <c r="B84" s="851"/>
      <c r="C84" s="851"/>
      <c r="D84" s="674"/>
      <c r="E84" s="674"/>
      <c r="F84" s="674"/>
      <c r="G84" s="674"/>
      <c r="H84" s="674"/>
      <c r="I84" s="674"/>
      <c r="J84" s="850"/>
      <c r="K84" s="850"/>
      <c r="L84" s="674"/>
      <c r="M84" s="674"/>
      <c r="N84" s="674"/>
      <c r="O84" s="674"/>
      <c r="P84" s="674"/>
      <c r="Q84" s="674"/>
      <c r="R84" s="674"/>
      <c r="S84" s="674"/>
      <c r="T84" s="674"/>
      <c r="U84" s="674"/>
      <c r="V84" s="674"/>
      <c r="W84" s="674"/>
      <c r="X84" s="674"/>
      <c r="Y84" s="674"/>
      <c r="Z84" s="675"/>
    </row>
    <row r="85" spans="1:26" s="640" customFormat="1" ht="12.75">
      <c r="A85" s="626"/>
      <c r="B85" s="851"/>
      <c r="C85" s="851"/>
      <c r="D85" s="674"/>
      <c r="E85" s="674"/>
      <c r="F85" s="674"/>
      <c r="G85" s="674"/>
      <c r="H85" s="674"/>
      <c r="I85" s="674"/>
      <c r="J85" s="850"/>
      <c r="K85" s="850"/>
      <c r="L85" s="674"/>
      <c r="M85" s="674"/>
      <c r="N85" s="674"/>
      <c r="O85" s="674"/>
      <c r="P85" s="674"/>
      <c r="Q85" s="674"/>
      <c r="R85" s="674"/>
      <c r="S85" s="674"/>
      <c r="T85" s="674"/>
      <c r="U85" s="674"/>
      <c r="V85" s="674"/>
      <c r="W85" s="674"/>
      <c r="X85" s="674"/>
      <c r="Y85" s="674"/>
      <c r="Z85" s="675"/>
    </row>
    <row r="86" spans="1:26" s="640" customFormat="1" ht="12.75">
      <c r="A86" s="626"/>
      <c r="B86" s="851"/>
      <c r="C86" s="851"/>
      <c r="D86" s="674"/>
      <c r="E86" s="674"/>
      <c r="F86" s="674"/>
      <c r="G86" s="674"/>
      <c r="H86" s="674"/>
      <c r="I86" s="674"/>
      <c r="J86" s="850"/>
      <c r="K86" s="850"/>
      <c r="L86" s="674"/>
      <c r="M86" s="674"/>
      <c r="N86" s="674"/>
      <c r="O86" s="674"/>
      <c r="P86" s="674"/>
      <c r="Q86" s="674"/>
      <c r="R86" s="674"/>
      <c r="S86" s="674"/>
      <c r="T86" s="674"/>
      <c r="U86" s="674"/>
      <c r="V86" s="674"/>
      <c r="W86" s="674"/>
      <c r="X86" s="674"/>
      <c r="Y86" s="674"/>
      <c r="Z86" s="675"/>
    </row>
    <row r="87" spans="1:26" s="640" customFormat="1" ht="12.75">
      <c r="A87" s="626"/>
      <c r="B87" s="851"/>
      <c r="C87" s="851"/>
      <c r="D87" s="674"/>
      <c r="E87" s="674"/>
      <c r="F87" s="674"/>
      <c r="G87" s="674"/>
      <c r="H87" s="674"/>
      <c r="I87" s="674"/>
      <c r="J87" s="850"/>
      <c r="K87" s="850"/>
      <c r="L87" s="674"/>
      <c r="M87" s="674"/>
      <c r="N87" s="674"/>
      <c r="O87" s="674"/>
      <c r="P87" s="674"/>
      <c r="Q87" s="674"/>
      <c r="R87" s="674"/>
      <c r="S87" s="674"/>
      <c r="T87" s="674"/>
      <c r="U87" s="674"/>
      <c r="V87" s="674"/>
      <c r="W87" s="674"/>
      <c r="X87" s="674"/>
      <c r="Y87" s="674"/>
      <c r="Z87" s="675"/>
    </row>
    <row r="88" spans="1:26" s="604" customFormat="1">
      <c r="A88" s="627" t="s">
        <v>280</v>
      </c>
      <c r="B88" s="628"/>
      <c r="C88" s="628"/>
      <c r="D88" s="628"/>
      <c r="E88" s="628"/>
      <c r="F88" s="628"/>
      <c r="G88" s="628"/>
      <c r="H88" s="628"/>
      <c r="I88" s="628"/>
      <c r="J88" s="628"/>
      <c r="K88" s="628"/>
      <c r="L88" s="629"/>
      <c r="M88" s="629">
        <f>SUM(M63:M87)</f>
        <v>0</v>
      </c>
      <c r="N88" s="629">
        <f t="shared" ref="N88:W88" si="5">SUM(N63:N87)</f>
        <v>0</v>
      </c>
      <c r="O88" s="629">
        <f t="shared" si="5"/>
        <v>0</v>
      </c>
      <c r="P88" s="629">
        <f t="shared" si="5"/>
        <v>0</v>
      </c>
      <c r="Q88" s="629">
        <f t="shared" si="5"/>
        <v>0</v>
      </c>
      <c r="R88" s="629">
        <f t="shared" si="5"/>
        <v>0</v>
      </c>
      <c r="S88" s="629">
        <f t="shared" si="5"/>
        <v>0</v>
      </c>
      <c r="T88" s="629">
        <f t="shared" si="5"/>
        <v>0</v>
      </c>
      <c r="U88" s="629">
        <f t="shared" si="5"/>
        <v>0</v>
      </c>
      <c r="V88" s="629">
        <f t="shared" si="5"/>
        <v>0</v>
      </c>
      <c r="W88" s="629">
        <f t="shared" si="5"/>
        <v>0</v>
      </c>
      <c r="X88" s="630"/>
      <c r="Y88" s="630"/>
      <c r="Z88" s="631"/>
    </row>
    <row r="89" spans="1:26" s="604" customFormat="1">
      <c r="A89" s="627" t="s">
        <v>287</v>
      </c>
      <c r="B89" s="628"/>
      <c r="C89" s="628"/>
      <c r="D89" s="628"/>
      <c r="E89" s="628"/>
      <c r="F89" s="628"/>
      <c r="G89" s="628"/>
      <c r="H89" s="628"/>
      <c r="I89" s="628"/>
      <c r="J89" s="628"/>
      <c r="K89" s="628"/>
      <c r="L89" s="629"/>
      <c r="M89" s="629">
        <f>SUMIF($Z$63:$Z$87,"industrie",M63:M87)</f>
        <v>0</v>
      </c>
      <c r="N89" s="629">
        <f t="shared" ref="N89:W89" si="6">SUMIF($Z$63:$Z$87,"industrie",N63:N87)</f>
        <v>0</v>
      </c>
      <c r="O89" s="629">
        <f t="shared" si="6"/>
        <v>0</v>
      </c>
      <c r="P89" s="629">
        <f t="shared" si="6"/>
        <v>0</v>
      </c>
      <c r="Q89" s="629">
        <f t="shared" si="6"/>
        <v>0</v>
      </c>
      <c r="R89" s="629">
        <f t="shared" si="6"/>
        <v>0</v>
      </c>
      <c r="S89" s="629">
        <f t="shared" si="6"/>
        <v>0</v>
      </c>
      <c r="T89" s="629">
        <f t="shared" si="6"/>
        <v>0</v>
      </c>
      <c r="U89" s="629">
        <f t="shared" si="6"/>
        <v>0</v>
      </c>
      <c r="V89" s="629">
        <f t="shared" si="6"/>
        <v>0</v>
      </c>
      <c r="W89" s="629">
        <f t="shared" si="6"/>
        <v>0</v>
      </c>
      <c r="X89" s="630"/>
      <c r="Y89" s="630"/>
      <c r="Z89" s="631"/>
    </row>
    <row r="90" spans="1:26" s="604" customFormat="1">
      <c r="A90" s="627" t="s">
        <v>288</v>
      </c>
      <c r="B90" s="628"/>
      <c r="C90" s="628"/>
      <c r="D90" s="628"/>
      <c r="E90" s="628"/>
      <c r="F90" s="628"/>
      <c r="G90" s="628"/>
      <c r="H90" s="628"/>
      <c r="I90" s="628"/>
      <c r="J90" s="628"/>
      <c r="K90" s="628"/>
      <c r="L90" s="629"/>
      <c r="M90" s="629">
        <f>SUMIF($Z$63:$Z$88,"tertiair",M63:M88)</f>
        <v>0</v>
      </c>
      <c r="N90" s="629">
        <f t="shared" ref="N90:W90" si="7">SUMIF($Z$63:$Z$88,"tertiair",N63:N88)</f>
        <v>0</v>
      </c>
      <c r="O90" s="629">
        <f t="shared" si="7"/>
        <v>0</v>
      </c>
      <c r="P90" s="629">
        <f t="shared" si="7"/>
        <v>0</v>
      </c>
      <c r="Q90" s="629">
        <f t="shared" si="7"/>
        <v>0</v>
      </c>
      <c r="R90" s="629">
        <f t="shared" si="7"/>
        <v>0</v>
      </c>
      <c r="S90" s="629">
        <f t="shared" si="7"/>
        <v>0</v>
      </c>
      <c r="T90" s="629">
        <f t="shared" si="7"/>
        <v>0</v>
      </c>
      <c r="U90" s="629">
        <f t="shared" si="7"/>
        <v>0</v>
      </c>
      <c r="V90" s="629">
        <f t="shared" si="7"/>
        <v>0</v>
      </c>
      <c r="W90" s="629">
        <f t="shared" si="7"/>
        <v>0</v>
      </c>
      <c r="X90" s="630"/>
      <c r="Y90" s="630"/>
      <c r="Z90" s="631"/>
    </row>
    <row r="91" spans="1:26" s="604" customFormat="1" ht="15.75" thickBot="1">
      <c r="A91" s="632" t="s">
        <v>289</v>
      </c>
      <c r="B91" s="633"/>
      <c r="C91" s="633"/>
      <c r="D91" s="633"/>
      <c r="E91" s="633"/>
      <c r="F91" s="633"/>
      <c r="G91" s="633"/>
      <c r="H91" s="633"/>
      <c r="I91" s="633"/>
      <c r="J91" s="633"/>
      <c r="K91" s="633"/>
      <c r="L91" s="634"/>
      <c r="M91" s="634">
        <f t="shared" ref="M91:W91" si="8">SUMIF($Z$63:$Z$89,"landbouw",M63:M89)</f>
        <v>0</v>
      </c>
      <c r="N91" s="634">
        <f t="shared" si="8"/>
        <v>0</v>
      </c>
      <c r="O91" s="634">
        <f t="shared" si="8"/>
        <v>0</v>
      </c>
      <c r="P91" s="634">
        <f t="shared" si="8"/>
        <v>0</v>
      </c>
      <c r="Q91" s="634">
        <f t="shared" si="8"/>
        <v>0</v>
      </c>
      <c r="R91" s="634">
        <f t="shared" si="8"/>
        <v>0</v>
      </c>
      <c r="S91" s="634">
        <f t="shared" si="8"/>
        <v>0</v>
      </c>
      <c r="T91" s="634">
        <f t="shared" si="8"/>
        <v>0</v>
      </c>
      <c r="U91" s="634">
        <f t="shared" si="8"/>
        <v>0</v>
      </c>
      <c r="V91" s="634">
        <f t="shared" si="8"/>
        <v>0</v>
      </c>
      <c r="W91" s="634">
        <f t="shared" si="8"/>
        <v>0</v>
      </c>
      <c r="X91" s="635"/>
      <c r="Y91" s="635"/>
      <c r="Z91" s="636"/>
    </row>
    <row r="92" spans="1:26" s="641" customFormat="1">
      <c r="A92" s="637"/>
      <c r="B92" s="621"/>
      <c r="C92" s="621"/>
      <c r="D92" s="621"/>
      <c r="E92" s="621"/>
      <c r="F92" s="621"/>
      <c r="G92" s="621"/>
      <c r="H92" s="621"/>
      <c r="I92" s="621"/>
      <c r="J92" s="621"/>
      <c r="K92" s="621"/>
      <c r="L92" s="621"/>
      <c r="M92" s="621"/>
      <c r="N92" s="621"/>
      <c r="O92" s="621"/>
      <c r="P92" s="621"/>
      <c r="Q92" s="621"/>
      <c r="R92" s="621"/>
      <c r="S92" s="621"/>
      <c r="T92" s="621"/>
      <c r="U92" s="621"/>
      <c r="V92" s="621"/>
      <c r="W92" s="621"/>
      <c r="X92" s="621"/>
      <c r="Y92" s="621"/>
    </row>
    <row r="93" spans="1:26" s="641" customFormat="1" ht="15.75" thickBot="1">
      <c r="A93" s="637"/>
      <c r="B93" s="621"/>
      <c r="C93" s="621"/>
      <c r="D93" s="621"/>
      <c r="E93" s="621"/>
      <c r="F93" s="621"/>
      <c r="G93" s="621"/>
      <c r="H93" s="621"/>
      <c r="I93" s="621"/>
      <c r="J93" s="621"/>
      <c r="K93" s="621"/>
      <c r="L93" s="621"/>
      <c r="M93" s="621"/>
      <c r="N93" s="621"/>
      <c r="O93" s="621"/>
      <c r="P93" s="621"/>
      <c r="Q93" s="621"/>
      <c r="R93" s="621"/>
      <c r="S93" s="621"/>
      <c r="T93" s="621"/>
      <c r="U93" s="621"/>
      <c r="V93" s="621"/>
      <c r="W93" s="621"/>
      <c r="X93" s="621"/>
      <c r="Y93" s="621"/>
    </row>
    <row r="94" spans="1:26">
      <c r="A94" s="642" t="s">
        <v>282</v>
      </c>
      <c r="B94" s="643"/>
      <c r="C94" s="643"/>
      <c r="D94" s="643"/>
      <c r="E94" s="643"/>
      <c r="F94" s="643"/>
      <c r="G94" s="643"/>
      <c r="H94" s="643"/>
      <c r="I94" s="644"/>
      <c r="J94" s="645"/>
      <c r="K94" s="645"/>
      <c r="L94" s="646"/>
      <c r="M94" s="646"/>
      <c r="N94" s="646"/>
    </row>
    <row r="95" spans="1:26">
      <c r="A95" s="648"/>
      <c r="B95" s="638"/>
      <c r="C95" s="638"/>
      <c r="D95" s="638"/>
      <c r="E95" s="638"/>
      <c r="F95" s="638"/>
      <c r="G95" s="638"/>
      <c r="H95" s="638"/>
      <c r="I95" s="649"/>
      <c r="J95" s="638"/>
      <c r="K95" s="638"/>
      <c r="L95" s="646"/>
      <c r="M95" s="646"/>
      <c r="N95" s="646"/>
    </row>
    <row r="96" spans="1:26">
      <c r="A96" s="650"/>
      <c r="B96" s="651" t="s">
        <v>283</v>
      </c>
      <c r="C96" s="651" t="s">
        <v>284</v>
      </c>
      <c r="D96" s="651"/>
      <c r="E96" s="651"/>
      <c r="F96" s="651"/>
      <c r="G96" s="651"/>
      <c r="H96" s="651"/>
      <c r="I96" s="652"/>
      <c r="J96" s="651"/>
      <c r="K96" s="651"/>
      <c r="L96" s="651"/>
      <c r="M96" s="651"/>
      <c r="N96" s="646"/>
    </row>
    <row r="97" spans="1:14">
      <c r="A97" s="648" t="s">
        <v>280</v>
      </c>
      <c r="B97" s="653">
        <f>IF(ISERROR(O57/(O57+N57)),0,O57/(O57+N57))</f>
        <v>0</v>
      </c>
      <c r="C97" s="654">
        <f>IF(ISERROR(N57/(O57+N57)),0,N57/(N57+O57))</f>
        <v>0</v>
      </c>
      <c r="D97" s="621"/>
      <c r="E97" s="621"/>
      <c r="F97" s="621"/>
      <c r="G97" s="621"/>
      <c r="H97" s="621"/>
      <c r="I97" s="655"/>
      <c r="J97" s="621"/>
      <c r="K97" s="621"/>
      <c r="L97" s="656"/>
      <c r="M97" s="656"/>
      <c r="N97" s="646"/>
    </row>
    <row r="98" spans="1:14">
      <c r="A98" s="648"/>
      <c r="B98" s="657"/>
      <c r="C98" s="657"/>
      <c r="D98" s="657"/>
      <c r="E98" s="657"/>
      <c r="F98" s="657"/>
      <c r="G98" s="657"/>
      <c r="H98" s="657"/>
      <c r="I98" s="658"/>
      <c r="J98" s="657"/>
      <c r="K98" s="657"/>
      <c r="L98" s="659"/>
      <c r="M98" s="659"/>
      <c r="N98" s="646"/>
    </row>
    <row r="99" spans="1:14" ht="30">
      <c r="A99" s="660"/>
      <c r="B99" s="661" t="s">
        <v>534</v>
      </c>
      <c r="C99" s="661" t="s">
        <v>103</v>
      </c>
      <c r="D99" s="661" t="s">
        <v>104</v>
      </c>
      <c r="E99" s="661" t="s">
        <v>105</v>
      </c>
      <c r="F99" s="661" t="s">
        <v>106</v>
      </c>
      <c r="G99" s="661" t="s">
        <v>107</v>
      </c>
      <c r="H99" s="661" t="s">
        <v>108</v>
      </c>
      <c r="I99" s="662" t="s">
        <v>109</v>
      </c>
      <c r="J99" s="651"/>
      <c r="K99" s="651"/>
      <c r="L99" s="659"/>
      <c r="M99" s="646"/>
      <c r="N99" s="646"/>
    </row>
    <row r="100" spans="1:14">
      <c r="A100" s="650" t="s">
        <v>285</v>
      </c>
      <c r="B100" s="663">
        <f t="shared" ref="B100:I100" si="9">$C$97*P57</f>
        <v>0</v>
      </c>
      <c r="C100" s="663">
        <f t="shared" si="9"/>
        <v>0</v>
      </c>
      <c r="D100" s="663">
        <f t="shared" si="9"/>
        <v>0</v>
      </c>
      <c r="E100" s="663">
        <f t="shared" si="9"/>
        <v>0</v>
      </c>
      <c r="F100" s="663">
        <f t="shared" si="9"/>
        <v>0</v>
      </c>
      <c r="G100" s="663">
        <f t="shared" si="9"/>
        <v>0</v>
      </c>
      <c r="H100" s="663">
        <f t="shared" si="9"/>
        <v>0</v>
      </c>
      <c r="I100" s="664">
        <f t="shared" si="9"/>
        <v>0</v>
      </c>
      <c r="J100" s="621"/>
      <c r="K100" s="621"/>
      <c r="L100" s="659"/>
      <c r="M100" s="646"/>
      <c r="N100" s="646"/>
    </row>
    <row r="101" spans="1:14" ht="15.75" thickBot="1">
      <c r="A101" s="665" t="s">
        <v>286</v>
      </c>
      <c r="B101" s="666">
        <f>$B$97*P57</f>
        <v>0</v>
      </c>
      <c r="C101" s="666">
        <f t="shared" ref="C101:H101" si="10">$B$97*Q57</f>
        <v>0</v>
      </c>
      <c r="D101" s="666">
        <f t="shared" si="10"/>
        <v>0</v>
      </c>
      <c r="E101" s="666">
        <f t="shared" si="10"/>
        <v>0</v>
      </c>
      <c r="F101" s="666">
        <f t="shared" si="10"/>
        <v>0</v>
      </c>
      <c r="G101" s="666">
        <f t="shared" si="10"/>
        <v>0</v>
      </c>
      <c r="H101" s="666">
        <f t="shared" si="10"/>
        <v>0</v>
      </c>
      <c r="I101" s="667">
        <f>$B$97*W57</f>
        <v>0</v>
      </c>
      <c r="J101" s="621"/>
      <c r="K101" s="621"/>
      <c r="L101" s="659"/>
      <c r="M101" s="646"/>
      <c r="N101" s="646"/>
    </row>
    <row r="102" spans="1:14">
      <c r="J102" s="600"/>
      <c r="K102" s="600"/>
      <c r="L102" s="600"/>
    </row>
    <row r="103" spans="1:14">
      <c r="J103" s="600"/>
      <c r="K103" s="600"/>
      <c r="L103" s="600"/>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770</v>
      </c>
      <c r="B2" s="1004" t="s">
        <v>750</v>
      </c>
      <c r="C2" s="373" t="s">
        <v>193</v>
      </c>
      <c r="D2" s="373" t="s">
        <v>699</v>
      </c>
      <c r="E2" s="374"/>
      <c r="F2" s="969" t="s">
        <v>704</v>
      </c>
      <c r="G2" s="969" t="s">
        <v>703</v>
      </c>
      <c r="H2" s="969" t="s">
        <v>705</v>
      </c>
    </row>
    <row r="3" spans="1:8" s="11" customFormat="1">
      <c r="A3" s="373" t="s">
        <v>706</v>
      </c>
      <c r="B3" s="1004" t="s">
        <v>709</v>
      </c>
      <c r="C3" s="373" t="s">
        <v>708</v>
      </c>
      <c r="D3" s="373" t="s">
        <v>710</v>
      </c>
      <c r="E3" s="374"/>
      <c r="F3" s="371" t="s">
        <v>713</v>
      </c>
      <c r="G3" s="371" t="s">
        <v>721</v>
      </c>
      <c r="H3" s="372" t="s">
        <v>722</v>
      </c>
    </row>
    <row r="4" spans="1:8" s="11" customFormat="1">
      <c r="A4" s="373" t="s">
        <v>679</v>
      </c>
      <c r="B4" s="1004" t="s">
        <v>680</v>
      </c>
      <c r="C4" s="373" t="s">
        <v>193</v>
      </c>
      <c r="D4" s="1005" t="s">
        <v>707</v>
      </c>
      <c r="E4" s="374"/>
      <c r="F4" s="969" t="s">
        <v>704</v>
      </c>
      <c r="G4" s="969" t="s">
        <v>703</v>
      </c>
      <c r="H4" s="969" t="s">
        <v>705</v>
      </c>
    </row>
    <row r="5" spans="1:8" s="11" customFormat="1">
      <c r="A5" s="373" t="s">
        <v>405</v>
      </c>
      <c r="B5" s="859" t="s">
        <v>757</v>
      </c>
      <c r="C5" s="373" t="s">
        <v>405</v>
      </c>
      <c r="D5" s="373" t="s">
        <v>716</v>
      </c>
      <c r="E5" s="374"/>
      <c r="F5" s="969" t="s">
        <v>700</v>
      </c>
      <c r="G5" s="969" t="s">
        <v>701</v>
      </c>
      <c r="H5" s="969" t="s">
        <v>702</v>
      </c>
    </row>
    <row r="6" spans="1:8">
      <c r="A6" s="368" t="s">
        <v>399</v>
      </c>
      <c r="B6" s="965" t="s">
        <v>738</v>
      </c>
      <c r="C6" s="368" t="s">
        <v>399</v>
      </c>
      <c r="D6" s="368" t="s">
        <v>717</v>
      </c>
      <c r="E6" s="370"/>
      <c r="F6" s="371" t="s">
        <v>400</v>
      </c>
      <c r="G6" s="371" t="s">
        <v>401</v>
      </c>
      <c r="H6" s="372" t="s">
        <v>402</v>
      </c>
    </row>
    <row r="7" spans="1:8">
      <c r="A7" s="368" t="s">
        <v>403</v>
      </c>
      <c r="B7" s="965" t="s">
        <v>772</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958" customFormat="1">
      <c r="A9" s="373" t="s">
        <v>711</v>
      </c>
      <c r="B9" s="859">
        <v>2016</v>
      </c>
      <c r="C9" s="373" t="s">
        <v>405</v>
      </c>
      <c r="D9" s="373" t="s">
        <v>719</v>
      </c>
      <c r="E9" s="370" t="s">
        <v>712</v>
      </c>
      <c r="F9" s="371"/>
      <c r="G9" s="371"/>
      <c r="H9" s="372"/>
    </row>
    <row r="10" spans="1:8" s="958" customFormat="1">
      <c r="A10" s="373" t="s">
        <v>725</v>
      </c>
      <c r="B10" s="859">
        <v>2017</v>
      </c>
      <c r="C10" s="373" t="s">
        <v>727</v>
      </c>
      <c r="D10" s="373" t="s">
        <v>726</v>
      </c>
      <c r="E10" s="375" t="s">
        <v>724</v>
      </c>
      <c r="F10" s="371"/>
      <c r="G10" s="371"/>
      <c r="H10" s="372"/>
    </row>
    <row r="11" spans="1:8" s="11" customFormat="1">
      <c r="A11" s="373" t="s">
        <v>627</v>
      </c>
      <c r="B11" s="1004" t="s">
        <v>755</v>
      </c>
      <c r="C11" s="373" t="s">
        <v>628</v>
      </c>
      <c r="D11" s="373" t="s">
        <v>629</v>
      </c>
      <c r="E11" s="374"/>
      <c r="F11" s="969" t="s">
        <v>688</v>
      </c>
      <c r="G11" s="969" t="s">
        <v>689</v>
      </c>
      <c r="H11" s="372" t="s">
        <v>690</v>
      </c>
    </row>
    <row r="12" spans="1:8">
      <c r="A12" s="368" t="s">
        <v>693</v>
      </c>
      <c r="B12" s="965" t="s">
        <v>771</v>
      </c>
      <c r="C12" s="368" t="s">
        <v>694</v>
      </c>
      <c r="D12" s="368" t="s">
        <v>720</v>
      </c>
      <c r="E12" s="717"/>
      <c r="F12" s="371" t="s">
        <v>697</v>
      </c>
      <c r="G12" s="371" t="s">
        <v>695</v>
      </c>
      <c r="H12" s="372" t="s">
        <v>696</v>
      </c>
    </row>
    <row r="13" spans="1:8" s="958" customFormat="1">
      <c r="A13" s="373" t="s">
        <v>715</v>
      </c>
      <c r="B13" s="859">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789</v>
      </c>
      <c r="H15" s="371" t="s">
        <v>398</v>
      </c>
    </row>
    <row r="16" spans="1:8">
      <c r="A16" s="368" t="s">
        <v>406</v>
      </c>
      <c r="B16" s="965" t="s">
        <v>698</v>
      </c>
      <c r="C16" s="368" t="s">
        <v>406</v>
      </c>
      <c r="D16" s="368" t="s">
        <v>420</v>
      </c>
      <c r="E16" s="370"/>
      <c r="F16" s="371" t="s">
        <v>779</v>
      </c>
      <c r="G16" s="975" t="s">
        <v>788</v>
      </c>
      <c r="H16" s="975" t="s">
        <v>787</v>
      </c>
    </row>
    <row r="17" spans="1:8" s="966" customFormat="1">
      <c r="A17" s="971" t="s">
        <v>506</v>
      </c>
      <c r="B17" s="972" t="s">
        <v>380</v>
      </c>
      <c r="C17" s="971" t="s">
        <v>378</v>
      </c>
      <c r="D17" s="973" t="s">
        <v>379</v>
      </c>
      <c r="E17" s="974" t="s">
        <v>381</v>
      </c>
      <c r="F17" s="371" t="s">
        <v>683</v>
      </c>
      <c r="G17" s="975" t="s">
        <v>691</v>
      </c>
      <c r="H17" s="372" t="s">
        <v>692</v>
      </c>
    </row>
    <row r="18" spans="1:8" s="966" customFormat="1">
      <c r="A18" s="971" t="s">
        <v>506</v>
      </c>
      <c r="B18" s="972" t="s">
        <v>772</v>
      </c>
      <c r="C18" s="971" t="s">
        <v>773</v>
      </c>
      <c r="D18" s="973" t="s">
        <v>774</v>
      </c>
      <c r="E18" s="974"/>
      <c r="F18" s="371" t="s">
        <v>683</v>
      </c>
      <c r="G18" s="975" t="s">
        <v>691</v>
      </c>
      <c r="H18" s="372" t="s">
        <v>692</v>
      </c>
    </row>
    <row r="19" spans="1:8" s="11" customFormat="1">
      <c r="A19" s="373" t="s">
        <v>505</v>
      </c>
      <c r="B19" s="972" t="s">
        <v>750</v>
      </c>
      <c r="C19" s="373" t="s">
        <v>423</v>
      </c>
      <c r="D19" s="373" t="s">
        <v>749</v>
      </c>
      <c r="E19" s="374" t="s">
        <v>684</v>
      </c>
      <c r="F19" s="371" t="s">
        <v>683</v>
      </c>
      <c r="G19" s="975" t="s">
        <v>691</v>
      </c>
      <c r="H19" s="372" t="s">
        <v>692</v>
      </c>
    </row>
    <row r="20" spans="1:8">
      <c r="A20" s="373" t="s">
        <v>193</v>
      </c>
      <c r="B20" s="859" t="s">
        <v>738</v>
      </c>
      <c r="C20" s="373" t="s">
        <v>424</v>
      </c>
      <c r="D20" s="373" t="s">
        <v>682</v>
      </c>
      <c r="E20" s="370"/>
      <c r="F20" s="371" t="s">
        <v>425</v>
      </c>
      <c r="G20" s="371" t="s">
        <v>426</v>
      </c>
      <c r="H20" s="372" t="s">
        <v>427</v>
      </c>
    </row>
    <row r="21" spans="1:8" s="958" customFormat="1">
      <c r="A21" s="373" t="s">
        <v>406</v>
      </c>
      <c r="B21" s="859" t="s">
        <v>755</v>
      </c>
      <c r="C21" s="373" t="s">
        <v>406</v>
      </c>
      <c r="D21" s="373" t="s">
        <v>775</v>
      </c>
      <c r="E21" s="370"/>
      <c r="F21" s="371" t="s">
        <v>777</v>
      </c>
      <c r="G21" s="969" t="s">
        <v>786</v>
      </c>
      <c r="H21" s="970" t="s">
        <v>785</v>
      </c>
    </row>
    <row r="22" spans="1:8" s="958" customFormat="1">
      <c r="A22" s="373" t="s">
        <v>406</v>
      </c>
      <c r="B22" s="859" t="s">
        <v>772</v>
      </c>
      <c r="C22" s="373" t="s">
        <v>406</v>
      </c>
      <c r="D22" s="373" t="s">
        <v>776</v>
      </c>
      <c r="E22" s="370"/>
      <c r="F22" s="371" t="s">
        <v>778</v>
      </c>
      <c r="G22" s="969" t="s">
        <v>781</v>
      </c>
      <c r="H22" s="969" t="s">
        <v>780</v>
      </c>
    </row>
    <row r="23" spans="1:8" s="11" customFormat="1">
      <c r="A23" s="373" t="s">
        <v>406</v>
      </c>
      <c r="B23" s="1004" t="s">
        <v>756</v>
      </c>
      <c r="C23" s="373" t="s">
        <v>406</v>
      </c>
      <c r="D23" s="373" t="s">
        <v>653</v>
      </c>
      <c r="E23" s="374"/>
      <c r="F23" s="969" t="s">
        <v>784</v>
      </c>
      <c r="G23" s="969" t="s">
        <v>783</v>
      </c>
      <c r="H23" s="969" t="s">
        <v>782</v>
      </c>
    </row>
    <row r="24" spans="1:8" s="11" customFormat="1">
      <c r="A24" s="373" t="s">
        <v>406</v>
      </c>
      <c r="B24" s="1004" t="s">
        <v>756</v>
      </c>
      <c r="C24" s="373" t="s">
        <v>406</v>
      </c>
      <c r="D24" s="1005" t="s">
        <v>632</v>
      </c>
      <c r="E24" s="374"/>
      <c r="F24" s="969" t="s">
        <v>784</v>
      </c>
      <c r="G24" s="969" t="s">
        <v>783</v>
      </c>
      <c r="H24" s="970" t="s">
        <v>782</v>
      </c>
    </row>
    <row r="27" spans="1:8">
      <c r="F27" s="958"/>
    </row>
    <row r="28" spans="1:8">
      <c r="G28" s="95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30.xml><?xml version="1.0" encoding="utf-8"?>
<worksheet xmlns="http://schemas.openxmlformats.org/spreadsheetml/2006/main" xmlns:r="http://schemas.openxmlformats.org/officeDocument/2006/relationships">
  <sheetPr codeName="Sheet29"/>
  <dimension ref="A1:D20"/>
  <sheetViews>
    <sheetView workbookViewId="0">
      <selection activeCell="C11" sqref="C11"/>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6" t="s">
        <v>617</v>
      </c>
      <c r="B1" s="976" t="s">
        <v>618</v>
      </c>
      <c r="C1" s="976" t="s">
        <v>620</v>
      </c>
      <c r="D1" s="976" t="s">
        <v>619</v>
      </c>
    </row>
    <row r="2" spans="1:4" s="959" customFormat="1">
      <c r="A2" s="959" t="s">
        <v>729</v>
      </c>
      <c r="B2" s="987">
        <v>43172</v>
      </c>
      <c r="C2" s="959" t="s">
        <v>741</v>
      </c>
      <c r="D2" s="988" t="s">
        <v>740</v>
      </c>
    </row>
    <row r="3" spans="1:4" s="959" customFormat="1">
      <c r="A3" s="959" t="s">
        <v>729</v>
      </c>
      <c r="B3" s="987">
        <v>43172</v>
      </c>
      <c r="C3" s="959" t="s">
        <v>742</v>
      </c>
      <c r="D3" s="988" t="s">
        <v>743</v>
      </c>
    </row>
    <row r="4" spans="1:4" s="959" customFormat="1">
      <c r="A4" s="959" t="s">
        <v>729</v>
      </c>
      <c r="B4" s="987">
        <v>43278</v>
      </c>
      <c r="C4" s="959" t="s">
        <v>752</v>
      </c>
      <c r="D4" s="988"/>
    </row>
    <row r="5" spans="1:4" s="959" customFormat="1">
      <c r="A5" s="959" t="s">
        <v>729</v>
      </c>
      <c r="B5" s="987">
        <v>42525</v>
      </c>
      <c r="C5" s="959" t="s">
        <v>753</v>
      </c>
      <c r="D5" s="1001"/>
    </row>
    <row r="6" spans="1:4" s="959" customFormat="1">
      <c r="A6" s="959" t="s">
        <v>729</v>
      </c>
      <c r="B6" s="1007">
        <v>43266</v>
      </c>
      <c r="C6" s="958" t="s">
        <v>766</v>
      </c>
      <c r="D6" s="1008" t="s">
        <v>762</v>
      </c>
    </row>
    <row r="7" spans="1:4" s="959" customFormat="1">
      <c r="A7" s="959" t="s">
        <v>729</v>
      </c>
      <c r="B7" s="1007">
        <v>43266</v>
      </c>
      <c r="C7" s="958" t="s">
        <v>767</v>
      </c>
      <c r="D7" s="1008" t="s">
        <v>763</v>
      </c>
    </row>
    <row r="8" spans="1:4" s="959" customFormat="1">
      <c r="A8" s="959" t="s">
        <v>729</v>
      </c>
      <c r="B8" s="1007">
        <v>43266</v>
      </c>
      <c r="C8" s="958" t="s">
        <v>768</v>
      </c>
      <c r="D8" s="1008" t="s">
        <v>764</v>
      </c>
    </row>
    <row r="9" spans="1:4" s="7" customFormat="1">
      <c r="A9" s="959" t="s">
        <v>729</v>
      </c>
      <c r="B9" s="1007">
        <v>43266</v>
      </c>
      <c r="C9" s="958" t="s">
        <v>769</v>
      </c>
      <c r="D9" s="1008" t="s">
        <v>765</v>
      </c>
    </row>
    <row r="10" spans="1:4" s="7" customFormat="1">
      <c r="A10" s="959" t="s">
        <v>729</v>
      </c>
      <c r="B10" s="987">
        <v>43278</v>
      </c>
      <c r="C10" s="987" t="s">
        <v>790</v>
      </c>
      <c r="D10" s="1008"/>
    </row>
    <row r="11" spans="1:4" s="7" customFormat="1">
      <c r="A11" s="959" t="s">
        <v>798</v>
      </c>
      <c r="B11" s="987">
        <v>43347</v>
      </c>
      <c r="C11" s="987" t="s">
        <v>799</v>
      </c>
      <c r="D11" s="1011"/>
    </row>
    <row r="12" spans="1:4" s="7" customFormat="1">
      <c r="A12" s="959"/>
      <c r="B12" s="987"/>
      <c r="C12" s="987"/>
      <c r="D12" s="1011"/>
    </row>
    <row r="13" spans="1:4" s="7" customFormat="1">
      <c r="A13" s="959"/>
      <c r="B13" s="987"/>
      <c r="C13" s="987"/>
      <c r="D13" s="1011"/>
    </row>
    <row r="14" spans="1:4" s="7" customFormat="1">
      <c r="A14" s="959"/>
      <c r="B14" s="987"/>
      <c r="C14" s="987"/>
      <c r="D14" s="1008"/>
    </row>
    <row r="15" spans="1:4" s="7" customFormat="1">
      <c r="A15" s="959"/>
      <c r="B15" s="987"/>
      <c r="C15" s="987"/>
      <c r="D15" s="1008"/>
    </row>
    <row r="16" spans="1:4" s="7" customFormat="1">
      <c r="A16" s="959"/>
      <c r="B16" s="987"/>
      <c r="C16" s="987"/>
      <c r="D16" s="1011"/>
    </row>
    <row r="17" spans="1:4" s="7" customFormat="1">
      <c r="A17" s="959"/>
      <c r="B17" s="987"/>
      <c r="C17" s="987"/>
      <c r="D17" s="1011"/>
    </row>
    <row r="18" spans="1:4" s="7" customFormat="1">
      <c r="A18" s="959"/>
      <c r="B18" s="987"/>
      <c r="C18" s="987"/>
      <c r="D18" s="1011"/>
    </row>
    <row r="19" spans="1:4" s="7" customFormat="1">
      <c r="B19" s="967"/>
      <c r="C19" s="987"/>
      <c r="D19" s="1008"/>
    </row>
    <row r="20" spans="1:4" s="7" customFormat="1">
      <c r="B20" s="967"/>
      <c r="D20" s="96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217</vt:i4>
      </vt:variant>
    </vt:vector>
  </HeadingPairs>
  <TitlesOfParts>
    <vt:vector size="251" baseType="lpstr">
      <vt:lpstr>LEGENDE</vt:lpstr>
      <vt:lpstr>OUTPUT--&gt;</vt:lpstr>
      <vt:lpstr>SEAP template</vt:lpstr>
      <vt:lpstr>Inventaris 2016</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2019-01-01T21:20:06Z</dcterms:modified>
</cp:coreProperties>
</file>