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D10" i="14" s="1"/>
  <c r="L6" i="17"/>
  <c r="L5" s="1"/>
  <c r="O4" i="48"/>
  <c r="O21" s="1"/>
  <c r="E16"/>
  <c r="I16"/>
  <c r="F16"/>
  <c r="J16"/>
  <c r="K16"/>
  <c r="D16"/>
  <c r="D27" s="1"/>
  <c r="H16"/>
  <c r="L16" i="16"/>
  <c r="L18" s="1"/>
  <c r="M13" i="14"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K28" i="48"/>
  <c r="K31" s="1"/>
  <c r="D28"/>
  <c r="D30"/>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M25" i="48"/>
  <c r="M24"/>
  <c r="I31"/>
  <c r="C50" i="13"/>
  <c r="J5" s="1"/>
  <c r="J8" s="1"/>
  <c r="C5" i="48"/>
  <c r="I7" i="18" l="1"/>
  <c r="I9" s="1"/>
  <c r="Q15" i="14"/>
  <c r="Q23" s="1"/>
  <c r="Q55"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5" i="48" l="1"/>
  <c r="J22" s="1"/>
  <c r="O14"/>
  <c r="E41" i="14"/>
  <c r="J67"/>
  <c r="C67" s="1"/>
  <c r="C69" s="1"/>
  <c r="B22" i="6"/>
  <c r="C17" i="19" s="1"/>
  <c r="C19" s="1"/>
  <c r="D35" i="14" s="1"/>
  <c r="P55"/>
  <c r="F10"/>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H19" i="14"/>
  <c r="H20" s="1"/>
  <c r="H23" s="1"/>
  <c r="J81"/>
  <c r="H18" i="22"/>
  <c r="I45" i="14" s="1"/>
  <c r="I46" s="1"/>
  <c r="I53" s="1"/>
  <c r="I55" s="1"/>
  <c r="G27" i="48"/>
  <c r="Q10"/>
  <c r="H9"/>
  <c r="Q9" s="1"/>
  <c r="M14"/>
  <c r="M26"/>
  <c r="M31" s="1"/>
  <c r="G26"/>
  <c r="G14"/>
  <c r="C15" i="14"/>
  <c r="C23" s="1"/>
  <c r="B3" i="6" s="1"/>
  <c r="E53" i="14"/>
  <c r="M36"/>
  <c r="M41" s="1"/>
  <c r="L14" i="48"/>
  <c r="M23" i="14"/>
  <c r="C16" i="22"/>
  <c r="C10" i="13"/>
  <c r="C29" i="20"/>
  <c r="Q5" i="48"/>
  <c r="Q4"/>
  <c r="N22"/>
  <c r="R11" i="14"/>
  <c r="J21" i="48"/>
  <c r="R10" i="14"/>
  <c r="C17" i="49" l="1"/>
  <c r="J69" i="14"/>
  <c r="C56" i="22"/>
  <c r="C58" s="1"/>
  <c r="D44" i="14" s="1"/>
  <c r="D46" s="1"/>
  <c r="C10" i="17"/>
  <c r="C12" s="1"/>
  <c r="D48" i="14" s="1"/>
  <c r="C18" i="15"/>
  <c r="C20" s="1"/>
  <c r="D36" i="14" s="1"/>
  <c r="C20" i="16"/>
  <c r="C22" s="1"/>
  <c r="D39" i="14" s="1"/>
  <c r="C16" i="48"/>
  <c r="E22" i="16"/>
  <c r="F39" i="14" s="1"/>
  <c r="K13"/>
  <c r="K15" s="1"/>
  <c r="K23" s="1"/>
  <c r="G13"/>
  <c r="G15" s="1"/>
  <c r="G23" s="1"/>
  <c r="N8" i="48"/>
  <c r="N14" s="1"/>
  <c r="F8"/>
  <c r="F22" i="16"/>
  <c r="G39" i="14" s="1"/>
  <c r="G41" s="1"/>
  <c r="G53" s="1"/>
  <c r="O13"/>
  <c r="O15" s="1"/>
  <c r="F41"/>
  <c r="F53" s="1"/>
  <c r="N22" i="16"/>
  <c r="O39" i="14" s="1"/>
  <c r="O41" s="1"/>
  <c r="O53" s="1"/>
  <c r="E8" i="48"/>
  <c r="E25" s="1"/>
  <c r="E31" s="1"/>
  <c r="F13" i="14"/>
  <c r="F15" s="1"/>
  <c r="F23" s="1"/>
  <c r="J22" i="16"/>
  <c r="K39" i="14" s="1"/>
  <c r="K41" s="1"/>
  <c r="K53" s="1"/>
  <c r="J8" i="48"/>
  <c r="J25" s="1"/>
  <c r="J31" s="1"/>
  <c r="N55" i="14"/>
  <c r="H55"/>
  <c r="E55"/>
  <c r="C78"/>
  <c r="C81" s="1"/>
  <c r="J14" i="48"/>
  <c r="R19" i="14"/>
  <c r="R20" s="1"/>
  <c r="H14" i="48"/>
  <c r="G31"/>
  <c r="H26"/>
  <c r="H31" s="1"/>
  <c r="M53" i="14"/>
  <c r="M55" s="1"/>
  <c r="C12" i="13"/>
  <c r="D37" i="14" s="1"/>
  <c r="D41" s="1"/>
  <c r="F25" i="48"/>
  <c r="F31" s="1"/>
  <c r="F14"/>
  <c r="K55" i="14" l="1"/>
  <c r="E14" i="48"/>
  <c r="N25"/>
  <c r="N31" s="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<sst xmlns="http://schemas.openxmlformats.org/spreadsheetml/2006/main" count="2108" uniqueCount="850">
  <si>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</si>
  <si>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</si>
  <si>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</si>
  <si>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</si>
  <si>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</si>
  <si>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</si>
  <si>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</si>
  <si>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</si>
  <si>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</si>
  <si>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</si>
  <si>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</si>
  <si>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</si>
  <si>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</si>
  <si>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</si>
  <si>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</si>
  <si>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</si>
  <si>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</si>
  <si>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</si>
  <si>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</si>
  <si>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</si>
  <si>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</si>
  <si>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</si>
  <si>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</si>
  <si>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</si>
  <si>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</si>
  <si>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</si>
  <si>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</si>
  <si>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</si>
  <si>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</si>
  <si>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</si>
  <si>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</si>
  <si>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</si>
  <si>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</si>
  <si>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</si>
  <si>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</si>
  <si>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</si>
  <si>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</si>
  <si>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</si>
  <si>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</si>
  <si>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</si>
  <si>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</si>
  <si>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</si>
  <si>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</si>
  <si>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</si>
  <si>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</si>
  <si>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</si>
  <si>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</si>
  <si>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</si>
  <si>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</si>
  <si>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</si>
  <si>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</si>
  <si>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</si>
  <si>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</si>
  <si>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</si>
  <si>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</si>
  <si>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</si>
  <si>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</si>
  <si>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</si>
  <si>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</si>
  <si>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</si>
  <si>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</si>
  <si>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</si>
  <si>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</si>
  <si>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</si>
  <si>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</si>
  <si>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</si>
  <si>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</si>
  <si>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</si>
  <si>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</si>
  <si>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</si>
  <si>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</si>
  <si>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</si>
  <si>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</si>
  <si>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</si>
  <si>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</si>
  <si>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</si>
  <si>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</si>
  <si>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</si>
  <si>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</si>
  <si>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</si>
  <si>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</si>
  <si>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</si>
  <si>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</si>
  <si>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</si>
  <si>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</si>
  <si>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</si>
  <si>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</si>
  <si>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</si>
  <si>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</si>
  <si>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</si>
  <si>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</si>
  <si>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</si>
  <si>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</si>
  <si>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</si>
  <si>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</si>
  <si>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</si>
  <si>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</si>
  <si>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</si>
  <si>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</si>
  <si>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</si>
  <si>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</si>
  <si>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</si>
  <si>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</si>
  <si>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</si>
  <si>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</si>
  <si>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</si>
  <si>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</si>
  <si>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</si>
  <si>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</si>
  <si>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</si>
  <si>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</si>
  <si>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</si>
  <si>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</si>
  <si>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</si>
  <si>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</si>
  <si>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</si>
  <si>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</si>
  <si>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</si>
  <si>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</si>
  <si>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</si>
  <si>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</si>
  <si>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</si>
  <si>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</si>
  <si>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</si>
  <si>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</si>
  <si>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</si>
  <si>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</si>
  <si>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</si>
  <si>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</si>
  <si>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</si>
  <si>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</si>
  <si>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</si>
  <si>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</si>
  <si>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</si>
  <si>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</si>
  <si>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</si>
  <si>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</si>
  <si>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</si>
  <si>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</si>
  <si>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</si>
  <si>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</si>
  <si>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</si>
  <si>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</si>
  <si>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</si>
  <si>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</si>
  <si>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</si>
  <si>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</si>
  <si>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</si>
  <si>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</si>
  <si>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</si>
  <si>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</si>
  <si>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</si>
  <si>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</si>
  <si>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</si>
  <si>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</si>
  <si>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</si>
  <si>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</si>
  <si>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</si>
  <si>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</si>
  <si>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</si>
  <si>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</si>
  <si>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</si>
  <si>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</si>
  <si>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</si>
  <si>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</si>
  <si>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</si>
  <si>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</si>
  <si>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</si>
  <si>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</si>
  <si>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</si>
  <si>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</si>
  <si>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</si>
  <si>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</si>
  <si>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</si>
  <si>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</si>
  <si>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</si>
  <si>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</si>
  <si>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</si>
  <si>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</si>
  <si>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</si>
  <si>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</si>
  <si>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</si>
  <si>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</si>
  <si>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</si>
  <si>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</si>
  <si>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</si>
  <si>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</si>
  <si>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</si>
  <si>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</si>
  <si>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</si>
  <si>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</si>
  <si>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</si>
  <si>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</si>
  <si>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</si>
  <si>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</si>
  <si>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</si>
  <si>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</si>
  <si>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</si>
  <si>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</si>
  <si>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</si>
  <si>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</si>
  <si>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</si>
  <si>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</si>
  <si>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</si>
  <si>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</si>
  <si>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</si>
  <si>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</si>
  <si>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</si>
  <si>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</si>
  <si>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</si>
  <si>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</si>
  <si>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</si>
  <si>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</si>
  <si>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</si>
  <si>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</si>
  <si>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</si>
  <si>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</si>
  <si>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</si>
  <si>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</si>
  <si>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</si>
  <si>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</si>
  <si>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</si>
  <si>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</si>
  <si>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</si>
  <si>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</si>
  <si>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</si>
  <si>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</si>
  <si>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</si>
  <si>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</si>
  <si>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</si>
  <si>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</si>
  <si>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</si>
  <si>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</si>
  <si>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</si>
  <si>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</si>
  <si>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</si>
  <si>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</si>
  <si>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</si>
  <si>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</si>
  <si>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</si>
  <si>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</si>
  <si>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</si>
  <si>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</si>
  <si>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</si>
  <si>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</si>
  <si>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</si>
  <si>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</si>
  <si>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</si>
  <si>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</si>
  <si>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</si>
  <si>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</si>
  <si>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</si>
  <si>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</si>
  <si>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</si>
  <si>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</si>
  <si>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</si>
  <si>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</si>
  <si>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</si>
  <si>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</si>
  <si>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</si>
  <si>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</si>
  <si>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</si>
  <si>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</si>
  <si>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</si>
  <si>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</si>
  <si>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</si>
  <si>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</si>
  <si>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</si>
  <si>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</si>
  <si>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</si>
  <si>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</si>
  <si>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</si>
  <si>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</si>
  <si>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</si>
  <si>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</si>
  <si>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</si>
  <si>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</si>
  <si>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</si>
  <si>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</si>
  <si>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</si>
  <si>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</si>
  <si>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</si>
  <si>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</si>
  <si>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</si>
  <si>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</si>
  <si>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</si>
  <si>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</si>
  <si>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</si>
  <si>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</si>
  <si>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</si>
  <si>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</si>
  <si>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</si>
  <si>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</si>
  <si>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</si>
  <si>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</si>
  <si>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</si>
  <si>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</si>
  <si>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</si>
  <si>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</si>
  <si>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</si>
  <si>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</si>
  <si>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</si>
  <si>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</si>
  <si>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</si>
  <si>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</si>
  <si>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</si>
  <si>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</si>
  <si>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</si>
  <si>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</si>
  <si>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</si>
  <si>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</si>
  <si>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</si>
  <si>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</si>
  <si>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</si>
  <si>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</si>
  <si>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</si>
  <si>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</si>
  <si>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</si>
  <si>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</si>
  <si>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</si>
  <si>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</si>
  <si>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</si>
  <si>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</si>
  <si>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</si>
  <si>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</si>
  <si>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</si>
  <si>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</si>
  <si>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</si>
  <si>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</si>
  <si>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</si>
  <si>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</si>
  <si>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</si>
  <si>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</si>
  <si>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</si>
  <si>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</si>
  <si>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</si>
  <si>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</si>
  <si>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</si>
  <si>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</si>
  <si>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</si>
  <si>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</si>
  <si>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</si>
  <si>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</si>
  <si>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</si>
  <si>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</si>
  <si>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</si>
  <si>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</si>
  <si>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</si>
  <si>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</si>
  <si>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</si>
  <si>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</si>
  <si>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</si>
  <si>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</si>
  <si>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</si>
  <si>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</si>
  <si>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</si>
  <si>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</si>
  <si>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</si>
  <si>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</si>
  <si>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</si>
  <si>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</si>
  <si>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</si>
  <si>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</si>
  <si>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</si>
  <si>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</si>
  <si>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</si>
  <si>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</si>
  <si>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</si>
  <si>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</si>
  <si>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</si>
  <si>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</si>
  <si>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</si>
  <si>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</si>
  <si>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</si>
  <si>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</si>
  <si>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</si>
  <si>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</si>
  <si>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</si>
  <si>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</si>
  <si>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</si>
  <si>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</si>
  <si>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</si>
  <si>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</si>
  <si>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</si>
  <si>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</si>
  <si>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</si>
  <si>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</si>
  <si>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</si>
  <si>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</si>
  <si>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</si>
  <si>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</si>
  <si>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</si>
  <si>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</si>
  <si>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</si>
  <si>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</si>
  <si>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</si>
  <si>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</si>
  <si>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</si>
  <si>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</si>
  <si>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</si>
  <si>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</si>
  <si>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</si>
  <si>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</si>
  <si>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</si>
  <si>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</si>
  <si>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</si>
  <si>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</si>
  <si>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</si>
  <si>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</si>
  <si>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</si>
  <si>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</si>
  <si>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</si>
  <si>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</si>
  <si>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</si>
  <si>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</si>
  <si>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</si>
  <si>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</si>
  <si>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</si>
  <si>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</si>
  <si>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</si>
  <si>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</si>
  <si>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</si>
  <si>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</si>
  <si>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</si>
  <si>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</si>
  <si>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</si>
  <si>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</si>
  <si>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</si>
  <si>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</si>
  <si>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</si>
  <si>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</si>
  <si>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</si>
  <si>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</si>
  <si>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</si>
  <si>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</si>
  <si>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</si>
  <si>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</si>
  <si>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</si>
  <si>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</si>
  <si>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</si>
  <si>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</si>
  <si>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</si>
  <si>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</si>
  <si>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</si>
  <si>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</si>
  <si>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</si>
  <si>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</si>
  <si>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</si>
  <si>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</si>
  <si>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</si>
  <si>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</si>
  <si>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</si>
  <si>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</si>
  <si>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</si>
  <si>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</si>
  <si>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</si>
  <si>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</si>
  <si>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</si>
  <si>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</si>
  <si>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</si>
  <si>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</si>
  <si>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</si>
  <si>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</si>
  <si>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</si>
  <si>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</si>
  <si>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</si>
  <si>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</si>
  <si>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</si>
  <si>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</si>
  <si>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</si>
  <si>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</si>
  <si>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</si>
  <si>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</si>
  <si>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</si>
  <si>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</si>
  <si>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</si>
  <si>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</si>
  <si>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</si>
  <si>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</si>
  <si>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</si>
  <si>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</si>
  <si>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</si>
  <si>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</si>
  <si>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</si>
  <si>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</si>
  <si>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</si>
  <si>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</si>
  <si>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</si>
  <si>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</si>
  <si>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</si>
  <si>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</si>
  <si>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</si>
  <si>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</si>
  <si>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</si>
  <si>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</si>
  <si>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</si>
  <si>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</si>
  <si>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</si>
  <si>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</si>
  <si>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</si>
  <si>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</si>
  <si>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</si>
  <si>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</si>
  <si>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</si>
  <si>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</si>
  <si>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</si>
  <si>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</si>
  <si>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</si>
  <si>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</si>
  <si>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</si>
  <si>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</si>
  <si>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</si>
  <si>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</si>
  <si>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</si>
  <si>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</si>
  <si>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</si>
  <si>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</si>
  <si>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</si>
  <si>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</si>
  <si>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</si>
  <si>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</si>
  <si>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</si>
  <si>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</si>
  <si>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</si>
  <si>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</si>
  <si>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</si>
  <si>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</si>
  <si>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</si>
  <si>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</si>
  <si>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</si>
  <si>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</si>
  <si>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</si>
  <si>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</si>
  <si>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</si>
  <si>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</si>
  <si>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</si>
  <si>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</si>
  <si>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</si>
  <si>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</si>
  <si>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</si>
  <si>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</si>
  <si>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</si>
  <si>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</si>
  <si>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</si>
  <si>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</si>
  <si>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</si>
  <si>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</si>
  <si>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</si>
  <si>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</si>
  <si>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</si>
  <si>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</si>
  <si>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</si>
  <si>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</si>
  <si>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</si>
  <si>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</si>
  <si>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</si>
  <si>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</si>
  <si>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</si>
  <si>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</si>
  <si>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</si>
  <si>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</si>
  <si>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</si>
  <si>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</si>
  <si>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</si>
  <si>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</si>
  <si>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</si>
  <si>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</si>
  <si>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</si>
  <si>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</si>
  <si>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</si>
  <si>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</si>
  <si>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</si>
  <si>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</si>
  <si>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</si>
  <si>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</si>
  <si>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</si>
  <si>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</si>
  <si>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</si>
  <si>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</si>
  <si>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</si>
  <si>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</si>
  <si>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</si>
  <si>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</si>
  <si>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</si>
  <si>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</si>
  <si>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</si>
  <si>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</si>
  <si>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</si>
  <si>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</si>
  <si>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</si>
  <si>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</si>
  <si>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</si>
  <si>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</si>
  <si>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</si>
  <si>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</si>
  <si>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</si>
  <si>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</si>
  <si>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</si>
  <si>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</si>
  <si>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</si>
  <si>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</si>
  <si>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</si>
  <si>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</si>
  <si>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</si>
  <si>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</si>
  <si>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</si>
  <si>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</si>
  <si>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</si>
  <si>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</si>
  <si>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</si>
  <si>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</si>
  <si>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</si>
  <si>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</si>
  <si>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</si>
  <si>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</si>
  <si>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</si>
  <si>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</si>
  <si>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</si>
  <si>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</si>
  <si>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</si>
  <si>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</si>
  <si>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</si>
  <si>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</si>
  <si>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</si>
  <si>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</si>
  <si>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</si>
  <si>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</si>
  <si>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</si>
  <si>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</si>
  <si>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</si>
  <si>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</si>
  <si>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</si>
  <si>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</si>
  <si>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</si>
  <si>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</si>
  <si>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</si>
  <si>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</si>
  <si>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</si>
  <si>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</si>
  <si>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</si>
  <si>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</si>
  <si>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</si>
  <si>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</si>
  <si>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</si>
  <si>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</si>
  <si>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</si>
  <si>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</si>
  <si>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</si>
  <si>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</si>
  <si>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</si>
  <si>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</si>
  <si>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</si>
  <si>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</si>
  <si>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</si>
  <si>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</si>
  <si>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</si>
  <si>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</si>
  <si>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</si>
  <si>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</si>
  <si>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</si>
  <si>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</si>
  <si>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</si>
  <si>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</si>
  <si>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</si>
  <si>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</si>
  <si>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</si>
  <si>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</si>
  <si>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</si>
  <si>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</si>
  <si>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</si>
  <si>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</si>
  <si>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</si>
  <si>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</si>
  <si>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</si>
  <si>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</si>
  <si>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</si>
  <si>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</si>
  <si>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</si>
  <si>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</si>
  <si>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</si>
  <si>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</si>
  <si>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</si>
  <si>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</si>
  <si>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</si>
  <si>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</si>
  <si>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</si>
  <si>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</si>
  <si>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</si>
  <si>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</si>
  <si>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</si>
  <si>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</si>
  <si>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</si>
  <si>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</si>
  <si>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</si>
  <si>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</si>
  <si>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</si>
  <si>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</si>
  <si>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</si>
  <si>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</si>
  <si>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</si>
  <si>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</si>
  <si>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</si>
  <si>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</si>
  <si>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</si>
  <si>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</si>
  <si>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</si>
  <si>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</si>
  <si>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</si>
  <si>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</si>
  <si>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</si>
  <si>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</si>
  <si>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</si>
  <si>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</si>
  <si>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</si>
  <si>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</si>
  <si>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</si>
  <si>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</si>
  <si>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</si>
  <si>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</si>
  <si>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</si>
  <si>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</si>
  <si>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</si>
  <si>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</si>
  <si>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</si>
  <si>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</si>
  <si>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</si>
  <si>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</si>
  <si>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</si>
  <si>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</si>
  <si>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</si>
  <si>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</si>
  <si>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</si>
  <si>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</si>
  <si>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</si>
  <si>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</si>
  <si>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</si>
  <si>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</si>
  <si>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</si>
  <si>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</si>
  <si>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</si>
  <si>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</si>
  <si>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</si>
  <si>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</si>
  <si>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</si>
  <si>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</si>
  <si>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</si>
  <si>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</si>
  <si>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</si>
  <si>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</si>
  <si>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</si>
  <si>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</si>
  <si>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</si>
  <si>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</si>
  <si>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</si>
  <si>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</si>
  <si>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</si>
  <si>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</si>
  <si>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</si>
  <si>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</si>
  <si>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</si>
  <si>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</si>
  <si>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</si>
  <si>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</si>
  <si>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</si>
  <si>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</si>
  <si>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</si>
  <si>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</si>
  <si>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</si>
  <si>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</si>
  <si>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</si>
  <si>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</si>
  <si>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</si>
  <si>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</si>
  <si>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</si>
  <si>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</si>
  <si>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</si>
  <si>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</si>
  <si>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</si>
  <si>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</si>
  <si>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</si>
  <si>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</si>
  <si>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</si>
  <si>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</si>
  <si>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</si>
  <si>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</si>
  <si>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</si>
  <si>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</si>
  <si>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</si>
  <si>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</si>
  <si>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</si>
  <si>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</si>
  <si>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</si>
  <si>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</si>
  <si>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</si>
  <si>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</si>
  <si>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</si>
  <si>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</si>
  <si>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</si>
  <si>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</si>
  <si>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</si>
  <si>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</si>
  <si>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</si>
  <si>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</si>
  <si>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</si>
  <si>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</si>
  <si>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</si>
  <si>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</si>
  <si>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</si>
  <si>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</si>
  <si>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</si>
  <si>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</si>
  <si>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</si>
  <si>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</si>
  <si>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</si>
  <si>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</si>
  <si>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</si>
  <si>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</si>
  <si>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</si>
  <si>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</si>
  <si>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</si>
  <si>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</si>
  <si>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</si>
  <si>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</si>
  <si>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</si>
  <si>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</si>
  <si>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</si>
  <si>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</si>
  <si>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</si>
  <si>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</si>
  <si>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</si>
  <si>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</si>
  <si>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</si>
  <si>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</si>
  <si>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</si>
  <si>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</si>
  <si>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</si>
  <si>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37010</t>
  </si>
  <si>
    <t>OOSTROZEBEKE</t>
  </si>
  <si>
    <t>Eandis (januari 2018); Infrax (juni 2018)</t>
  </si>
  <si>
    <t>MOW (september 2017)</t>
  </si>
  <si>
    <t>referentietaak LNE (2017); Jaarverslag De Lijn (2016)</t>
  </si>
  <si>
    <t>VEA (april 2018)</t>
  </si>
  <si>
    <t>VEA (januari 2017)</t>
  </si>
  <si>
    <t>VEA (juni 2018)</t>
  </si>
  <si>
    <t>Varegro bvba</t>
  </si>
  <si>
    <t>Otteca 17, 8780 Oostrozebeke</t>
  </si>
  <si>
    <t>WKK-0169 Varegro</t>
  </si>
  <si>
    <t>interne verbrandingsmotor</t>
  </si>
  <si>
    <t>WKK interne verbrandinsgmotor (gas)</t>
  </si>
  <si>
    <t>GASELWEST</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</si>
</sst>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64196.338059200607</c:v>
                </c:pt>
                <c:pt idx="1">
                  <c:v>18334.764819255815</c:v>
                </c:pt>
                <c:pt idx="2">
                  <c:v>573.20100000000002</c:v>
                </c:pt>
                <c:pt idx="3">
                  <c:v>21227.810801861848</c:v>
                </c:pt>
                <c:pt idx="4">
                  <c:v>225428.05013568787</c:v>
                </c:pt>
                <c:pt idx="5">
                  <c:v>36370.120508754313</c:v>
                </c:pt>
                <c:pt idx="6">
                  <c:v>168.32321193031379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59200"/>
        <c:axId val="183481472"/>
      </c:barChart>
      <c:catAx>
        <c:axId val="183459200"/>
        <c:scaling>
          <c:orientation val="minMax"/>
        </c:scaling>
        <c:axPos val="b"/>
        <c:numFmt formatCode="General" sourceLinked="0"/>
        <c:tickLblPos val="nextTo"/>
        <c:crossAx val="183481472"/>
        <c:crosses val="autoZero"/>
        <c:auto val="1"/>
        <c:lblAlgn val="ctr"/>
        <c:lblOffset val="100"/>
      </c:catAx>
      <c:valAx>
        <c:axId val="183481472"/>
        <c:scaling>
          <c:orientation val="minMax"/>
        </c:scaling>
        <c:axPos val="l"/>
        <c:majorGridlines>
          <c:spPr>
            <a:ln>
              <a:noFill/>
            </a:ln>
          </c:spPr>
        </c:majorGridlines>
        <c:numFmt formatCode="#,##0" sourceLinked="1"/>
        <c:tickLblPos val="nextTo"/>
        <c:crossAx val="18345920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64196.338059200607</c:v>
                </c:pt>
                <c:pt idx="1">
                  <c:v>18334.764819255815</c:v>
                </c:pt>
                <c:pt idx="2">
                  <c:v>573.20100000000002</c:v>
                </c:pt>
                <c:pt idx="3">
                  <c:v>21227.810801861848</c:v>
                </c:pt>
                <c:pt idx="4">
                  <c:v>225428.05013568787</c:v>
                </c:pt>
                <c:pt idx="5">
                  <c:v>36370.120508754313</c:v>
                </c:pt>
                <c:pt idx="6">
                  <c:v>168.32321193031379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11816.935749225351</c:v>
                </c:pt>
                <c:pt idx="1">
                  <c:v>3671.3967087599312</c:v>
                </c:pt>
                <c:pt idx="2">
                  <c:v>121.80750801809056</c:v>
                </c:pt>
                <c:pt idx="3">
                  <c:v>5094.2116277840942</c:v>
                </c:pt>
                <c:pt idx="4">
                  <c:v>45012.415548265002</c:v>
                </c:pt>
                <c:pt idx="5">
                  <c:v>9124.669701173063</c:v>
                </c:pt>
                <c:pt idx="6">
                  <c:v>42.526954318586327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86048"/>
        <c:axId val="183987584"/>
      </c:barChart>
      <c:catAx>
        <c:axId val="183986048"/>
        <c:scaling>
          <c:orientation val="minMax"/>
        </c:scaling>
        <c:axPos val="b"/>
        <c:numFmt formatCode="General" sourceLinked="0"/>
        <c:tickLblPos val="nextTo"/>
        <c:crossAx val="183987584"/>
        <c:crosses val="autoZero"/>
        <c:auto val="1"/>
        <c:lblAlgn val="ctr"/>
        <c:lblOffset val="100"/>
      </c:catAx>
      <c:valAx>
        <c:axId val="183987584"/>
        <c:scaling>
          <c:orientation val="minMax"/>
        </c:scaling>
        <c:axPos val="l"/>
        <c:majorGridlines>
          <c:spPr>
            <a:ln>
              <a:noFill/>
            </a:ln>
          </c:spPr>
        </c:majorGridlines>
        <c:numFmt formatCode="#,##0" sourceLinked="1"/>
        <c:tickLblPos val="nextTo"/>
        <c:crossAx val="18398604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11816.935749225351</c:v>
                </c:pt>
                <c:pt idx="1">
                  <c:v>3671.3967087599312</c:v>
                </c:pt>
                <c:pt idx="2">
                  <c:v>121.80750801809056</c:v>
                </c:pt>
                <c:pt idx="3">
                  <c:v>5094.2116277840942</c:v>
                </c:pt>
                <c:pt idx="4">
                  <c:v>45012.415548265002</c:v>
                </c:pt>
                <c:pt idx="5">
                  <c:v>9124.669701173063</c:v>
                </c:pt>
                <c:pt idx="6">
                  <c:v>42.526954318586327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37010</v>
      </c>
      <c r="B6" s="415"/>
      <c r="C6" s="416"/>
    </row>
    <row r="7" spans="1:7" s="413" customFormat="1" ht="15.75" customHeight="1">
      <c r="A7" s="417" t="str">
        <f>txtMunicipality</f>
        <v>OOSTROZEBEKE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37010</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3166</v>
      </c>
      <c r="C9" s="342">
        <v>3201</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954.92</v>
      </c>
    </row>
    <row r="15" spans="1:6">
      <c r="A15" s="348" t="s">
        <v>184</v>
      </c>
      <c r="B15" s="334">
        <v>16</v>
      </c>
    </row>
    <row r="16" spans="1:6">
      <c r="A16" s="348" t="s">
        <v>6</v>
      </c>
      <c r="B16" s="334">
        <v>578</v>
      </c>
    </row>
    <row r="17" spans="1:6">
      <c r="A17" s="348" t="s">
        <v>7</v>
      </c>
      <c r="B17" s="334">
        <v>494</v>
      </c>
    </row>
    <row r="18" spans="1:6">
      <c r="A18" s="348" t="s">
        <v>8</v>
      </c>
      <c r="B18" s="334">
        <v>710</v>
      </c>
    </row>
    <row r="19" spans="1:6">
      <c r="A19" s="348" t="s">
        <v>9</v>
      </c>
      <c r="B19" s="334">
        <v>694</v>
      </c>
    </row>
    <row r="20" spans="1:6">
      <c r="A20" s="348" t="s">
        <v>10</v>
      </c>
      <c r="B20" s="334">
        <v>349</v>
      </c>
    </row>
    <row r="21" spans="1:6">
      <c r="A21" s="348" t="s">
        <v>11</v>
      </c>
      <c r="B21" s="334">
        <v>2237</v>
      </c>
    </row>
    <row r="22" spans="1:6">
      <c r="A22" s="348" t="s">
        <v>12</v>
      </c>
      <c r="B22" s="334">
        <v>16032</v>
      </c>
    </row>
    <row r="23" spans="1:6">
      <c r="A23" s="348" t="s">
        <v>13</v>
      </c>
      <c r="B23" s="334">
        <v>112</v>
      </c>
    </row>
    <row r="24" spans="1:6">
      <c r="A24" s="348" t="s">
        <v>14</v>
      </c>
      <c r="B24" s="334">
        <v>5</v>
      </c>
    </row>
    <row r="25" spans="1:6">
      <c r="A25" s="348" t="s">
        <v>15</v>
      </c>
      <c r="B25" s="334">
        <v>498</v>
      </c>
    </row>
    <row r="26" spans="1:6">
      <c r="A26" s="348" t="s">
        <v>16</v>
      </c>
      <c r="B26" s="334">
        <v>77</v>
      </c>
    </row>
    <row r="27" spans="1:6">
      <c r="A27" s="348" t="s">
        <v>17</v>
      </c>
      <c r="B27" s="334">
        <v>12</v>
      </c>
    </row>
    <row r="28" spans="1:6" s="356" customFormat="1">
      <c r="A28" s="355" t="s">
        <v>18</v>
      </c>
      <c r="B28" s="355">
        <v>371785</v>
      </c>
    </row>
    <row r="29" spans="1:6">
      <c r="A29" s="355" t="s">
        <v>744</v>
      </c>
      <c r="B29" s="355">
        <v>24</v>
      </c>
      <c r="C29" s="356"/>
      <c r="D29" s="356"/>
      <c r="E29" s="356"/>
      <c r="F29" s="356"/>
    </row>
    <row r="30" spans="1:6">
      <c r="A30" s="341" t="s">
        <v>745</v>
      </c>
      <c r="B30" s="341">
        <v>2</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3.0933090563999999</v>
      </c>
      <c r="E38" s="334">
        <v>2</v>
      </c>
      <c r="F38" s="334">
        <v>183428.41446207001</v>
      </c>
    </row>
    <row r="39" spans="1:6">
      <c r="A39" s="348" t="s">
        <v>30</v>
      </c>
      <c r="B39" s="348" t="s">
        <v>31</v>
      </c>
      <c r="C39" s="334">
        <v>1722</v>
      </c>
      <c r="D39" s="334">
        <v>25405049.4322806</v>
      </c>
      <c r="E39" s="334">
        <v>2975</v>
      </c>
      <c r="F39" s="334">
        <v>11289435.851473199</v>
      </c>
    </row>
    <row r="40" spans="1:6">
      <c r="A40" s="348" t="s">
        <v>30</v>
      </c>
      <c r="B40" s="348" t="s">
        <v>29</v>
      </c>
      <c r="C40" s="334">
        <v>0</v>
      </c>
      <c r="D40" s="334">
        <v>0</v>
      </c>
      <c r="E40" s="334">
        <v>0</v>
      </c>
      <c r="F40" s="334">
        <v>0</v>
      </c>
    </row>
    <row r="41" spans="1:6">
      <c r="A41" s="348" t="s">
        <v>32</v>
      </c>
      <c r="B41" s="348" t="s">
        <v>33</v>
      </c>
      <c r="C41" s="334">
        <v>30</v>
      </c>
      <c r="D41" s="334">
        <v>480393.19084968499</v>
      </c>
      <c r="E41" s="334">
        <v>123</v>
      </c>
      <c r="F41" s="334">
        <v>8384466.20222745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22</v>
      </c>
      <c r="F44" s="334">
        <v>413648.17785587802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26</v>
      </c>
      <c r="D48" s="334">
        <v>167447032.00327101</v>
      </c>
      <c r="E48" s="334">
        <v>37</v>
      </c>
      <c r="F48" s="334">
        <v>28301585.215553101</v>
      </c>
    </row>
    <row r="49" spans="1:6">
      <c r="A49" s="348" t="s">
        <v>32</v>
      </c>
      <c r="B49" s="348" t="s">
        <v>40</v>
      </c>
      <c r="C49" s="334">
        <v>0</v>
      </c>
      <c r="D49" s="334">
        <v>0</v>
      </c>
      <c r="E49" s="334">
        <v>4</v>
      </c>
      <c r="F49" s="334">
        <v>260286.97009031099</v>
      </c>
    </row>
    <row r="50" spans="1:6">
      <c r="A50" s="348" t="s">
        <v>32</v>
      </c>
      <c r="B50" s="348" t="s">
        <v>41</v>
      </c>
      <c r="C50" s="334">
        <v>0</v>
      </c>
      <c r="D50" s="334">
        <v>0</v>
      </c>
      <c r="E50" s="334">
        <v>8</v>
      </c>
      <c r="F50" s="334">
        <v>9632934.2287212703</v>
      </c>
    </row>
    <row r="51" spans="1:6">
      <c r="A51" s="348" t="s">
        <v>42</v>
      </c>
      <c r="B51" s="348" t="s">
        <v>43</v>
      </c>
      <c r="C51" s="334">
        <v>6</v>
      </c>
      <c r="D51" s="334">
        <v>30353101.823098298</v>
      </c>
      <c r="E51" s="334">
        <v>65</v>
      </c>
      <c r="F51" s="334">
        <v>1055413.85231039</v>
      </c>
    </row>
    <row r="52" spans="1:6">
      <c r="A52" s="348" t="s">
        <v>42</v>
      </c>
      <c r="B52" s="348" t="s">
        <v>29</v>
      </c>
      <c r="C52" s="334">
        <v>4</v>
      </c>
      <c r="D52" s="334">
        <v>84974.262118273997</v>
      </c>
      <c r="E52" s="334">
        <v>5</v>
      </c>
      <c r="F52" s="334">
        <v>88733.876883323494</v>
      </c>
    </row>
    <row r="53" spans="1:6">
      <c r="A53" s="348" t="s">
        <v>44</v>
      </c>
      <c r="B53" s="348" t="s">
        <v>45</v>
      </c>
      <c r="C53" s="334">
        <v>53</v>
      </c>
      <c r="D53" s="334">
        <v>576287.42364173406</v>
      </c>
      <c r="E53" s="334">
        <v>118</v>
      </c>
      <c r="F53" s="334">
        <v>878716.67002756905</v>
      </c>
    </row>
    <row r="54" spans="1:6">
      <c r="A54" s="348" t="s">
        <v>46</v>
      </c>
      <c r="B54" s="348" t="s">
        <v>47</v>
      </c>
      <c r="C54" s="334">
        <v>0</v>
      </c>
      <c r="D54" s="334">
        <v>0</v>
      </c>
      <c r="E54" s="334">
        <v>1</v>
      </c>
      <c r="F54" s="334">
        <v>573201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24</v>
      </c>
      <c r="D57" s="334">
        <v>731796.71174703899</v>
      </c>
      <c r="E57" s="334">
        <v>51</v>
      </c>
      <c r="F57" s="334">
        <v>759269.83587487205</v>
      </c>
    </row>
    <row r="58" spans="1:6">
      <c r="A58" s="348" t="s">
        <v>49</v>
      </c>
      <c r="B58" s="348" t="s">
        <v>51</v>
      </c>
      <c r="C58" s="334">
        <v>3</v>
      </c>
      <c r="D58" s="334">
        <v>65213.125742741599</v>
      </c>
      <c r="E58" s="334">
        <v>13</v>
      </c>
      <c r="F58" s="334">
        <v>63975.834915571701</v>
      </c>
    </row>
    <row r="59" spans="1:6">
      <c r="A59" s="348" t="s">
        <v>49</v>
      </c>
      <c r="B59" s="348" t="s">
        <v>52</v>
      </c>
      <c r="C59" s="334">
        <v>24</v>
      </c>
      <c r="D59" s="334">
        <v>886575.341851998</v>
      </c>
      <c r="E59" s="334">
        <v>108</v>
      </c>
      <c r="F59" s="334">
        <v>2066381.9600800099</v>
      </c>
    </row>
    <row r="60" spans="1:6">
      <c r="A60" s="348" t="s">
        <v>49</v>
      </c>
      <c r="B60" s="348" t="s">
        <v>53</v>
      </c>
      <c r="C60" s="334">
        <v>10</v>
      </c>
      <c r="D60" s="334">
        <v>334488.117359225</v>
      </c>
      <c r="E60" s="334">
        <v>17</v>
      </c>
      <c r="F60" s="334">
        <v>278038.85453746101</v>
      </c>
    </row>
    <row r="61" spans="1:6">
      <c r="A61" s="348" t="s">
        <v>49</v>
      </c>
      <c r="B61" s="348" t="s">
        <v>54</v>
      </c>
      <c r="C61" s="334">
        <v>50</v>
      </c>
      <c r="D61" s="334">
        <v>2354076.58665895</v>
      </c>
      <c r="E61" s="334">
        <v>108</v>
      </c>
      <c r="F61" s="334">
        <v>758570.13268518494</v>
      </c>
    </row>
    <row r="62" spans="1:6">
      <c r="A62" s="348" t="s">
        <v>49</v>
      </c>
      <c r="B62" s="348" t="s">
        <v>55</v>
      </c>
      <c r="C62" s="334">
        <v>4</v>
      </c>
      <c r="D62" s="334">
        <v>638766.20662681805</v>
      </c>
      <c r="E62" s="334">
        <v>6</v>
      </c>
      <c r="F62" s="334">
        <v>93172.930957658493</v>
      </c>
    </row>
    <row r="63" spans="1:6">
      <c r="A63" s="348" t="s">
        <v>49</v>
      </c>
      <c r="B63" s="348" t="s">
        <v>29</v>
      </c>
      <c r="C63" s="334">
        <v>78</v>
      </c>
      <c r="D63" s="334">
        <v>4179493.9210855202</v>
      </c>
      <c r="E63" s="334">
        <v>93</v>
      </c>
      <c r="F63" s="334">
        <v>3511486.3786454401</v>
      </c>
    </row>
    <row r="64" spans="1:6">
      <c r="A64" s="348" t="s">
        <v>56</v>
      </c>
      <c r="B64" s="348" t="s">
        <v>57</v>
      </c>
      <c r="C64" s="334">
        <v>0</v>
      </c>
      <c r="D64" s="334">
        <v>0</v>
      </c>
      <c r="E64" s="334">
        <v>0</v>
      </c>
      <c r="F64" s="334">
        <v>0</v>
      </c>
    </row>
    <row r="65" spans="1:6">
      <c r="A65" s="348" t="s">
        <v>56</v>
      </c>
      <c r="B65" s="348" t="s">
        <v>29</v>
      </c>
      <c r="C65" s="334">
        <v>4</v>
      </c>
      <c r="D65" s="334">
        <v>61911.801759210502</v>
      </c>
      <c r="E65" s="334">
        <v>4</v>
      </c>
      <c r="F65" s="334">
        <v>21164.186894931401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10</v>
      </c>
      <c r="F68" s="334">
        <v>331861.47485473898</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19493442</v>
      </c>
      <c r="E73" s="476">
        <v>20868257.322789233</v>
      </c>
    </row>
    <row r="74" spans="1:6">
      <c r="A74" s="348" t="s">
        <v>64</v>
      </c>
      <c r="B74" s="348" t="s">
        <v>657</v>
      </c>
      <c r="C74" s="1272" t="s">
        <v>659</v>
      </c>
      <c r="D74" s="476">
        <v>4574215.9658898935</v>
      </c>
      <c r="E74" s="476">
        <v>4588156.4927091571</v>
      </c>
    </row>
    <row r="75" spans="1:6">
      <c r="A75" s="348" t="s">
        <v>65</v>
      </c>
      <c r="B75" s="348" t="s">
        <v>656</v>
      </c>
      <c r="C75" s="1272" t="s">
        <v>660</v>
      </c>
      <c r="D75" s="476">
        <v>7342580</v>
      </c>
      <c r="E75" s="476">
        <v>8706077.0774223078</v>
      </c>
    </row>
    <row r="76" spans="1:6">
      <c r="A76" s="348" t="s">
        <v>65</v>
      </c>
      <c r="B76" s="348" t="s">
        <v>657</v>
      </c>
      <c r="C76" s="1272" t="s">
        <v>661</v>
      </c>
      <c r="D76" s="476">
        <v>1591006.9658898935</v>
      </c>
      <c r="E76" s="476">
        <v>1753252.3642434466</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45652.068220213223</v>
      </c>
      <c r="C83" s="476">
        <v>45613.860561736132</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1946.2252824788054</v>
      </c>
    </row>
    <row r="92" spans="1:6">
      <c r="A92" s="341" t="s">
        <v>69</v>
      </c>
      <c r="B92" s="342">
        <v>1403.0417517286912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824</v>
      </c>
    </row>
    <row r="98" spans="1:6">
      <c r="A98" s="348" t="s">
        <v>72</v>
      </c>
      <c r="B98" s="334">
        <v>0</v>
      </c>
    </row>
    <row r="99" spans="1:6">
      <c r="A99" s="348" t="s">
        <v>73</v>
      </c>
      <c r="B99" s="334">
        <v>50</v>
      </c>
    </row>
    <row r="100" spans="1:6">
      <c r="A100" s="348" t="s">
        <v>74</v>
      </c>
      <c r="B100" s="334">
        <v>270</v>
      </c>
    </row>
    <row r="101" spans="1:6">
      <c r="A101" s="348" t="s">
        <v>75</v>
      </c>
      <c r="B101" s="334">
        <v>66</v>
      </c>
    </row>
    <row r="102" spans="1:6">
      <c r="A102" s="348" t="s">
        <v>76</v>
      </c>
      <c r="B102" s="334">
        <v>62</v>
      </c>
    </row>
    <row r="103" spans="1:6">
      <c r="A103" s="348" t="s">
        <v>77</v>
      </c>
      <c r="B103" s="334">
        <v>87</v>
      </c>
    </row>
    <row r="104" spans="1:6">
      <c r="A104" s="348" t="s">
        <v>78</v>
      </c>
      <c r="B104" s="334">
        <v>1363</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16</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104</v>
      </c>
    </row>
    <row r="130" spans="1:6">
      <c r="A130" s="348" t="s">
        <v>295</v>
      </c>
      <c r="B130" s="334">
        <v>1</v>
      </c>
    </row>
    <row r="131" spans="1:6">
      <c r="A131" s="348" t="s">
        <v>296</v>
      </c>
      <c r="B131" s="334">
        <v>1</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69487.383965265108</v>
      </c>
      <c r="C3" s="43" t="s">
        <v>170</v>
      </c>
      <c r="D3" s="43"/>
      <c r="E3" s="154"/>
      <c r="F3" s="43"/>
      <c r="G3" s="43"/>
      <c r="H3" s="43"/>
      <c r="I3" s="43"/>
      <c r="J3" s="43"/>
      <c r="K3" s="96"/>
    </row>
    <row r="4" spans="1:11">
      <c r="A4" s="383" t="s">
        <v>171</v>
      </c>
      <c r="B4" s="49">
        <f>IF(ISERROR('SEAP template'!B69),0,'SEAP template'!B69)</f>
        <v>12349.267034207496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2138.8235294117653</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0.21250400473497177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3055.4621848739503</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12857.142857142857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573.20100000000002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573.20100000000002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0.21250400473497177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121.80750801809056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11289.435851473199</v>
      </c>
      <c r="C5" s="17">
        <f>IF(ISERROR('Eigen informatie GS &amp; warmtenet'!B57),0,'Eigen informatie GS &amp; warmtenet'!B57)</f>
        <v>0</v>
      </c>
      <c r="D5" s="30">
        <f>(SUM(HH_hh_gas_kWh,HH_rest_gas_kWh)/1000)*0.902</f>
        <v>22915.354587917103</v>
      </c>
      <c r="E5" s="17">
        <f>B46*B57</f>
        <v>2381.1885670624788</v>
      </c>
      <c r="F5" s="17">
        <f>B51*B62</f>
        <v>14362.821428700727</v>
      </c>
      <c r="G5" s="18"/>
      <c r="H5" s="17"/>
      <c r="I5" s="17"/>
      <c r="J5" s="17">
        <f>B50*B61+C50*C61</f>
        <v>0</v>
      </c>
      <c r="K5" s="17"/>
      <c r="L5" s="17"/>
      <c r="M5" s="17"/>
      <c r="N5" s="17">
        <f>B48*B59+C48*C59</f>
        <v>10711.749008234958</v>
      </c>
      <c r="O5" s="17">
        <f>B69*B70*B71</f>
        <v>189.16333333333336</v>
      </c>
      <c r="P5" s="17">
        <f>B77*B78*B79/1000-B77*B78*B79/1000/B80</f>
        <v>400.4</v>
      </c>
    </row>
    <row r="6" spans="1:16">
      <c r="A6" s="16" t="s">
        <v>621</v>
      </c>
      <c r="B6" s="843">
        <f>kWh_PV_kleiner_dan_10kW</f>
        <v>1946.2252824788054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13235.661133952004</v>
      </c>
      <c r="C8" s="21">
        <f>C5</f>
        <v>0</v>
      </c>
      <c r="D8" s="21">
        <f>D5</f>
        <v>22915.354587917103</v>
      </c>
      <c r="E8" s="21">
        <f>E5</f>
        <v>2381.1885670624788</v>
      </c>
      <c r="F8" s="21">
        <f>F5</f>
        <v>14362.821428700727</v>
      </c>
      <c r="G8" s="21"/>
      <c r="H8" s="21"/>
      <c r="I8" s="21"/>
      <c r="J8" s="21">
        <f>J5</f>
        <v>0</v>
      </c>
      <c r="K8" s="21"/>
      <c r="L8" s="21">
        <f>L5</f>
        <v>0</v>
      </c>
      <c r="M8" s="21">
        <f>M5</f>
        <v>0</v>
      </c>
      <c r="N8" s="21">
        <f>N5</f>
        <v>10711.749008234958</v>
      </c>
      <c r="O8" s="21">
        <f>O5</f>
        <v>189.16333333333336</v>
      </c>
      <c r="P8" s="21">
        <f>P5</f>
        <v>400.4</v>
      </c>
    </row>
    <row r="9" spans="1:16">
      <c r="B9" s="19"/>
      <c r="C9" s="19"/>
      <c r="D9" s="258"/>
      <c r="E9" s="19"/>
      <c r="F9" s="19"/>
      <c r="G9" s="19"/>
      <c r="H9" s="19"/>
      <c r="I9" s="19"/>
      <c r="J9" s="19"/>
      <c r="K9" s="19"/>
      <c r="L9" s="19"/>
      <c r="M9" s="19"/>
      <c r="N9" s="19"/>
      <c r="O9" s="19"/>
      <c r="P9" s="19"/>
    </row>
    <row r="10" spans="1:16">
      <c r="A10" s="24" t="s">
        <v>214</v>
      </c>
      <c r="B10" s="25">
        <f ca="1">'EF ele_warmte'!B12</f>
        <v>0.21250400473497177</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2812.6309962798186</v>
      </c>
      <c r="C12" s="23">
        <f ca="1">C10*C8</f>
        <v>0</v>
      </c>
      <c r="D12" s="23">
        <f>D8*D10</f>
        <v>4628.9016267592551</v>
      </c>
      <c r="E12" s="23">
        <f>E10*E8</f>
        <v>540.52980472318268</v>
      </c>
      <c r="F12" s="23">
        <f>F10*F8</f>
        <v>3834.8733214630943</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824</v>
      </c>
      <c r="C18" s="166" t="s">
        <v>111</v>
      </c>
      <c r="D18" s="228"/>
      <c r="E18" s="15"/>
    </row>
    <row r="19" spans="1:7">
      <c r="A19" s="171" t="s">
        <v>72</v>
      </c>
      <c r="B19" s="37">
        <f>aantalw2001_ander</f>
        <v>0</v>
      </c>
      <c r="C19" s="166" t="s">
        <v>111</v>
      </c>
      <c r="D19" s="229"/>
      <c r="E19" s="15"/>
    </row>
    <row r="20" spans="1:7">
      <c r="A20" s="171" t="s">
        <v>73</v>
      </c>
      <c r="B20" s="37">
        <f>aantalw2001_propaan</f>
        <v>50</v>
      </c>
      <c r="C20" s="167">
        <f>IF(ISERROR(B20/SUM($B$20,$B$21,$B$22)*100),0,B20/SUM($B$20,$B$21,$B$22)*100)</f>
        <v>12.953367875647666</v>
      </c>
      <c r="D20" s="229"/>
      <c r="E20" s="15"/>
    </row>
    <row r="21" spans="1:7">
      <c r="A21" s="171" t="s">
        <v>74</v>
      </c>
      <c r="B21" s="37">
        <f>aantalw2001_elektriciteit</f>
        <v>270</v>
      </c>
      <c r="C21" s="167">
        <f>IF(ISERROR(B21/SUM($B$20,$B$21,$B$22)*100),0,B21/SUM($B$20,$B$21,$B$22)*100)</f>
        <v>69.948186528497416</v>
      </c>
      <c r="D21" s="229"/>
      <c r="E21" s="15"/>
    </row>
    <row r="22" spans="1:7">
      <c r="A22" s="171" t="s">
        <v>75</v>
      </c>
      <c r="B22" s="37">
        <f>aantalw2001_hout</f>
        <v>66</v>
      </c>
      <c r="C22" s="167">
        <f>IF(ISERROR(B22/SUM($B$20,$B$21,$B$22)*100),0,B22/SUM($B$20,$B$21,$B$22)*100)</f>
        <v>17.098445595854923</v>
      </c>
      <c r="D22" s="229"/>
      <c r="E22" s="15"/>
    </row>
    <row r="23" spans="1:7">
      <c r="A23" s="171" t="s">
        <v>76</v>
      </c>
      <c r="B23" s="37">
        <f>aantalw2001_niet_gespec</f>
        <v>62</v>
      </c>
      <c r="C23" s="166" t="s">
        <v>111</v>
      </c>
      <c r="D23" s="228"/>
      <c r="E23" s="15"/>
    </row>
    <row r="24" spans="1:7">
      <c r="A24" s="171" t="s">
        <v>77</v>
      </c>
      <c r="B24" s="37">
        <f>aantalw2001_steenkool</f>
        <v>87</v>
      </c>
      <c r="C24" s="166" t="s">
        <v>111</v>
      </c>
      <c r="D24" s="229"/>
      <c r="E24" s="15"/>
    </row>
    <row r="25" spans="1:7">
      <c r="A25" s="171" t="s">
        <v>78</v>
      </c>
      <c r="B25" s="37">
        <f>aantalw2001_stookolie</f>
        <v>1363</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794</v>
      </c>
      <c r="B28" s="37">
        <f>aantalHuishoudens2011</f>
        <v>3166</v>
      </c>
      <c r="C28" s="36"/>
      <c r="D28" s="228"/>
    </row>
    <row r="29" spans="1:7" s="15" customFormat="1">
      <c r="A29" s="230" t="s">
        <v>795</v>
      </c>
      <c r="B29" s="37">
        <f>SUM(HH_hh_gas_aantal,HH_rest_gas_aantal)</f>
        <v>1722</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1722</v>
      </c>
      <c r="C32" s="167">
        <f>IF(ISERROR(B32/SUM($B$32,$B$34,$B$35,$B$36,$B$38,$B$39)*100),0,B32/SUM($B$32,$B$34,$B$35,$B$36,$B$38,$B$39)*100)</f>
        <v>54.753577106518279</v>
      </c>
      <c r="D32" s="233"/>
      <c r="G32" s="15"/>
    </row>
    <row r="33" spans="1:7">
      <c r="A33" s="171" t="s">
        <v>72</v>
      </c>
      <c r="B33" s="34" t="s">
        <v>111</v>
      </c>
      <c r="C33" s="167"/>
      <c r="D33" s="233"/>
      <c r="G33" s="15"/>
    </row>
    <row r="34" spans="1:7">
      <c r="A34" s="171" t="s">
        <v>73</v>
      </c>
      <c r="B34" s="33">
        <f>IF((($B$28-$B$32-$B$39-$B$77-$B$38)*C20/100)&lt;0,0,($B$28-$B$32-$B$39-$B$77-$B$38)*C20/100)</f>
        <v>112.46113989637304</v>
      </c>
      <c r="C34" s="167">
        <f>IF(ISERROR(B34/SUM($B$32,$B$34,$B$35,$B$36,$B$38,$B$39)*100),0,B34/SUM($B$32,$B$34,$B$35,$B$36,$B$38,$B$39)*100)</f>
        <v>3.5758709029053435</v>
      </c>
      <c r="D34" s="233"/>
      <c r="G34" s="15"/>
    </row>
    <row r="35" spans="1:7">
      <c r="A35" s="171" t="s">
        <v>74</v>
      </c>
      <c r="B35" s="33">
        <f>IF((($B$28-$B$32-$B$39-$B$77-$B$38)*C21/100)&lt;0,0,($B$28-$B$32-$B$39-$B$77-$B$38)*C21/100)</f>
        <v>607.29015544041465</v>
      </c>
      <c r="C35" s="167">
        <f>IF(ISERROR(B35/SUM($B$32,$B$34,$B$35,$B$36,$B$38,$B$39)*100),0,B35/SUM($B$32,$B$34,$B$35,$B$36,$B$38,$B$39)*100)</f>
        <v>19.30970287568886</v>
      </c>
      <c r="D35" s="233"/>
      <c r="G35" s="15"/>
    </row>
    <row r="36" spans="1:7">
      <c r="A36" s="171" t="s">
        <v>75</v>
      </c>
      <c r="B36" s="33">
        <f>IF((($B$28-$B$32-$B$39-$B$77-$B$38)*C22/100)&lt;0,0,($B$28-$B$32-$B$39-$B$77-$B$38)*C22/100)</f>
        <v>148.44870466321245</v>
      </c>
      <c r="C36" s="167">
        <f>IF(ISERROR(B36/SUM($B$32,$B$34,$B$35,$B$36,$B$38,$B$39)*100),0,B36/SUM($B$32,$B$34,$B$35,$B$36,$B$38,$B$39)*100)</f>
        <v>4.7201495918350549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554.79999999999995</v>
      </c>
      <c r="C39" s="167">
        <f>IF(ISERROR(B39/SUM($B$32,$B$34,$B$35,$B$36,$B$38,$B$39)*100),0,B39/SUM($B$32,$B$34,$B$35,$B$36,$B$38,$B$39)*100)</f>
        <v>17.640699523052465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1722</v>
      </c>
      <c r="C44" s="34" t="s">
        <v>111</v>
      </c>
      <c r="D44" s="174"/>
    </row>
    <row r="45" spans="1:7">
      <c r="A45" s="171" t="s">
        <v>72</v>
      </c>
      <c r="B45" s="33" t="str">
        <f t="shared" si="0"/>
        <v>-</v>
      </c>
      <c r="C45" s="34" t="s">
        <v>111</v>
      </c>
      <c r="D45" s="174"/>
    </row>
    <row r="46" spans="1:7">
      <c r="A46" s="171" t="s">
        <v>73</v>
      </c>
      <c r="B46" s="33">
        <f t="shared" si="0"/>
        <v>112.46113989637304</v>
      </c>
      <c r="C46" s="34" t="s">
        <v>111</v>
      </c>
      <c r="D46" s="174"/>
    </row>
    <row r="47" spans="1:7">
      <c r="A47" s="171" t="s">
        <v>74</v>
      </c>
      <c r="B47" s="33">
        <f t="shared" si="0"/>
        <v>607.29015544041465</v>
      </c>
      <c r="C47" s="34" t="s">
        <v>111</v>
      </c>
      <c r="D47" s="174"/>
    </row>
    <row r="48" spans="1:7">
      <c r="A48" s="171" t="s">
        <v>75</v>
      </c>
      <c r="B48" s="33">
        <f t="shared" si="0"/>
        <v>148.44870466321245</v>
      </c>
      <c r="C48" s="33">
        <f>B48*10</f>
        <v>1484.4870466321245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554.79999999999995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7530.8959276961978</v>
      </c>
      <c r="C5" s="17">
        <f>IF(ISERROR('Eigen informatie GS &amp; warmtenet'!B58),0,'Eigen informatie GS &amp; warmtenet'!B58)</f>
        <v>0</v>
      </c>
      <c r="D5" s="30">
        <f>SUM(D6:D12)</f>
        <v>8289.7498299872077</v>
      </c>
      <c r="E5" s="17">
        <f>SUM(E6:E12)</f>
        <v>124.85407683623026</v>
      </c>
      <c r="F5" s="17">
        <f>SUM(F6:F12)</f>
        <v>1378.9175261183191</v>
      </c>
      <c r="G5" s="18"/>
      <c r="H5" s="17"/>
      <c r="I5" s="17"/>
      <c r="J5" s="17">
        <f>SUM(J6:J12)</f>
        <v>2.4983924764846694E-2</v>
      </c>
      <c r="K5" s="17"/>
      <c r="L5" s="17"/>
      <c r="M5" s="17"/>
      <c r="N5" s="17">
        <f>SUM(N6:N12)</f>
        <v>989.69247469309516</v>
      </c>
      <c r="O5" s="17">
        <f>B38*B39*B40</f>
        <v>1.5633333333333335</v>
      </c>
      <c r="P5" s="17">
        <f>B46*B47*B48/1000-B46*B47*B48/1000/B49</f>
        <v>19.066666666666666</v>
      </c>
      <c r="R5" s="32"/>
    </row>
    <row r="6" spans="1:18">
      <c r="A6" s="32" t="s">
        <v>54</v>
      </c>
      <c r="B6" s="37">
        <f>B26</f>
        <v>758.57013268518494</v>
      </c>
      <c r="C6" s="33"/>
      <c r="D6" s="37">
        <f>IF(ISERROR(TER_kantoor_gas_kWh/1000),0,TER_kantoor_gas_kWh/1000)*0.902</f>
        <v>2123.377081166373</v>
      </c>
      <c r="E6" s="33">
        <f>$C$26*'E Balans VL '!I12/100/3.6*1000000</f>
        <v>4.7544652951971881E-3</v>
      </c>
      <c r="F6" s="33">
        <f>$C$26*('E Balans VL '!L12+'E Balans VL '!N12)/100/3.6*1000000</f>
        <v>113.99189447148888</v>
      </c>
      <c r="G6" s="34"/>
      <c r="H6" s="33"/>
      <c r="I6" s="33"/>
      <c r="J6" s="33">
        <f>$C$26*('E Balans VL '!D12+'E Balans VL '!E12)/100/3.6*1000000</f>
        <v>0</v>
      </c>
      <c r="K6" s="33"/>
      <c r="L6" s="33"/>
      <c r="M6" s="33"/>
      <c r="N6" s="33">
        <f>$C$26*'E Balans VL '!Y12/100/3.6*1000000</f>
        <v>0.7254598615482426</v>
      </c>
      <c r="O6" s="33"/>
      <c r="P6" s="33"/>
      <c r="R6" s="32"/>
    </row>
    <row r="7" spans="1:18">
      <c r="A7" s="32" t="s">
        <v>53</v>
      </c>
      <c r="B7" s="37">
        <f t="shared" ref="B7:B12" si="0">B27</f>
        <v>278.03885453746102</v>
      </c>
      <c r="C7" s="33"/>
      <c r="D7" s="37">
        <f>IF(ISERROR(TER_horeca_gas_kWh/1000),0,TER_horeca_gas_kWh/1000)*0.902</f>
        <v>301.70828185802094</v>
      </c>
      <c r="E7" s="33">
        <f>$C$27*'E Balans VL '!I9/100/3.6*1000000</f>
        <v>3.9814700845442315</v>
      </c>
      <c r="F7" s="33">
        <f>$C$27*('E Balans VL '!L9+'E Balans VL '!N9)/100/3.6*1000000</f>
        <v>35.208889059150266</v>
      </c>
      <c r="G7" s="34"/>
      <c r="H7" s="33"/>
      <c r="I7" s="33"/>
      <c r="J7" s="33">
        <f>$C$27*('E Balans VL '!D9+'E Balans VL '!E9)/100/3.6*1000000</f>
        <v>0</v>
      </c>
      <c r="K7" s="33"/>
      <c r="L7" s="33"/>
      <c r="M7" s="33"/>
      <c r="N7" s="33">
        <f>$C$27*'E Balans VL '!Y9/100/3.6*1000000</f>
        <v>7.9930040448994447E-2</v>
      </c>
      <c r="O7" s="33"/>
      <c r="P7" s="33"/>
      <c r="R7" s="32"/>
    </row>
    <row r="8" spans="1:18">
      <c r="A8" s="6" t="s">
        <v>52</v>
      </c>
      <c r="B8" s="37">
        <f t="shared" si="0"/>
        <v>2066.3819600800098</v>
      </c>
      <c r="C8" s="33"/>
      <c r="D8" s="37">
        <f>IF(ISERROR(TER_handel_gas_kWh/1000),0,TER_handel_gas_kWh/1000)*0.902</f>
        <v>799.69095835050223</v>
      </c>
      <c r="E8" s="33">
        <f>$C$28*'E Balans VL '!I13/100/3.6*1000000</f>
        <v>74.947418877294751</v>
      </c>
      <c r="F8" s="33">
        <f>$C$28*('E Balans VL '!L13+'E Balans VL '!N13)/100/3.6*1000000</f>
        <v>398.00608895902701</v>
      </c>
      <c r="G8" s="34"/>
      <c r="H8" s="33"/>
      <c r="I8" s="33"/>
      <c r="J8" s="33">
        <f>$C$28*('E Balans VL '!D13+'E Balans VL '!E13)/100/3.6*1000000</f>
        <v>0</v>
      </c>
      <c r="K8" s="33"/>
      <c r="L8" s="33"/>
      <c r="M8" s="33"/>
      <c r="N8" s="33">
        <f>$C$28*'E Balans VL '!Y13/100/3.6*1000000</f>
        <v>2.8624144679952468</v>
      </c>
      <c r="O8" s="33"/>
      <c r="P8" s="33"/>
      <c r="R8" s="32"/>
    </row>
    <row r="9" spans="1:18">
      <c r="A9" s="32" t="s">
        <v>51</v>
      </c>
      <c r="B9" s="37">
        <f t="shared" si="0"/>
        <v>63.975834915571703</v>
      </c>
      <c r="C9" s="33"/>
      <c r="D9" s="37">
        <f>IF(ISERROR(TER_gezond_gas_kWh/1000),0,TER_gezond_gas_kWh/1000)*0.902</f>
        <v>58.822239419952922</v>
      </c>
      <c r="E9" s="33">
        <f>$C$29*'E Balans VL '!I10/100/3.6*1000000</f>
        <v>4.0055189129709051E-3</v>
      </c>
      <c r="F9" s="33">
        <f>$C$29*('E Balans VL '!L10+'E Balans VL '!N10)/100/3.6*1000000</f>
        <v>9.5038050645748804</v>
      </c>
      <c r="G9" s="34"/>
      <c r="H9" s="33"/>
      <c r="I9" s="33"/>
      <c r="J9" s="33">
        <f>$C$29*('E Balans VL '!D10+'E Balans VL '!E10)/100/3.6*1000000</f>
        <v>0</v>
      </c>
      <c r="K9" s="33"/>
      <c r="L9" s="33"/>
      <c r="M9" s="33"/>
      <c r="N9" s="33">
        <f>$C$29*'E Balans VL '!Y10/100/3.6*1000000</f>
        <v>0.98958438761445144</v>
      </c>
      <c r="O9" s="33"/>
      <c r="P9" s="33"/>
      <c r="R9" s="32"/>
    </row>
    <row r="10" spans="1:18">
      <c r="A10" s="32" t="s">
        <v>50</v>
      </c>
      <c r="B10" s="37">
        <f t="shared" si="0"/>
        <v>759.269835874872</v>
      </c>
      <c r="C10" s="33"/>
      <c r="D10" s="37">
        <f>IF(ISERROR(TER_ander_gas_kWh/1000),0,TER_ander_gas_kWh/1000)*0.902</f>
        <v>660.0806339958292</v>
      </c>
      <c r="E10" s="33">
        <f>$C$30*'E Balans VL '!I14/100/3.6*1000000</f>
        <v>0.90502251264336819</v>
      </c>
      <c r="F10" s="33">
        <f>$C$30*('E Balans VL '!L14+'E Balans VL '!N14)/100/3.6*1000000</f>
        <v>198.65874355058611</v>
      </c>
      <c r="G10" s="34"/>
      <c r="H10" s="33"/>
      <c r="I10" s="33"/>
      <c r="J10" s="33">
        <f>$C$30*('E Balans VL '!D14+'E Balans VL '!E14)/100/3.6*1000000</f>
        <v>1.6480771881267092E-2</v>
      </c>
      <c r="K10" s="33"/>
      <c r="L10" s="33"/>
      <c r="M10" s="33"/>
      <c r="N10" s="33">
        <f>$C$30*'E Balans VL '!Y14/100/3.6*1000000</f>
        <v>644.75336555357649</v>
      </c>
      <c r="O10" s="33"/>
      <c r="P10" s="33"/>
      <c r="R10" s="32"/>
    </row>
    <row r="11" spans="1:18">
      <c r="A11" s="32" t="s">
        <v>55</v>
      </c>
      <c r="B11" s="37">
        <f t="shared" si="0"/>
        <v>93.172930957658494</v>
      </c>
      <c r="C11" s="33"/>
      <c r="D11" s="37">
        <f>IF(ISERROR(TER_onderwijs_gas_kWh/1000),0,TER_onderwijs_gas_kWh/1000)*0.902</f>
        <v>576.1671183773899</v>
      </c>
      <c r="E11" s="33">
        <f>$C$31*'E Balans VL '!I11/100/3.6*1000000</f>
        <v>1.4058294588757181</v>
      </c>
      <c r="F11" s="33">
        <f>$C$31*('E Balans VL '!L11+'E Balans VL '!N11)/100/3.6*1000000</f>
        <v>16.325385985635652</v>
      </c>
      <c r="G11" s="34"/>
      <c r="H11" s="33"/>
      <c r="I11" s="33"/>
      <c r="J11" s="33">
        <f>$C$31*('E Balans VL '!D11+'E Balans VL '!E11)/100/3.6*1000000</f>
        <v>0</v>
      </c>
      <c r="K11" s="33"/>
      <c r="L11" s="33"/>
      <c r="M11" s="33"/>
      <c r="N11" s="33">
        <f>$C$31*'E Balans VL '!Y11/100/3.6*1000000</f>
        <v>0.26219571099080685</v>
      </c>
      <c r="O11" s="33"/>
      <c r="P11" s="33"/>
      <c r="R11" s="32"/>
    </row>
    <row r="12" spans="1:18">
      <c r="A12" s="32" t="s">
        <v>260</v>
      </c>
      <c r="B12" s="37">
        <f t="shared" si="0"/>
        <v>3511.4863786454403</v>
      </c>
      <c r="C12" s="33"/>
      <c r="D12" s="37">
        <f>IF(ISERROR(TER_rest_gas_kWh/1000),0,TER_rest_gas_kWh/1000)*0.902</f>
        <v>3769.903516819139</v>
      </c>
      <c r="E12" s="33">
        <f>$C$32*'E Balans VL '!I8/100/3.6*1000000</f>
        <v>43.605575918664009</v>
      </c>
      <c r="F12" s="33">
        <f>$C$32*('E Balans VL '!L8+'E Balans VL '!N8)/100/3.6*1000000</f>
        <v>607.22271902785621</v>
      </c>
      <c r="G12" s="34"/>
      <c r="H12" s="33"/>
      <c r="I12" s="33"/>
      <c r="J12" s="33">
        <f>$C$32*('E Balans VL '!D8+'E Balans VL '!E8)/100/3.6*1000000</f>
        <v>8.5031528835796018E-3</v>
      </c>
      <c r="K12" s="33"/>
      <c r="L12" s="33"/>
      <c r="M12" s="33"/>
      <c r="N12" s="33">
        <f>$C$32*'E Balans VL '!Y8/100/3.6*1000000</f>
        <v>340.01952467092104</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7530.8959276961978</v>
      </c>
      <c r="C16" s="21">
        <f t="shared" ca="1" si="1"/>
        <v>0</v>
      </c>
      <c r="D16" s="21">
        <f t="shared" ca="1" si="1"/>
        <v>8289.7498299872077</v>
      </c>
      <c r="E16" s="21">
        <f t="shared" si="1"/>
        <v>124.85407683623026</v>
      </c>
      <c r="F16" s="21">
        <f t="shared" ca="1" si="1"/>
        <v>1378.9175261183191</v>
      </c>
      <c r="G16" s="21">
        <f t="shared" si="1"/>
        <v>0</v>
      </c>
      <c r="H16" s="21">
        <f t="shared" si="1"/>
        <v>0</v>
      </c>
      <c r="I16" s="21">
        <f t="shared" si="1"/>
        <v>0</v>
      </c>
      <c r="J16" s="21">
        <f t="shared" si="1"/>
        <v>2.4983924764846694E-2</v>
      </c>
      <c r="K16" s="21">
        <f t="shared" si="1"/>
        <v>0</v>
      </c>
      <c r="L16" s="21">
        <f t="shared" ca="1" si="1"/>
        <v>0</v>
      </c>
      <c r="M16" s="21">
        <f t="shared" si="1"/>
        <v>0</v>
      </c>
      <c r="N16" s="21">
        <f t="shared" ca="1" si="1"/>
        <v>989.69247469309516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0.21250400473497177</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1600.3455438777326</v>
      </c>
      <c r="C20" s="23">
        <f t="shared" ref="C20:P20" ca="1" si="2">C16*C18</f>
        <v>0</v>
      </c>
      <c r="D20" s="23">
        <f t="shared" ca="1" si="2"/>
        <v>1674.529465657416</v>
      </c>
      <c r="E20" s="23">
        <f t="shared" si="2"/>
        <v>28.341875441824271</v>
      </c>
      <c r="F20" s="23">
        <f t="shared" ca="1" si="2"/>
        <v>368.17097947359122</v>
      </c>
      <c r="G20" s="23">
        <f t="shared" si="2"/>
        <v>0</v>
      </c>
      <c r="H20" s="23">
        <f t="shared" si="2"/>
        <v>0</v>
      </c>
      <c r="I20" s="23">
        <f t="shared" si="2"/>
        <v>0</v>
      </c>
      <c r="J20" s="23">
        <f t="shared" si="2"/>
        <v>8.8443093667557298E-3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758.57013268518494</v>
      </c>
      <c r="C26" s="39">
        <f>IF(ISERROR(B26*3.6/1000000/'E Balans VL '!Z12*100),0,B26*3.6/1000000/'E Balans VL '!Z12*100)</f>
        <v>1.6034970932809485E-2</v>
      </c>
      <c r="D26" s="237" t="s">
        <v>754</v>
      </c>
      <c r="F26" s="6"/>
    </row>
    <row r="27" spans="1:18">
      <c r="A27" s="231" t="s">
        <v>53</v>
      </c>
      <c r="B27" s="33">
        <f>IF(ISERROR(TER_horeca_ele_kWh/1000),0,TER_horeca_ele_kWh/1000)</f>
        <v>278.03885453746102</v>
      </c>
      <c r="C27" s="39">
        <f>IF(ISERROR(B27*3.6/1000000/'E Balans VL '!Z9*100),0,B27*3.6/1000000/'E Balans VL '!Z9*100)</f>
        <v>2.1917699272816445E-2</v>
      </c>
      <c r="D27" s="237" t="s">
        <v>754</v>
      </c>
      <c r="F27" s="6"/>
    </row>
    <row r="28" spans="1:18">
      <c r="A28" s="171" t="s">
        <v>52</v>
      </c>
      <c r="B28" s="33">
        <f>IF(ISERROR(TER_handel_ele_kWh/1000),0,TER_handel_ele_kWh/1000)</f>
        <v>2066.3819600800098</v>
      </c>
      <c r="C28" s="39">
        <f>IF(ISERROR(B28*3.6/1000000/'E Balans VL '!Z13*100),0,B28*3.6/1000000/'E Balans VL '!Z13*100)</f>
        <v>5.9974753600210325E-2</v>
      </c>
      <c r="D28" s="237" t="s">
        <v>754</v>
      </c>
      <c r="F28" s="6"/>
    </row>
    <row r="29" spans="1:18">
      <c r="A29" s="231" t="s">
        <v>51</v>
      </c>
      <c r="B29" s="33">
        <f>IF(ISERROR(TER_gezond_ele_kWh/1000),0,TER_gezond_ele_kWh/1000)</f>
        <v>63.975834915571703</v>
      </c>
      <c r="C29" s="39">
        <f>IF(ISERROR(B29*3.6/1000000/'E Balans VL '!Z10*100),0,B29*3.6/1000000/'E Balans VL '!Z10*100)</f>
        <v>6.7377059275484426E-3</v>
      </c>
      <c r="D29" s="237" t="s">
        <v>754</v>
      </c>
      <c r="F29" s="6"/>
    </row>
    <row r="30" spans="1:18">
      <c r="A30" s="231" t="s">
        <v>50</v>
      </c>
      <c r="B30" s="33">
        <f>IF(ISERROR(TER_ander_ele_kWh/1000),0,TER_ander_ele_kWh/1000)</f>
        <v>759.269835874872</v>
      </c>
      <c r="C30" s="39">
        <f>IF(ISERROR(B30*3.6/1000000/'E Balans VL '!Z14*100),0,B30*3.6/1000000/'E Balans VL '!Z14*100)</f>
        <v>5.6003908006718575E-2</v>
      </c>
      <c r="D30" s="237" t="s">
        <v>754</v>
      </c>
      <c r="F30" s="6"/>
    </row>
    <row r="31" spans="1:18">
      <c r="A31" s="231" t="s">
        <v>55</v>
      </c>
      <c r="B31" s="33">
        <f>IF(ISERROR(TER_onderwijs_ele_kWh/1000),0,TER_onderwijs_ele_kWh/1000)</f>
        <v>93.172930957658494</v>
      </c>
      <c r="C31" s="39">
        <f>IF(ISERROR(B31*3.6/1000000/'E Balans VL '!Z11*100),0,B31*3.6/1000000/'E Balans VL '!Z11*100)</f>
        <v>2.3139203233905708E-2</v>
      </c>
      <c r="D31" s="237" t="s">
        <v>754</v>
      </c>
    </row>
    <row r="32" spans="1:18">
      <c r="A32" s="231" t="s">
        <v>260</v>
      </c>
      <c r="B32" s="33">
        <f>IF(ISERROR(TER_rest_ele_kWh/1000),0,TER_rest_ele_kWh/1000)</f>
        <v>3511.4863786454403</v>
      </c>
      <c r="C32" s="39">
        <f>IF(ISERROR(B32*3.6/1000000/'E Balans VL '!Z8*100),0,B32*3.6/1000000/'E Balans VL '!Z8*100)</f>
        <v>2.8894871871889747E-2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46992.920794448015</v>
      </c>
      <c r="C5" s="17">
        <f>IF(ISERROR('Eigen informatie GS &amp; warmtenet'!B59),0,'Eigen informatie GS &amp; warmtenet'!B59)</f>
        <v>0</v>
      </c>
      <c r="D5" s="30">
        <f>SUM(D6:D15)</f>
        <v>151470.53752509688</v>
      </c>
      <c r="E5" s="17">
        <f>SUM(E6:E15)</f>
        <v>4038.5961112204168</v>
      </c>
      <c r="F5" s="17">
        <f>SUM(F6:F15)</f>
        <v>13020.804544840883</v>
      </c>
      <c r="G5" s="18"/>
      <c r="H5" s="17"/>
      <c r="I5" s="17"/>
      <c r="J5" s="17">
        <f>SUM(J6:J15)</f>
        <v>101.31913689927048</v>
      </c>
      <c r="K5" s="17"/>
      <c r="L5" s="17"/>
      <c r="M5" s="17"/>
      <c r="N5" s="17">
        <f>SUM(N6:N15)</f>
        <v>9803.8720231823681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413.64817785587803</v>
      </c>
      <c r="C8" s="33"/>
      <c r="D8" s="37">
        <f>IF( ISERROR(IND_metaal_Gas_kWH/1000),0,IND_metaal_Gas_kWH/1000)*0.902</f>
        <v>0</v>
      </c>
      <c r="E8" s="33">
        <f>C30*'E Balans VL '!I18/100/3.6*1000000</f>
        <v>3.8030954901753189</v>
      </c>
      <c r="F8" s="33">
        <f>C30*'E Balans VL '!L18/100/3.6*1000000+C30*'E Balans VL '!N18/100/3.6*1000000</f>
        <v>38.786427341001691</v>
      </c>
      <c r="G8" s="34"/>
      <c r="H8" s="33"/>
      <c r="I8" s="33"/>
      <c r="J8" s="40">
        <f>C30*'E Balans VL '!D18/100/3.6*1000000+C30*'E Balans VL '!E18/100/3.6*1000000</f>
        <v>0</v>
      </c>
      <c r="K8" s="33"/>
      <c r="L8" s="33"/>
      <c r="M8" s="33"/>
      <c r="N8" s="33">
        <f>C30*'E Balans VL '!Y18/100/3.6*1000000</f>
        <v>5.9013748395143777</v>
      </c>
      <c r="O8" s="33"/>
      <c r="P8" s="33"/>
      <c r="R8" s="32"/>
    </row>
    <row r="9" spans="1:18">
      <c r="A9" s="6" t="s">
        <v>33</v>
      </c>
      <c r="B9" s="37">
        <f t="shared" si="0"/>
        <v>8384.4662022274497</v>
      </c>
      <c r="C9" s="33"/>
      <c r="D9" s="37">
        <f>IF( ISERROR(IND_andere_gas_kWh/1000),0,IND_andere_gas_kWh/1000)*0.902</f>
        <v>433.31465814641587</v>
      </c>
      <c r="E9" s="33">
        <f>C31*'E Balans VL '!I19/100/3.6*1000000</f>
        <v>2450.9426972156098</v>
      </c>
      <c r="F9" s="33">
        <f>C31*'E Balans VL '!L19/100/3.6*1000000+C31*'E Balans VL '!N19/100/3.6*1000000</f>
        <v>6737.5532392662517</v>
      </c>
      <c r="G9" s="34"/>
      <c r="H9" s="33"/>
      <c r="I9" s="33"/>
      <c r="J9" s="40">
        <f>C31*'E Balans VL '!D19/100/3.6*1000000+C31*'E Balans VL '!E19/100/3.6*1000000</f>
        <v>0</v>
      </c>
      <c r="K9" s="33"/>
      <c r="L9" s="33"/>
      <c r="M9" s="33"/>
      <c r="N9" s="33">
        <f>C31*'E Balans VL '!Y19/100/3.6*1000000</f>
        <v>2770.3576670673378</v>
      </c>
      <c r="O9" s="33"/>
      <c r="P9" s="33"/>
      <c r="R9" s="32"/>
    </row>
    <row r="10" spans="1:18">
      <c r="A10" s="6" t="s">
        <v>41</v>
      </c>
      <c r="B10" s="37">
        <f t="shared" si="0"/>
        <v>9632.9342287212712</v>
      </c>
      <c r="C10" s="33"/>
      <c r="D10" s="37">
        <f>IF( ISERROR(IND_voed_gas_kWh/1000),0,IND_voed_gas_kWh/1000)*0.902</f>
        <v>0</v>
      </c>
      <c r="E10" s="33">
        <f>C32*'E Balans VL '!I20/100/3.6*1000000</f>
        <v>20.378621721274072</v>
      </c>
      <c r="F10" s="33">
        <f>C32*'E Balans VL '!L20/100/3.6*1000000+C32*'E Balans VL '!N20/100/3.6*1000000</f>
        <v>612.47179801586685</v>
      </c>
      <c r="G10" s="34"/>
      <c r="H10" s="33"/>
      <c r="I10" s="33"/>
      <c r="J10" s="40">
        <f>C32*'E Balans VL '!D20/100/3.6*1000000+C32*'E Balans VL '!E20/100/3.6*1000000</f>
        <v>0</v>
      </c>
      <c r="K10" s="33"/>
      <c r="L10" s="33"/>
      <c r="M10" s="33"/>
      <c r="N10" s="33">
        <f>C32*'E Balans VL '!Y20/100/3.6*1000000</f>
        <v>664.76752189949104</v>
      </c>
      <c r="O10" s="33"/>
      <c r="P10" s="33"/>
      <c r="R10" s="32"/>
    </row>
    <row r="11" spans="1:18">
      <c r="A11" s="6" t="s">
        <v>40</v>
      </c>
      <c r="B11" s="37">
        <f t="shared" si="0"/>
        <v>260.286970090311</v>
      </c>
      <c r="C11" s="33"/>
      <c r="D11" s="37">
        <f>IF( ISERROR(IND_textiel_gas_kWh/1000),0,IND_textiel_gas_kWh/1000)*0.902</f>
        <v>0</v>
      </c>
      <c r="E11" s="33">
        <f>C33*'E Balans VL '!I21/100/3.6*1000000</f>
        <v>0.77302986011727637</v>
      </c>
      <c r="F11" s="33">
        <f>C33*'E Balans VL '!L21/100/3.6*1000000+C33*'E Balans VL '!N21/100/3.6*1000000</f>
        <v>26.296129927951092</v>
      </c>
      <c r="G11" s="34"/>
      <c r="H11" s="33"/>
      <c r="I11" s="33"/>
      <c r="J11" s="40">
        <f>C33*'E Balans VL '!D21/100/3.6*1000000+C33*'E Balans VL '!E21/100/3.6*1000000</f>
        <v>0</v>
      </c>
      <c r="K11" s="33"/>
      <c r="L11" s="33"/>
      <c r="M11" s="33"/>
      <c r="N11" s="33">
        <f>C33*'E Balans VL '!Y21/100/3.6*1000000</f>
        <v>14.355657068409199</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28301.585215553103</v>
      </c>
      <c r="C15" s="33"/>
      <c r="D15" s="37">
        <f>IF( ISERROR(IND_rest_gas_kWh/1000),0,IND_rest_gas_kWh/1000)*0.902</f>
        <v>151037.22286695047</v>
      </c>
      <c r="E15" s="33">
        <f>C37*'E Balans VL '!I15/100/3.6*1000000</f>
        <v>1562.6986669332405</v>
      </c>
      <c r="F15" s="33">
        <f>C37*'E Balans VL '!L15/100/3.6*1000000+C37*'E Balans VL '!N15/100/3.6*1000000</f>
        <v>5605.6969502898119</v>
      </c>
      <c r="G15" s="34"/>
      <c r="H15" s="33"/>
      <c r="I15" s="33"/>
      <c r="J15" s="40">
        <f>C37*'E Balans VL '!D15/100/3.6*1000000+C37*'E Balans VL '!E15/100/3.6*1000000</f>
        <v>101.31913689927048</v>
      </c>
      <c r="K15" s="33"/>
      <c r="L15" s="33"/>
      <c r="M15" s="33"/>
      <c r="N15" s="33">
        <f>C37*'E Balans VL '!Y15/100/3.6*1000000</f>
        <v>6348.4898023076166</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46992.920794448015</v>
      </c>
      <c r="C18" s="21">
        <f>C5+C16</f>
        <v>0</v>
      </c>
      <c r="D18" s="21">
        <f>MAX((D5+D16),0)</f>
        <v>151470.53752509688</v>
      </c>
      <c r="E18" s="21">
        <f>MAX((E5+E16),0)</f>
        <v>4038.5961112204168</v>
      </c>
      <c r="F18" s="21">
        <f>MAX((F5+F16),0)</f>
        <v>13020.804544840883</v>
      </c>
      <c r="G18" s="21"/>
      <c r="H18" s="21"/>
      <c r="I18" s="21"/>
      <c r="J18" s="21">
        <f>MAX((J5+J16),0)</f>
        <v>101.31913689927048</v>
      </c>
      <c r="K18" s="21"/>
      <c r="L18" s="21">
        <f>MAX((L5+L16),0)</f>
        <v>0</v>
      </c>
      <c r="M18" s="21"/>
      <c r="N18" s="21">
        <f>MAX((N5+N16),0)</f>
        <v>9803.8720231823681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0.21250400473497177</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9986.1838630135353</v>
      </c>
      <c r="C22" s="23">
        <f ca="1">C18*C20</f>
        <v>0</v>
      </c>
      <c r="D22" s="23">
        <f>D18*D20</f>
        <v>30597.048580069571</v>
      </c>
      <c r="E22" s="23">
        <f>E18*E20</f>
        <v>916.76131724703464</v>
      </c>
      <c r="F22" s="23">
        <f>F18*F20</f>
        <v>3476.5548134725159</v>
      </c>
      <c r="G22" s="23"/>
      <c r="H22" s="23"/>
      <c r="I22" s="23"/>
      <c r="J22" s="23">
        <f>J18*J20</f>
        <v>35.866974462341744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413.64817785587803</v>
      </c>
      <c r="C30" s="39">
        <f>IF(ISERROR(B30*3.6/1000000/'E Balans VL '!Z18*100),0,B30*3.6/1000000/'E Balans VL '!Z18*100)</f>
        <v>2.3442502902393143E-2</v>
      </c>
      <c r="D30" s="237" t="s">
        <v>754</v>
      </c>
    </row>
    <row r="31" spans="1:18">
      <c r="A31" s="6" t="s">
        <v>33</v>
      </c>
      <c r="B31" s="37">
        <f>IF( ISERROR(IND_ander_ele_kWh/1000),0,IND_ander_ele_kWh/1000)</f>
        <v>8384.4662022274497</v>
      </c>
      <c r="C31" s="39">
        <f>IF(ISERROR(B31*3.6/1000000/'E Balans VL '!Z19*100),0,B31*3.6/1000000/'E Balans VL '!Z19*100)</f>
        <v>0.38028447462340909</v>
      </c>
      <c r="D31" s="237" t="s">
        <v>754</v>
      </c>
    </row>
    <row r="32" spans="1:18">
      <c r="A32" s="171" t="s">
        <v>41</v>
      </c>
      <c r="B32" s="37">
        <f>IF( ISERROR(IND_voed_ele_kWh/1000),0,IND_voed_ele_kWh/1000)</f>
        <v>9632.9342287212712</v>
      </c>
      <c r="C32" s="39">
        <f>IF(ISERROR(B32*3.6/1000000/'E Balans VL '!Z20*100),0,B32*3.6/1000000/'E Balans VL '!Z20*100)</f>
        <v>0.29799038552339763</v>
      </c>
      <c r="D32" s="237" t="s">
        <v>754</v>
      </c>
    </row>
    <row r="33" spans="1:5">
      <c r="A33" s="171" t="s">
        <v>40</v>
      </c>
      <c r="B33" s="37">
        <f>IF( ISERROR(IND_textiel_ele_kWh/1000),0,IND_textiel_ele_kWh/1000)</f>
        <v>260.286970090311</v>
      </c>
      <c r="C33" s="39">
        <f>IF(ISERROR(B33*3.6/1000000/'E Balans VL '!Z21*100),0,B33*3.6/1000000/'E Balans VL '!Z21*100)</f>
        <v>3.3938527662779973E-2</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28301.585215553103</v>
      </c>
      <c r="C37" s="39">
        <f>IF(ISERROR(B37*3.6/1000000/'E Balans VL '!Z15*100),0,B37*3.6/1000000/'E Balans VL '!Z15*100)</f>
        <v>0.22432482048552307</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1144.1477291937135</v>
      </c>
      <c r="C5" s="17">
        <f>'Eigen informatie GS &amp; warmtenet'!B60</f>
        <v>0</v>
      </c>
      <c r="D5" s="30">
        <f>IF(ISERROR(SUM(LB_lb_gas_kWh,LB_rest_gas_kWh,onbekend_gas_kWh)/1000),0,SUM(LB_lb_gas_kWh,LB_rest_gas_kWh,onbekend_gas_kWh)/1000)*0.902</f>
        <v>27974.955884990191</v>
      </c>
      <c r="E5" s="17">
        <f>B17*'E Balans VL '!I25/3.6*1000000/100</f>
        <v>33.629996391523683</v>
      </c>
      <c r="F5" s="17">
        <f>B17*('E Balans VL '!L25/3.6*1000000+'E Balans VL '!N25/3.6*1000000)/100</f>
        <v>4766.457613322852</v>
      </c>
      <c r="G5" s="18"/>
      <c r="H5" s="17"/>
      <c r="I5" s="17"/>
      <c r="J5" s="17">
        <f>('E Balans VL '!D25+'E Balans VL '!E25)/3.6*1000000*landbouw!B17/100</f>
        <v>165.76243510642482</v>
      </c>
      <c r="K5" s="17"/>
      <c r="L5" s="17">
        <f>L6*(-1)</f>
        <v>0</v>
      </c>
      <c r="M5" s="17"/>
      <c r="N5" s="17">
        <f>N6*(-1)</f>
        <v>0</v>
      </c>
      <c r="O5" s="17"/>
      <c r="P5" s="17"/>
      <c r="R5" s="32"/>
    </row>
    <row r="6" spans="1:18">
      <c r="A6" s="16" t="s">
        <v>488</v>
      </c>
      <c r="B6" s="17" t="s">
        <v>211</v>
      </c>
      <c r="C6" s="17">
        <f>'lokale energieproductie'!O91+'lokale energieproductie'!O60</f>
        <v>12857.142857142857</v>
      </c>
      <c r="D6" s="310">
        <f>('lokale energieproductie'!P60+'lokale energieproductie'!P91)*(-1)</f>
        <v>-25714.285714285717</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1144.1477291937135</v>
      </c>
      <c r="C8" s="21">
        <f>C5+C6</f>
        <v>12857.142857142857</v>
      </c>
      <c r="D8" s="21">
        <f>MAX((D5+D6),0)</f>
        <v>2260.670170704474</v>
      </c>
      <c r="E8" s="21">
        <f>MAX((E5+E6),0)</f>
        <v>33.629996391523683</v>
      </c>
      <c r="F8" s="21">
        <f>MAX((F5+F6),0)</f>
        <v>4766.457613322852</v>
      </c>
      <c r="G8" s="21"/>
      <c r="H8" s="21"/>
      <c r="I8" s="21"/>
      <c r="J8" s="21">
        <f>MAX((J5+J6),0)</f>
        <v>165.76243510642482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0.21250400473497177</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243.13597446208811</v>
      </c>
      <c r="C12" s="23">
        <f ca="1">C8*C10</f>
        <v>3055.4621848739503</v>
      </c>
      <c r="D12" s="23">
        <f>D8*D10</f>
        <v>456.65537448230378</v>
      </c>
      <c r="E12" s="23">
        <f>E8*E10</f>
        <v>7.6340091808758759</v>
      </c>
      <c r="F12" s="23">
        <f>F8*F10</f>
        <v>1272.6441827572016</v>
      </c>
      <c r="G12" s="23"/>
      <c r="H12" s="23"/>
      <c r="I12" s="23"/>
      <c r="J12" s="23">
        <f>J8*J10</f>
        <v>58.67990202767438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0.16235815242661497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234.74388672102015</v>
      </c>
      <c r="C26" s="247">
        <f>B26*'GWP N2O_CH4'!B5</f>
        <v>4929.621621141423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125.13545733423412</v>
      </c>
      <c r="C27" s="247">
        <f>B27*'GWP N2O_CH4'!B5</f>
        <v>2627.8446040189165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3.4803043048182443</v>
      </c>
      <c r="C28" s="247">
        <f>B28*'GWP N2O_CH4'!B4</f>
        <v>1078.8943344936558</v>
      </c>
      <c r="D28" s="50"/>
    </row>
    <row r="29" spans="1:4">
      <c r="A29" s="41" t="s">
        <v>277</v>
      </c>
      <c r="B29" s="247">
        <f>B34*'ha_N2O bodem landbouw'!B4</f>
        <v>6.2129390684625827</v>
      </c>
      <c r="C29" s="247">
        <f>B29*'GWP N2O_CH4'!B4</f>
        <v>1926.0111112234006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1.4177712846826301E-3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3.8006567910623877E-5</v>
      </c>
      <c r="C5" s="463" t="s">
        <v>211</v>
      </c>
      <c r="D5" s="448">
        <f>SUM(D6:D11)</f>
        <v>1.3826472906357473E-4</v>
      </c>
      <c r="E5" s="448">
        <f>SUM(E6:E11)</f>
        <v>1.832916021581795E-4</v>
      </c>
      <c r="F5" s="461" t="s">
        <v>211</v>
      </c>
      <c r="G5" s="448">
        <f>SUM(G6:G11)</f>
        <v>0.1082239401557023</v>
      </c>
      <c r="H5" s="448">
        <f>SUM(H6:H11)</f>
        <v>1.5563878256235021E-2</v>
      </c>
      <c r="I5" s="463" t="s">
        <v>211</v>
      </c>
      <c r="J5" s="463" t="s">
        <v>211</v>
      </c>
      <c r="K5" s="463" t="s">
        <v>211</v>
      </c>
      <c r="L5" s="463" t="s">
        <v>211</v>
      </c>
      <c r="M5" s="448">
        <f>SUM(M6:M11)</f>
        <v>6.7850525204458129E-3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2.7607624825497899E-5</v>
      </c>
      <c r="C6" s="449"/>
      <c r="D6" s="962">
        <f>vkm_2011_GW_PW*SUMIFS(TableVerdeelsleutelVkm[CNG],TableVerdeelsleutelVkm[Voertuigtype],"Lichte voertuigen")*SUMIFS(TableECFTransport[EnergieConsumptieFactor (PJ per km)],TableECFTransport[Index],CONCATENATE($A6,"_CNG_CNG"))</f>
        <v>8.2807029141151198E-5</v>
      </c>
      <c r="E6" s="962">
        <f>vkm_2011_GW_PW*SUMIFS(TableVerdeelsleutelVkm[LPG],TableVerdeelsleutelVkm[Voertuigtype],"Lichte voertuigen")*SUMIFS(TableECFTransport[EnergieConsumptieFactor (PJ per km)],TableECFTransport[Index],CONCATENATE($A6,"_LPG_LPG"))</f>
        <v>1.1312629645035379E-4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2.9249274472031104E-2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9.4166994144927133E-3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1.988361332604785E-3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4.2924667161123815E-2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1.3080278093652632E-5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2.5083750175126456E-3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1.039894308512598E-5</v>
      </c>
      <c r="C8" s="449"/>
      <c r="D8" s="451">
        <f>vkm_2011_NGW_PW*SUMIFS(TableVerdeelsleutelVkm[CNG],TableVerdeelsleutelVkm[Voertuigtype],"Lichte voertuigen")*SUMIFS(TableECFTransport[EnergieConsumptieFactor (PJ per km)],TableECFTransport[Index],CONCATENATE($A8,"_CNG_CNG"))</f>
        <v>5.5457699922423548E-5</v>
      </c>
      <c r="E8" s="451">
        <f>vkm_2011_NGW_PW*SUMIFS(TableVerdeelsleutelVkm[LPG],TableVerdeelsleutelVkm[Voertuigtype],"Lichte voertuigen")*SUMIFS(TableECFTransport[EnergieConsumptieFactor (PJ per km)],TableECFTransport[Index],CONCATENATE($A8,"_LPG_LPG"))</f>
        <v>7.0165305707825702E-5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1.690598794753333E-2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6.1286066535613769E-3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1.1696139005482422E-3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1.9144010575014057E-2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5.4919100872782458E-6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1.1187022697801401E-3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10.557379975173298</v>
      </c>
      <c r="C14" s="21"/>
      <c r="D14" s="21">
        <f t="shared" ref="D14:M14" si="0">((D5)*10^9/3600)+D12</f>
        <v>38.406869184326311</v>
      </c>
      <c r="E14" s="21">
        <f t="shared" si="0"/>
        <v>50.914333932827638</v>
      </c>
      <c r="F14" s="21"/>
      <c r="G14" s="21">
        <f t="shared" si="0"/>
        <v>30062.205598806198</v>
      </c>
      <c r="H14" s="21">
        <f t="shared" si="0"/>
        <v>4323.299515620839</v>
      </c>
      <c r="I14" s="21"/>
      <c r="J14" s="21"/>
      <c r="K14" s="21"/>
      <c r="L14" s="21"/>
      <c r="M14" s="21">
        <f t="shared" si="0"/>
        <v>1884.7368112349479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0.21250400473497177</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2.2434855242331229</v>
      </c>
      <c r="C18" s="23"/>
      <c r="D18" s="23">
        <f t="shared" ref="D18:M18" si="1">D14*D16</f>
        <v>7.7581875752339151</v>
      </c>
      <c r="E18" s="23">
        <f t="shared" si="1"/>
        <v>11.557553802751874</v>
      </c>
      <c r="F18" s="23"/>
      <c r="G18" s="23">
        <f t="shared" si="1"/>
        <v>8026.6088948812558</v>
      </c>
      <c r="H18" s="23">
        <f t="shared" si="1"/>
        <v>1076.5015793895889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5.7339713687981555E-4</v>
      </c>
      <c r="H50" s="321">
        <f t="shared" si="2"/>
        <v>0</v>
      </c>
      <c r="I50" s="321">
        <f t="shared" si="2"/>
        <v>0</v>
      </c>
      <c r="J50" s="321">
        <f t="shared" si="2"/>
        <v>0</v>
      </c>
      <c r="K50" s="321">
        <f t="shared" si="2"/>
        <v>0</v>
      </c>
      <c r="L50" s="321">
        <f t="shared" si="2"/>
        <v>0</v>
      </c>
      <c r="M50" s="321">
        <f t="shared" si="2"/>
        <v>3.2566426069314073E-5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5.7339713687981555E-4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3.2566426069314073E-5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159.27698246661544</v>
      </c>
      <c r="H54" s="21">
        <f t="shared" si="3"/>
        <v>0</v>
      </c>
      <c r="I54" s="21">
        <f t="shared" si="3"/>
        <v>0</v>
      </c>
      <c r="J54" s="21">
        <f t="shared" si="3"/>
        <v>0</v>
      </c>
      <c r="K54" s="21">
        <f t="shared" si="3"/>
        <v>0</v>
      </c>
      <c r="L54" s="21">
        <f t="shared" si="3"/>
        <v>0</v>
      </c>
      <c r="M54" s="21">
        <f t="shared" si="3"/>
        <v>9.0462294636983529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0.21250400473497177</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42.526954318586327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3349.2670342074966</v>
      </c>
      <c r="C6" s="1263"/>
      <c r="D6" s="1248"/>
      <c r="E6" s="1248"/>
      <c r="F6" s="1266"/>
      <c r="G6" s="1269"/>
      <c r="H6" s="1260"/>
      <c r="I6" s="1248"/>
      <c r="J6" s="1248"/>
      <c r="K6" s="1248"/>
      <c r="L6" s="1252"/>
      <c r="M6" s="575"/>
      <c r="N6" s="1226"/>
      <c r="O6" s="1227"/>
      <c r="Q6" s="573"/>
      <c r="R6" s="1214"/>
      <c r="S6" s="1214"/>
    </row>
    <row r="7" spans="1:19" s="563" customFormat="1">
      <c r="A7" s="576" t="s">
        <v>252</v>
      </c>
      <c r="B7" s="577">
        <f>N57</f>
        <v>9000</v>
      </c>
      <c r="C7" s="578">
        <f>B100</f>
        <v>10588.235294117649</v>
      </c>
      <c r="D7" s="579"/>
      <c r="E7" s="579">
        <f>E100</f>
        <v>0</v>
      </c>
      <c r="F7" s="580"/>
      <c r="G7" s="581"/>
      <c r="H7" s="579">
        <f>I100</f>
        <v>0</v>
      </c>
      <c r="I7" s="579">
        <f>G100+F100</f>
        <v>0</v>
      </c>
      <c r="J7" s="579">
        <f>H100+D100+C100</f>
        <v>0</v>
      </c>
      <c r="K7" s="579"/>
      <c r="L7" s="582"/>
      <c r="M7" s="583">
        <f>C7*$C$11+D7*$D$11+E7*$E$11+F7*$F$11+G7*$G$11+H7*$H$11+I7*$I$11+J7*$J$11</f>
        <v>2138.8235294117653</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12349.267034207496</v>
      </c>
      <c r="C9" s="594">
        <f t="shared" ref="C9:L9" si="0">SUM(C7:C8)</f>
        <v>10588.235294117649</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2138.8235294117653</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12857.142857142857</v>
      </c>
      <c r="C16" s="610">
        <f>B101</f>
        <v>15126.050420168069</v>
      </c>
      <c r="D16" s="611"/>
      <c r="E16" s="611">
        <f>E101</f>
        <v>0</v>
      </c>
      <c r="F16" s="612"/>
      <c r="G16" s="613"/>
      <c r="H16" s="610">
        <f>I101</f>
        <v>0</v>
      </c>
      <c r="I16" s="611">
        <f>G101+F101</f>
        <v>0</v>
      </c>
      <c r="J16" s="611">
        <f>H101+D101+C101</f>
        <v>0</v>
      </c>
      <c r="K16" s="611"/>
      <c r="L16" s="614"/>
      <c r="M16" s="615">
        <f>C16*$C$21+E16*$E$21+H16*$H$21+I16*$I$21+J16*$J$21+D16*$D$21+F16*$F$21+G16*$G$21+K16*$K$21+L16*$L$21</f>
        <v>3055.4621848739503</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12857.142857142857</v>
      </c>
      <c r="C19" s="593">
        <f>SUM(C16:C18)</f>
        <v>15126.050420168069</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3055.4621848739503</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37010</v>
      </c>
      <c r="C27" s="851">
        <v>8780</v>
      </c>
      <c r="D27" s="672" t="s">
        <v>844</v>
      </c>
      <c r="E27" s="671" t="s">
        <v>845</v>
      </c>
      <c r="F27" s="671" t="s">
        <v>846</v>
      </c>
      <c r="G27" s="671" t="s">
        <v>847</v>
      </c>
      <c r="H27" s="671" t="s">
        <v>848</v>
      </c>
      <c r="I27" s="671" t="s">
        <v>845</v>
      </c>
      <c r="J27" s="850">
        <v>39853</v>
      </c>
      <c r="K27" s="850">
        <v>39875</v>
      </c>
      <c r="L27" s="671" t="s">
        <v>849</v>
      </c>
      <c r="M27" s="671">
        <v>2000</v>
      </c>
      <c r="N27" s="671">
        <v>9000</v>
      </c>
      <c r="O27" s="671">
        <v>12857.142857142857</v>
      </c>
      <c r="P27" s="671">
        <v>25714.285714285717</v>
      </c>
      <c r="Q27" s="671">
        <v>0</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2000</v>
      </c>
      <c r="N57" s="629">
        <f>SUM(N27:N56)</f>
        <v>9000</v>
      </c>
      <c r="O57" s="629">
        <f t="shared" ref="O57:W57" si="2">SUM(O27:O56)</f>
        <v>12857.142857142857</v>
      </c>
      <c r="P57" s="629">
        <f t="shared" si="2"/>
        <v>25714.285714285717</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2000</v>
      </c>
      <c r="N60" s="634">
        <f t="shared" ref="N60:W60" si="4">SUMIF($Z$27:$Z$56,"landbouw",N27:N56)</f>
        <v>9000</v>
      </c>
      <c r="O60" s="634">
        <f t="shared" si="4"/>
        <v>12857.142857142857</v>
      </c>
      <c r="P60" s="634">
        <f t="shared" si="4"/>
        <v>25714.285714285717</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10588.235294117649</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15126.050420168069</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8104.0969276961978</v>
      </c>
      <c r="D10" s="718">
        <f ca="1">tertiair!C16</f>
        <v>0</v>
      </c>
      <c r="E10" s="718">
        <f ca="1">tertiair!D16</f>
        <v>8289.7498299872077</v>
      </c>
      <c r="F10" s="718">
        <f>tertiair!E16</f>
        <v>124.85407683623026</v>
      </c>
      <c r="G10" s="718">
        <f ca="1">tertiair!F16</f>
        <v>1378.9175261183191</v>
      </c>
      <c r="H10" s="718">
        <f>tertiair!G16</f>
        <v>0</v>
      </c>
      <c r="I10" s="718">
        <f>tertiair!H16</f>
        <v>0</v>
      </c>
      <c r="J10" s="718">
        <f>tertiair!I16</f>
        <v>0</v>
      </c>
      <c r="K10" s="718">
        <f>tertiair!J16</f>
        <v>2.4983924764846694E-2</v>
      </c>
      <c r="L10" s="718">
        <f>tertiair!K16</f>
        <v>0</v>
      </c>
      <c r="M10" s="718">
        <f ca="1">tertiair!L16</f>
        <v>0</v>
      </c>
      <c r="N10" s="718">
        <f>tertiair!M16</f>
        <v>0</v>
      </c>
      <c r="O10" s="718">
        <f ca="1">tertiair!N16</f>
        <v>989.69247469309516</v>
      </c>
      <c r="P10" s="718">
        <f>tertiair!O16</f>
        <v>1.5633333333333335</v>
      </c>
      <c r="Q10" s="719">
        <f>tertiair!P16</f>
        <v>19.066666666666666</v>
      </c>
      <c r="R10" s="721">
        <f ca="1">SUM(C10:Q10)</f>
        <v>18907.965819255813</v>
      </c>
      <c r="S10" s="67"/>
    </row>
    <row r="11" spans="1:19" s="474" customFormat="1">
      <c r="A11" s="870" t="s">
        <v>225</v>
      </c>
      <c r="B11" s="875"/>
      <c r="C11" s="718">
        <f>huishoudens!B8</f>
        <v>13235.661133952004</v>
      </c>
      <c r="D11" s="718">
        <f>huishoudens!C8</f>
        <v>0</v>
      </c>
      <c r="E11" s="718">
        <f>huishoudens!D8</f>
        <v>22915.354587917103</v>
      </c>
      <c r="F11" s="718">
        <f>huishoudens!E8</f>
        <v>2381.1885670624788</v>
      </c>
      <c r="G11" s="718">
        <f>huishoudens!F8</f>
        <v>14362.821428700727</v>
      </c>
      <c r="H11" s="718">
        <f>huishoudens!G8</f>
        <v>0</v>
      </c>
      <c r="I11" s="718">
        <f>huishoudens!H8</f>
        <v>0</v>
      </c>
      <c r="J11" s="718">
        <f>huishoudens!I8</f>
        <v>0</v>
      </c>
      <c r="K11" s="718">
        <f>huishoudens!J8</f>
        <v>0</v>
      </c>
      <c r="L11" s="718">
        <f>huishoudens!K8</f>
        <v>0</v>
      </c>
      <c r="M11" s="718">
        <f>huishoudens!L8</f>
        <v>0</v>
      </c>
      <c r="N11" s="718">
        <f>huishoudens!M8</f>
        <v>0</v>
      </c>
      <c r="O11" s="718">
        <f>huishoudens!N8</f>
        <v>10711.749008234958</v>
      </c>
      <c r="P11" s="718">
        <f>huishoudens!O8</f>
        <v>189.16333333333336</v>
      </c>
      <c r="Q11" s="719">
        <f>huishoudens!P8</f>
        <v>400.4</v>
      </c>
      <c r="R11" s="721">
        <f>SUM(C11:Q11)</f>
        <v>64196.338059200607</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46992.920794448015</v>
      </c>
      <c r="D13" s="718">
        <f>industrie!C18</f>
        <v>0</v>
      </c>
      <c r="E13" s="718">
        <f>industrie!D18</f>
        <v>151470.53752509688</v>
      </c>
      <c r="F13" s="718">
        <f>industrie!E18</f>
        <v>4038.5961112204168</v>
      </c>
      <c r="G13" s="718">
        <f>industrie!F18</f>
        <v>13020.804544840883</v>
      </c>
      <c r="H13" s="718">
        <f>industrie!G18</f>
        <v>0</v>
      </c>
      <c r="I13" s="718">
        <f>industrie!H18</f>
        <v>0</v>
      </c>
      <c r="J13" s="718">
        <f>industrie!I18</f>
        <v>0</v>
      </c>
      <c r="K13" s="718">
        <f>industrie!J18</f>
        <v>101.31913689927048</v>
      </c>
      <c r="L13" s="718">
        <f>industrie!K18</f>
        <v>0</v>
      </c>
      <c r="M13" s="718">
        <f>industrie!L18</f>
        <v>0</v>
      </c>
      <c r="N13" s="718">
        <f>industrie!M18</f>
        <v>0</v>
      </c>
      <c r="O13" s="718">
        <f>industrie!N18</f>
        <v>9803.8720231823681</v>
      </c>
      <c r="P13" s="718">
        <f>industrie!O18</f>
        <v>0</v>
      </c>
      <c r="Q13" s="719">
        <f>industrie!P18</f>
        <v>0</v>
      </c>
      <c r="R13" s="721">
        <f>SUM(C13:Q13)</f>
        <v>225428.05013568787</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68332.678856096216</v>
      </c>
      <c r="D15" s="723">
        <f t="shared" ref="D15:Q15" ca="1" si="0">SUM(D9:D14)</f>
        <v>0</v>
      </c>
      <c r="E15" s="723">
        <f t="shared" ca="1" si="0"/>
        <v>182675.64194300119</v>
      </c>
      <c r="F15" s="723">
        <f t="shared" si="0"/>
        <v>6544.6387551191256</v>
      </c>
      <c r="G15" s="723">
        <f t="shared" ca="1" si="0"/>
        <v>28762.543499659929</v>
      </c>
      <c r="H15" s="723">
        <f t="shared" si="0"/>
        <v>0</v>
      </c>
      <c r="I15" s="723">
        <f t="shared" si="0"/>
        <v>0</v>
      </c>
      <c r="J15" s="723">
        <f t="shared" si="0"/>
        <v>0</v>
      </c>
      <c r="K15" s="723">
        <f t="shared" si="0"/>
        <v>101.34412082403533</v>
      </c>
      <c r="L15" s="723">
        <f t="shared" si="0"/>
        <v>0</v>
      </c>
      <c r="M15" s="723">
        <f t="shared" ca="1" si="0"/>
        <v>0</v>
      </c>
      <c r="N15" s="723">
        <f t="shared" si="0"/>
        <v>0</v>
      </c>
      <c r="O15" s="723">
        <f t="shared" ca="1" si="0"/>
        <v>21505.313506110419</v>
      </c>
      <c r="P15" s="723">
        <f t="shared" si="0"/>
        <v>190.72666666666669</v>
      </c>
      <c r="Q15" s="724">
        <f t="shared" si="0"/>
        <v>419.46666666666664</v>
      </c>
      <c r="R15" s="725">
        <f ca="1">SUM(R9:R14)</f>
        <v>308532.35401414428</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159.27698246661544</v>
      </c>
      <c r="I18" s="718">
        <f>transport!H54</f>
        <v>0</v>
      </c>
      <c r="J18" s="718">
        <f>transport!I54</f>
        <v>0</v>
      </c>
      <c r="K18" s="718">
        <f>transport!J54</f>
        <v>0</v>
      </c>
      <c r="L18" s="718">
        <f>transport!K54</f>
        <v>0</v>
      </c>
      <c r="M18" s="718">
        <f>transport!L54</f>
        <v>0</v>
      </c>
      <c r="N18" s="718">
        <f>transport!M54</f>
        <v>9.0462294636983529</v>
      </c>
      <c r="O18" s="718">
        <f>transport!N54</f>
        <v>0</v>
      </c>
      <c r="P18" s="718">
        <f>transport!O54</f>
        <v>0</v>
      </c>
      <c r="Q18" s="719">
        <f>transport!P54</f>
        <v>0</v>
      </c>
      <c r="R18" s="721">
        <f>SUM(C18:Q18)</f>
        <v>168.32321193031379</v>
      </c>
      <c r="S18" s="67"/>
    </row>
    <row r="19" spans="1:19" s="474" customFormat="1" ht="15" thickBot="1">
      <c r="A19" s="870" t="s">
        <v>307</v>
      </c>
      <c r="B19" s="875"/>
      <c r="C19" s="727">
        <f>transport!B14</f>
        <v>10.557379975173298</v>
      </c>
      <c r="D19" s="727">
        <f>transport!C14</f>
        <v>0</v>
      </c>
      <c r="E19" s="727">
        <f>transport!D14</f>
        <v>38.406869184326311</v>
      </c>
      <c r="F19" s="727">
        <f>transport!E14</f>
        <v>50.914333932827638</v>
      </c>
      <c r="G19" s="727">
        <f>transport!F14</f>
        <v>0</v>
      </c>
      <c r="H19" s="727">
        <f>transport!G14</f>
        <v>30062.205598806198</v>
      </c>
      <c r="I19" s="727">
        <f>transport!H14</f>
        <v>4323.299515620839</v>
      </c>
      <c r="J19" s="727">
        <f>transport!I14</f>
        <v>0</v>
      </c>
      <c r="K19" s="727">
        <f>transport!J14</f>
        <v>0</v>
      </c>
      <c r="L19" s="727">
        <f>transport!K14</f>
        <v>0</v>
      </c>
      <c r="M19" s="727">
        <f>transport!L14</f>
        <v>0</v>
      </c>
      <c r="N19" s="727">
        <f>transport!M14</f>
        <v>1884.7368112349479</v>
      </c>
      <c r="O19" s="727">
        <f>transport!N14</f>
        <v>0</v>
      </c>
      <c r="P19" s="727">
        <f>transport!O14</f>
        <v>0</v>
      </c>
      <c r="Q19" s="728">
        <f>transport!P14</f>
        <v>0</v>
      </c>
      <c r="R19" s="729">
        <f>SUM(C19:Q19)</f>
        <v>36370.120508754313</v>
      </c>
      <c r="S19" s="67"/>
    </row>
    <row r="20" spans="1:19" s="474" customFormat="1" ht="15.75" thickBot="1">
      <c r="A20" s="730" t="s">
        <v>230</v>
      </c>
      <c r="B20" s="878"/>
      <c r="C20" s="873">
        <f>SUM(C17:C19)</f>
        <v>10.557379975173298</v>
      </c>
      <c r="D20" s="731">
        <f t="shared" ref="D20:R20" si="1">SUM(D17:D19)</f>
        <v>0</v>
      </c>
      <c r="E20" s="731">
        <f t="shared" si="1"/>
        <v>38.406869184326311</v>
      </c>
      <c r="F20" s="731">
        <f t="shared" si="1"/>
        <v>50.914333932827638</v>
      </c>
      <c r="G20" s="731">
        <f t="shared" si="1"/>
        <v>0</v>
      </c>
      <c r="H20" s="731">
        <f t="shared" si="1"/>
        <v>30221.482581272812</v>
      </c>
      <c r="I20" s="731">
        <f t="shared" si="1"/>
        <v>4323.299515620839</v>
      </c>
      <c r="J20" s="731">
        <f t="shared" si="1"/>
        <v>0</v>
      </c>
      <c r="K20" s="731">
        <f t="shared" si="1"/>
        <v>0</v>
      </c>
      <c r="L20" s="731">
        <f t="shared" si="1"/>
        <v>0</v>
      </c>
      <c r="M20" s="731">
        <f t="shared" si="1"/>
        <v>0</v>
      </c>
      <c r="N20" s="731">
        <f t="shared" si="1"/>
        <v>1893.7830406986463</v>
      </c>
      <c r="O20" s="731">
        <f t="shared" si="1"/>
        <v>0</v>
      </c>
      <c r="P20" s="731">
        <f t="shared" si="1"/>
        <v>0</v>
      </c>
      <c r="Q20" s="732">
        <f t="shared" si="1"/>
        <v>0</v>
      </c>
      <c r="R20" s="733">
        <f t="shared" si="1"/>
        <v>36538.443720684627</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1144.1477291937135</v>
      </c>
      <c r="D22" s="727">
        <f>+landbouw!C8</f>
        <v>12857.142857142857</v>
      </c>
      <c r="E22" s="727">
        <f>+landbouw!D8</f>
        <v>2260.670170704474</v>
      </c>
      <c r="F22" s="727">
        <f>+landbouw!E8</f>
        <v>33.629996391523683</v>
      </c>
      <c r="G22" s="727">
        <f>+landbouw!F8</f>
        <v>4766.457613322852</v>
      </c>
      <c r="H22" s="727">
        <f>+landbouw!G8</f>
        <v>0</v>
      </c>
      <c r="I22" s="727">
        <f>+landbouw!H8</f>
        <v>0</v>
      </c>
      <c r="J22" s="727">
        <f>+landbouw!I8</f>
        <v>0</v>
      </c>
      <c r="K22" s="727">
        <f>+landbouw!J8</f>
        <v>165.76243510642482</v>
      </c>
      <c r="L22" s="727">
        <f>+landbouw!K8</f>
        <v>0</v>
      </c>
      <c r="M22" s="727">
        <f>+landbouw!L8</f>
        <v>0</v>
      </c>
      <c r="N22" s="727">
        <f>+landbouw!M8</f>
        <v>0</v>
      </c>
      <c r="O22" s="727">
        <f>+landbouw!N8</f>
        <v>0</v>
      </c>
      <c r="P22" s="727">
        <f>+landbouw!O8</f>
        <v>0</v>
      </c>
      <c r="Q22" s="728">
        <f>+landbouw!P8</f>
        <v>0</v>
      </c>
      <c r="R22" s="729">
        <f>SUM(C22:Q22)</f>
        <v>21227.810801861848</v>
      </c>
      <c r="S22" s="67"/>
    </row>
    <row r="23" spans="1:19" s="474" customFormat="1" ht="17.25" thickTop="1" thickBot="1">
      <c r="A23" s="734" t="s">
        <v>116</v>
      </c>
      <c r="B23" s="864"/>
      <c r="C23" s="735">
        <f ca="1">C20+C15+C22</f>
        <v>69487.383965265108</v>
      </c>
      <c r="D23" s="735">
        <f t="shared" ref="D23:Q23" ca="1" si="2">D20+D15+D22</f>
        <v>12857.142857142857</v>
      </c>
      <c r="E23" s="735">
        <f t="shared" ca="1" si="2"/>
        <v>184974.71898288999</v>
      </c>
      <c r="F23" s="735">
        <f t="shared" si="2"/>
        <v>6629.1830854434766</v>
      </c>
      <c r="G23" s="735">
        <f t="shared" ca="1" si="2"/>
        <v>33529.001112982784</v>
      </c>
      <c r="H23" s="735">
        <f t="shared" si="2"/>
        <v>30221.482581272812</v>
      </c>
      <c r="I23" s="735">
        <f t="shared" si="2"/>
        <v>4323.299515620839</v>
      </c>
      <c r="J23" s="735">
        <f t="shared" si="2"/>
        <v>0</v>
      </c>
      <c r="K23" s="735">
        <f t="shared" si="2"/>
        <v>267.10655593046016</v>
      </c>
      <c r="L23" s="735">
        <f t="shared" si="2"/>
        <v>0</v>
      </c>
      <c r="M23" s="735">
        <f t="shared" ca="1" si="2"/>
        <v>0</v>
      </c>
      <c r="N23" s="735">
        <f t="shared" si="2"/>
        <v>1893.7830406986463</v>
      </c>
      <c r="O23" s="735">
        <f t="shared" ca="1" si="2"/>
        <v>21505.313506110419</v>
      </c>
      <c r="P23" s="735">
        <f t="shared" si="2"/>
        <v>190.72666666666669</v>
      </c>
      <c r="Q23" s="736">
        <f t="shared" si="2"/>
        <v>419.46666666666664</v>
      </c>
      <c r="R23" s="737">
        <f ca="1">R20+R15+R22</f>
        <v>366298.60853669076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1722.1530518958232</v>
      </c>
      <c r="D36" s="718">
        <f ca="1">tertiair!C20</f>
        <v>0</v>
      </c>
      <c r="E36" s="718">
        <f ca="1">tertiair!D20</f>
        <v>1674.529465657416</v>
      </c>
      <c r="F36" s="718">
        <f>tertiair!E20</f>
        <v>28.341875441824271</v>
      </c>
      <c r="G36" s="718">
        <f ca="1">tertiair!F20</f>
        <v>368.17097947359122</v>
      </c>
      <c r="H36" s="718">
        <f>tertiair!G20</f>
        <v>0</v>
      </c>
      <c r="I36" s="718">
        <f>tertiair!H20</f>
        <v>0</v>
      </c>
      <c r="J36" s="718">
        <f>tertiair!I20</f>
        <v>0</v>
      </c>
      <c r="K36" s="718">
        <f>tertiair!J20</f>
        <v>8.8443093667557298E-3</v>
      </c>
      <c r="L36" s="718">
        <f>tertiair!K20</f>
        <v>0</v>
      </c>
      <c r="M36" s="718">
        <f ca="1">tertiair!L20</f>
        <v>0</v>
      </c>
      <c r="N36" s="718">
        <f>tertiair!M20</f>
        <v>0</v>
      </c>
      <c r="O36" s="718">
        <f ca="1">tertiair!N20</f>
        <v>0</v>
      </c>
      <c r="P36" s="718">
        <f>tertiair!O20</f>
        <v>0</v>
      </c>
      <c r="Q36" s="828">
        <f>tertiair!P20</f>
        <v>0</v>
      </c>
      <c r="R36" s="917">
        <f ca="1">SUM(C36:Q36)</f>
        <v>3793.2042167780219</v>
      </c>
    </row>
    <row r="37" spans="1:18">
      <c r="A37" s="885" t="s">
        <v>225</v>
      </c>
      <c r="B37" s="892"/>
      <c r="C37" s="718">
        <f ca="1">huishoudens!B12</f>
        <v>2812.6309962798186</v>
      </c>
      <c r="D37" s="718">
        <f ca="1">huishoudens!C12</f>
        <v>0</v>
      </c>
      <c r="E37" s="718">
        <f>huishoudens!D12</f>
        <v>4628.9016267592551</v>
      </c>
      <c r="F37" s="718">
        <f>huishoudens!E12</f>
        <v>540.52980472318268</v>
      </c>
      <c r="G37" s="718">
        <f>huishoudens!F12</f>
        <v>3834.8733214630943</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11816.935749225351</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9986.1838630135353</v>
      </c>
      <c r="D39" s="718">
        <f ca="1">industrie!C22</f>
        <v>0</v>
      </c>
      <c r="E39" s="718">
        <f>industrie!D22</f>
        <v>30597.048580069571</v>
      </c>
      <c r="F39" s="718">
        <f>industrie!E22</f>
        <v>916.76131724703464</v>
      </c>
      <c r="G39" s="718">
        <f>industrie!F22</f>
        <v>3476.5548134725159</v>
      </c>
      <c r="H39" s="718">
        <f>industrie!G22</f>
        <v>0</v>
      </c>
      <c r="I39" s="718">
        <f>industrie!H22</f>
        <v>0</v>
      </c>
      <c r="J39" s="718">
        <f>industrie!I22</f>
        <v>0</v>
      </c>
      <c r="K39" s="718">
        <f>industrie!J22</f>
        <v>35.866974462341744</v>
      </c>
      <c r="L39" s="718">
        <f>industrie!K22</f>
        <v>0</v>
      </c>
      <c r="M39" s="718">
        <f>industrie!L22</f>
        <v>0</v>
      </c>
      <c r="N39" s="718">
        <f>industrie!M22</f>
        <v>0</v>
      </c>
      <c r="O39" s="718">
        <f>industrie!N22</f>
        <v>0</v>
      </c>
      <c r="P39" s="718">
        <f>industrie!O22</f>
        <v>0</v>
      </c>
      <c r="Q39" s="828">
        <f>industrie!P22</f>
        <v>0</v>
      </c>
      <c r="R39" s="918">
        <f ca="1">SUM(C39:Q39)</f>
        <v>45012.415548265002</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14520.967911189178</v>
      </c>
      <c r="D41" s="763">
        <f t="shared" ref="D41:R41" ca="1" si="4">SUM(D35:D40)</f>
        <v>0</v>
      </c>
      <c r="E41" s="763">
        <f t="shared" ca="1" si="4"/>
        <v>36900.479672486239</v>
      </c>
      <c r="F41" s="763">
        <f t="shared" si="4"/>
        <v>1485.6329974120417</v>
      </c>
      <c r="G41" s="763">
        <f t="shared" ca="1" si="4"/>
        <v>7679.5991144092013</v>
      </c>
      <c r="H41" s="763">
        <f t="shared" si="4"/>
        <v>0</v>
      </c>
      <c r="I41" s="763">
        <f t="shared" si="4"/>
        <v>0</v>
      </c>
      <c r="J41" s="763">
        <f t="shared" si="4"/>
        <v>0</v>
      </c>
      <c r="K41" s="763">
        <f t="shared" si="4"/>
        <v>35.875818771708502</v>
      </c>
      <c r="L41" s="763">
        <f t="shared" si="4"/>
        <v>0</v>
      </c>
      <c r="M41" s="763">
        <f t="shared" ca="1" si="4"/>
        <v>0</v>
      </c>
      <c r="N41" s="763">
        <f t="shared" si="4"/>
        <v>0</v>
      </c>
      <c r="O41" s="763">
        <f t="shared" ca="1" si="4"/>
        <v>0</v>
      </c>
      <c r="P41" s="763">
        <f t="shared" si="4"/>
        <v>0</v>
      </c>
      <c r="Q41" s="764">
        <f t="shared" si="4"/>
        <v>0</v>
      </c>
      <c r="R41" s="765">
        <f t="shared" ca="1" si="4"/>
        <v>60622.555514268373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42.526954318586327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42.526954318586327</v>
      </c>
    </row>
    <row r="45" spans="1:18" ht="15" thickBot="1">
      <c r="A45" s="888" t="s">
        <v>307</v>
      </c>
      <c r="B45" s="898"/>
      <c r="C45" s="727">
        <f ca="1">transport!B18</f>
        <v>2.2434855242331229</v>
      </c>
      <c r="D45" s="727">
        <f>transport!C18</f>
        <v>0</v>
      </c>
      <c r="E45" s="727">
        <f>transport!D18</f>
        <v>7.7581875752339151</v>
      </c>
      <c r="F45" s="727">
        <f>transport!E18</f>
        <v>11.557553802751874</v>
      </c>
      <c r="G45" s="727">
        <f>transport!F18</f>
        <v>0</v>
      </c>
      <c r="H45" s="727">
        <f>transport!G18</f>
        <v>8026.6088948812558</v>
      </c>
      <c r="I45" s="727">
        <f>transport!H18</f>
        <v>1076.5015793895889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9124.669701173063</v>
      </c>
    </row>
    <row r="46" spans="1:18" ht="15.75" thickBot="1">
      <c r="A46" s="886" t="s">
        <v>230</v>
      </c>
      <c r="B46" s="899"/>
      <c r="C46" s="763">
        <f t="shared" ref="C46:R46" ca="1" si="5">SUM(C43:C45)</f>
        <v>2.2434855242331229</v>
      </c>
      <c r="D46" s="763">
        <f t="shared" ca="1" si="5"/>
        <v>0</v>
      </c>
      <c r="E46" s="763">
        <f t="shared" si="5"/>
        <v>7.7581875752339151</v>
      </c>
      <c r="F46" s="763">
        <f t="shared" si="5"/>
        <v>11.557553802751874</v>
      </c>
      <c r="G46" s="763">
        <f t="shared" si="5"/>
        <v>0</v>
      </c>
      <c r="H46" s="763">
        <f t="shared" si="5"/>
        <v>8069.1358491998417</v>
      </c>
      <c r="I46" s="763">
        <f t="shared" si="5"/>
        <v>1076.5015793895889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9167.1966554916489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243.13597446208811</v>
      </c>
      <c r="D48" s="718">
        <f ca="1">+landbouw!C12</f>
        <v>3055.4621848739503</v>
      </c>
      <c r="E48" s="718">
        <f>+landbouw!D12</f>
        <v>456.65537448230378</v>
      </c>
      <c r="F48" s="718">
        <f>+landbouw!E12</f>
        <v>7.6340091808758759</v>
      </c>
      <c r="G48" s="718">
        <f>+landbouw!F12</f>
        <v>1272.6441827572016</v>
      </c>
      <c r="H48" s="718">
        <f>+landbouw!G12</f>
        <v>0</v>
      </c>
      <c r="I48" s="718">
        <f>+landbouw!H12</f>
        <v>0</v>
      </c>
      <c r="J48" s="718">
        <f>+landbouw!I12</f>
        <v>0</v>
      </c>
      <c r="K48" s="718">
        <f>+landbouw!J12</f>
        <v>58.67990202767438</v>
      </c>
      <c r="L48" s="718">
        <f>+landbouw!K12</f>
        <v>0</v>
      </c>
      <c r="M48" s="718">
        <f>+landbouw!L12</f>
        <v>0</v>
      </c>
      <c r="N48" s="718">
        <f>+landbouw!M12</f>
        <v>0</v>
      </c>
      <c r="O48" s="718">
        <f>+landbouw!N12</f>
        <v>0</v>
      </c>
      <c r="P48" s="718">
        <f>+landbouw!O12</f>
        <v>0</v>
      </c>
      <c r="Q48" s="719">
        <f>+landbouw!P12</f>
        <v>0</v>
      </c>
      <c r="R48" s="761">
        <f ca="1">SUM(C48:Q48)</f>
        <v>5094.2116277840942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14766.3473711755</v>
      </c>
      <c r="D53" s="773">
        <f t="shared" ref="D53:Q53" ca="1" si="6">D41+D46+D48</f>
        <v>3055.4621848739503</v>
      </c>
      <c r="E53" s="773">
        <f t="shared" ca="1" si="6"/>
        <v>37364.893234543779</v>
      </c>
      <c r="F53" s="773">
        <f t="shared" si="6"/>
        <v>1504.8245603956696</v>
      </c>
      <c r="G53" s="773">
        <f t="shared" ca="1" si="6"/>
        <v>8952.243297166402</v>
      </c>
      <c r="H53" s="773">
        <f t="shared" si="6"/>
        <v>8069.1358491998417</v>
      </c>
      <c r="I53" s="773">
        <f t="shared" si="6"/>
        <v>1076.5015793895889</v>
      </c>
      <c r="J53" s="773">
        <f t="shared" si="6"/>
        <v>0</v>
      </c>
      <c r="K53" s="773">
        <f t="shared" si="6"/>
        <v>94.555720799382883</v>
      </c>
      <c r="L53" s="773">
        <f t="shared" si="6"/>
        <v>0</v>
      </c>
      <c r="M53" s="773">
        <f t="shared" ca="1" si="6"/>
        <v>0</v>
      </c>
      <c r="N53" s="773">
        <f t="shared" si="6"/>
        <v>0</v>
      </c>
      <c r="O53" s="773">
        <f t="shared" ca="1" si="6"/>
        <v>0</v>
      </c>
      <c r="P53" s="773">
        <f>P41+P46+P48</f>
        <v>0</v>
      </c>
      <c r="Q53" s="774">
        <f t="shared" si="6"/>
        <v>0</v>
      </c>
      <c r="R53" s="775">
        <f ca="1">R41+R46+R48</f>
        <v>74883.963797544115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0.2125040047349718</v>
      </c>
      <c r="D55" s="836">
        <f t="shared" ca="1" si="7"/>
        <v>0.23764705882352946</v>
      </c>
      <c r="E55" s="836">
        <f t="shared" ca="1" si="7"/>
        <v>0.20200000000000001</v>
      </c>
      <c r="F55" s="836">
        <f t="shared" si="7"/>
        <v>0.22700000000000006</v>
      </c>
      <c r="G55" s="836">
        <f t="shared" ca="1" si="7"/>
        <v>0.26699999999999996</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3349.2670342074966</v>
      </c>
      <c r="C66" s="795">
        <f>'lokale energieproductie'!B6</f>
        <v>3349.2670342074966</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9000</v>
      </c>
      <c r="C67" s="794">
        <f>B67*IFERROR(SUM(J67:L67)/SUM(D67:M67),0)</f>
        <v>0</v>
      </c>
      <c r="D67" s="826">
        <f>'lokale energieproductie'!C7</f>
        <v>10588.235294117649</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2138.8235294117653</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12349.267034207496</v>
      </c>
      <c r="C69" s="803">
        <f>SUM(C64:C68)</f>
        <v>3349.2670342074966</v>
      </c>
      <c r="D69" s="804">
        <f t="shared" ref="D69:M69" si="8">SUM(D67:D68)</f>
        <v>10588.235294117649</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2138.8235294117653</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12857.142857142857</v>
      </c>
      <c r="C78" s="817">
        <f>B78*IFERROR(SUM(I78:L78)/SUM(D78:M78),0)</f>
        <v>0</v>
      </c>
      <c r="D78" s="832">
        <f>'lokale energieproductie'!C16</f>
        <v>15126.050420168069</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3055.4621848739503</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12857.142857142857</v>
      </c>
      <c r="C81" s="803">
        <f>SUM(C78:C80)</f>
        <v>0</v>
      </c>
      <c r="D81" s="803">
        <f t="shared" ref="D81:P81" si="9">SUM(D78:D80)</f>
        <v>15126.050420168069</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3055.4621848739503</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13235.661133952004</v>
      </c>
      <c r="C4" s="478">
        <f>huishoudens!C8</f>
        <v>0</v>
      </c>
      <c r="D4" s="478">
        <f>huishoudens!D8</f>
        <v>22915.354587917103</v>
      </c>
      <c r="E4" s="478">
        <f>huishoudens!E8</f>
        <v>2381.1885670624788</v>
      </c>
      <c r="F4" s="478">
        <f>huishoudens!F8</f>
        <v>14362.821428700727</v>
      </c>
      <c r="G4" s="478">
        <f>huishoudens!G8</f>
        <v>0</v>
      </c>
      <c r="H4" s="478">
        <f>huishoudens!H8</f>
        <v>0</v>
      </c>
      <c r="I4" s="478">
        <f>huishoudens!I8</f>
        <v>0</v>
      </c>
      <c r="J4" s="478">
        <f>huishoudens!J8</f>
        <v>0</v>
      </c>
      <c r="K4" s="478">
        <f>huishoudens!K8</f>
        <v>0</v>
      </c>
      <c r="L4" s="478">
        <f>huishoudens!L8</f>
        <v>0</v>
      </c>
      <c r="M4" s="478">
        <f>huishoudens!M8</f>
        <v>0</v>
      </c>
      <c r="N4" s="478">
        <f>huishoudens!N8</f>
        <v>10711.749008234958</v>
      </c>
      <c r="O4" s="478">
        <f>huishoudens!O8</f>
        <v>189.16333333333336</v>
      </c>
      <c r="P4" s="479">
        <f>huishoudens!P8</f>
        <v>400.4</v>
      </c>
      <c r="Q4" s="480">
        <f>SUM(B4:P4)</f>
        <v>64196.338059200607</v>
      </c>
    </row>
    <row r="5" spans="1:17">
      <c r="A5" s="477" t="s">
        <v>156</v>
      </c>
      <c r="B5" s="478">
        <f ca="1">tertiair!B16</f>
        <v>7530.8959276961978</v>
      </c>
      <c r="C5" s="478">
        <f ca="1">tertiair!C16</f>
        <v>0</v>
      </c>
      <c r="D5" s="478">
        <f ca="1">tertiair!D16</f>
        <v>8289.7498299872077</v>
      </c>
      <c r="E5" s="478">
        <f>tertiair!E16</f>
        <v>124.85407683623026</v>
      </c>
      <c r="F5" s="478">
        <f ca="1">tertiair!F16</f>
        <v>1378.9175261183191</v>
      </c>
      <c r="G5" s="478">
        <f>tertiair!G16</f>
        <v>0</v>
      </c>
      <c r="H5" s="478">
        <f>tertiair!H16</f>
        <v>0</v>
      </c>
      <c r="I5" s="478">
        <f>tertiair!I16</f>
        <v>0</v>
      </c>
      <c r="J5" s="478">
        <f>tertiair!J16</f>
        <v>2.4983924764846694E-2</v>
      </c>
      <c r="K5" s="478">
        <f>tertiair!K16</f>
        <v>0</v>
      </c>
      <c r="L5" s="478">
        <f ca="1">tertiair!L16</f>
        <v>0</v>
      </c>
      <c r="M5" s="478">
        <f>tertiair!M16</f>
        <v>0</v>
      </c>
      <c r="N5" s="478">
        <f ca="1">tertiair!N16</f>
        <v>989.69247469309516</v>
      </c>
      <c r="O5" s="478">
        <f>tertiair!O16</f>
        <v>1.5633333333333335</v>
      </c>
      <c r="P5" s="479">
        <f>tertiair!P16</f>
        <v>19.066666666666666</v>
      </c>
      <c r="Q5" s="477">
        <f t="shared" ref="Q5:Q13" ca="1" si="0">SUM(B5:P5)</f>
        <v>18334.764819255815</v>
      </c>
    </row>
    <row r="6" spans="1:17">
      <c r="A6" s="477" t="s">
        <v>194</v>
      </c>
      <c r="B6" s="478">
        <f>'openbare verlichting'!B8</f>
        <v>573.20100000000002</v>
      </c>
      <c r="C6" s="478"/>
      <c r="D6" s="478"/>
      <c r="E6" s="478"/>
      <c r="F6" s="478"/>
      <c r="G6" s="478"/>
      <c r="H6" s="478"/>
      <c r="I6" s="478"/>
      <c r="J6" s="478"/>
      <c r="K6" s="478"/>
      <c r="L6" s="478"/>
      <c r="M6" s="478"/>
      <c r="N6" s="478"/>
      <c r="O6" s="478"/>
      <c r="P6" s="479"/>
      <c r="Q6" s="477">
        <f t="shared" si="0"/>
        <v>573.20100000000002</v>
      </c>
    </row>
    <row r="7" spans="1:17">
      <c r="A7" s="477" t="s">
        <v>112</v>
      </c>
      <c r="B7" s="478">
        <f>landbouw!B8</f>
        <v>1144.1477291937135</v>
      </c>
      <c r="C7" s="478">
        <f>landbouw!C8</f>
        <v>12857.142857142857</v>
      </c>
      <c r="D7" s="478">
        <f>landbouw!D8</f>
        <v>2260.670170704474</v>
      </c>
      <c r="E7" s="478">
        <f>landbouw!E8</f>
        <v>33.629996391523683</v>
      </c>
      <c r="F7" s="478">
        <f>landbouw!F8</f>
        <v>4766.457613322852</v>
      </c>
      <c r="G7" s="478">
        <f>landbouw!G8</f>
        <v>0</v>
      </c>
      <c r="H7" s="478">
        <f>landbouw!H8</f>
        <v>0</v>
      </c>
      <c r="I7" s="478">
        <f>landbouw!I8</f>
        <v>0</v>
      </c>
      <c r="J7" s="478">
        <f>landbouw!J8</f>
        <v>165.76243510642482</v>
      </c>
      <c r="K7" s="478">
        <f>landbouw!K8</f>
        <v>0</v>
      </c>
      <c r="L7" s="478">
        <f>landbouw!L8</f>
        <v>0</v>
      </c>
      <c r="M7" s="478">
        <f>landbouw!M8</f>
        <v>0</v>
      </c>
      <c r="N7" s="478">
        <f>landbouw!N8</f>
        <v>0</v>
      </c>
      <c r="O7" s="478">
        <f>landbouw!O8</f>
        <v>0</v>
      </c>
      <c r="P7" s="479">
        <f>landbouw!P8</f>
        <v>0</v>
      </c>
      <c r="Q7" s="477">
        <f t="shared" si="0"/>
        <v>21227.810801861848</v>
      </c>
    </row>
    <row r="8" spans="1:17">
      <c r="A8" s="477" t="s">
        <v>635</v>
      </c>
      <c r="B8" s="478">
        <f>industrie!B18</f>
        <v>46992.920794448015</v>
      </c>
      <c r="C8" s="478">
        <f>industrie!C18</f>
        <v>0</v>
      </c>
      <c r="D8" s="478">
        <f>industrie!D18</f>
        <v>151470.53752509688</v>
      </c>
      <c r="E8" s="478">
        <f>industrie!E18</f>
        <v>4038.5961112204168</v>
      </c>
      <c r="F8" s="478">
        <f>industrie!F18</f>
        <v>13020.804544840883</v>
      </c>
      <c r="G8" s="478">
        <f>industrie!G18</f>
        <v>0</v>
      </c>
      <c r="H8" s="478">
        <f>industrie!H18</f>
        <v>0</v>
      </c>
      <c r="I8" s="478">
        <f>industrie!I18</f>
        <v>0</v>
      </c>
      <c r="J8" s="478">
        <f>industrie!J18</f>
        <v>101.31913689927048</v>
      </c>
      <c r="K8" s="478">
        <f>industrie!K18</f>
        <v>0</v>
      </c>
      <c r="L8" s="478">
        <f>industrie!L18</f>
        <v>0</v>
      </c>
      <c r="M8" s="478">
        <f>industrie!M18</f>
        <v>0</v>
      </c>
      <c r="N8" s="478">
        <f>industrie!N18</f>
        <v>9803.8720231823681</v>
      </c>
      <c r="O8" s="478">
        <f>industrie!O18</f>
        <v>0</v>
      </c>
      <c r="P8" s="479">
        <f>industrie!P18</f>
        <v>0</v>
      </c>
      <c r="Q8" s="477">
        <f t="shared" si="0"/>
        <v>225428.05013568787</v>
      </c>
    </row>
    <row r="9" spans="1:17" s="483" customFormat="1">
      <c r="A9" s="481" t="s">
        <v>561</v>
      </c>
      <c r="B9" s="482">
        <f>transport!B14</f>
        <v>10.557379975173298</v>
      </c>
      <c r="C9" s="482"/>
      <c r="D9" s="482">
        <f>transport!D14</f>
        <v>38.406869184326311</v>
      </c>
      <c r="E9" s="482">
        <f>transport!E14</f>
        <v>50.914333932827638</v>
      </c>
      <c r="F9" s="482"/>
      <c r="G9" s="482">
        <f>transport!G14</f>
        <v>30062.205598806198</v>
      </c>
      <c r="H9" s="482">
        <f>transport!H14</f>
        <v>4323.299515620839</v>
      </c>
      <c r="I9" s="482"/>
      <c r="J9" s="482"/>
      <c r="K9" s="482"/>
      <c r="L9" s="482"/>
      <c r="M9" s="482">
        <f>transport!M14</f>
        <v>1884.7368112349479</v>
      </c>
      <c r="N9" s="482"/>
      <c r="O9" s="482"/>
      <c r="P9" s="482"/>
      <c r="Q9" s="481">
        <f>SUM(B9:P9)</f>
        <v>36370.120508754313</v>
      </c>
    </row>
    <row r="10" spans="1:17">
      <c r="A10" s="477" t="s">
        <v>551</v>
      </c>
      <c r="B10" s="478">
        <f>transport!B54</f>
        <v>0</v>
      </c>
      <c r="C10" s="478"/>
      <c r="D10" s="478">
        <f>transport!D54</f>
        <v>0</v>
      </c>
      <c r="E10" s="478"/>
      <c r="F10" s="478"/>
      <c r="G10" s="478">
        <f>transport!G54</f>
        <v>159.27698246661544</v>
      </c>
      <c r="H10" s="478"/>
      <c r="I10" s="478"/>
      <c r="J10" s="478"/>
      <c r="K10" s="478"/>
      <c r="L10" s="478"/>
      <c r="M10" s="478">
        <f>transport!M54</f>
        <v>9.0462294636983529</v>
      </c>
      <c r="N10" s="478"/>
      <c r="O10" s="478"/>
      <c r="P10" s="479"/>
      <c r="Q10" s="477">
        <f t="shared" si="0"/>
        <v>168.32321193031379</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69487.383965265108</v>
      </c>
      <c r="C14" s="488">
        <f t="shared" ref="C14:Q14" ca="1" si="1">SUM(C4:C13)</f>
        <v>12857.142857142857</v>
      </c>
      <c r="D14" s="488">
        <f t="shared" ca="1" si="1"/>
        <v>184974.71898288999</v>
      </c>
      <c r="E14" s="488">
        <f t="shared" si="1"/>
        <v>6629.1830854434775</v>
      </c>
      <c r="F14" s="488">
        <f t="shared" ca="1" si="1"/>
        <v>33529.001112982784</v>
      </c>
      <c r="G14" s="488">
        <f t="shared" si="1"/>
        <v>30221.482581272812</v>
      </c>
      <c r="H14" s="488">
        <f t="shared" si="1"/>
        <v>4323.299515620839</v>
      </c>
      <c r="I14" s="488">
        <f t="shared" si="1"/>
        <v>0</v>
      </c>
      <c r="J14" s="488">
        <f t="shared" si="1"/>
        <v>267.10655593046016</v>
      </c>
      <c r="K14" s="488">
        <f t="shared" si="1"/>
        <v>0</v>
      </c>
      <c r="L14" s="488">
        <f t="shared" ca="1" si="1"/>
        <v>0</v>
      </c>
      <c r="M14" s="488">
        <f t="shared" si="1"/>
        <v>1893.7830406986463</v>
      </c>
      <c r="N14" s="488">
        <f t="shared" ca="1" si="1"/>
        <v>21505.313506110419</v>
      </c>
      <c r="O14" s="488">
        <f t="shared" si="1"/>
        <v>190.72666666666669</v>
      </c>
      <c r="P14" s="489">
        <f t="shared" si="1"/>
        <v>419.46666666666664</v>
      </c>
      <c r="Q14" s="489">
        <f t="shared" ca="1" si="1"/>
        <v>366298.60853669076</v>
      </c>
    </row>
    <row r="16" spans="1:17">
      <c r="A16" s="491" t="s">
        <v>556</v>
      </c>
      <c r="B16" s="841">
        <f ca="1">huishoudens!B10</f>
        <v>0.21250400473497177</v>
      </c>
      <c r="C16" s="841">
        <f ca="1">huishoudens!C10</f>
        <v>0.23764705882352946</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2812.6309962798186</v>
      </c>
      <c r="C21" s="478">
        <f t="shared" ref="C21:C28" ca="1" si="3">C4*$C$16</f>
        <v>0</v>
      </c>
      <c r="D21" s="478">
        <f t="shared" ref="D21:D30" si="4">D4*$D$16</f>
        <v>4628.9016267592551</v>
      </c>
      <c r="E21" s="478">
        <f t="shared" ref="E21:E30" si="5">E4*$E$16</f>
        <v>540.52980472318268</v>
      </c>
      <c r="F21" s="478">
        <f t="shared" ref="F21:F28" si="6">F4*$F$16</f>
        <v>3834.8733214630943</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11816.935749225351</v>
      </c>
    </row>
    <row r="22" spans="1:17">
      <c r="A22" s="477" t="s">
        <v>156</v>
      </c>
      <c r="B22" s="478">
        <f t="shared" ca="1" si="2"/>
        <v>1600.3455438777326</v>
      </c>
      <c r="C22" s="478">
        <f t="shared" ca="1" si="3"/>
        <v>0</v>
      </c>
      <c r="D22" s="478">
        <f t="shared" ca="1" si="4"/>
        <v>1674.529465657416</v>
      </c>
      <c r="E22" s="478">
        <f t="shared" si="5"/>
        <v>28.341875441824271</v>
      </c>
      <c r="F22" s="478">
        <f t="shared" ca="1" si="6"/>
        <v>368.17097947359122</v>
      </c>
      <c r="G22" s="478">
        <f t="shared" si="7"/>
        <v>0</v>
      </c>
      <c r="H22" s="478">
        <f t="shared" si="8"/>
        <v>0</v>
      </c>
      <c r="I22" s="478">
        <f t="shared" si="9"/>
        <v>0</v>
      </c>
      <c r="J22" s="478">
        <f t="shared" si="10"/>
        <v>8.8443093667557298E-3</v>
      </c>
      <c r="K22" s="478">
        <f t="shared" si="11"/>
        <v>0</v>
      </c>
      <c r="L22" s="478">
        <f t="shared" ca="1" si="12"/>
        <v>0</v>
      </c>
      <c r="M22" s="478">
        <f t="shared" si="13"/>
        <v>0</v>
      </c>
      <c r="N22" s="478">
        <f t="shared" ca="1" si="14"/>
        <v>0</v>
      </c>
      <c r="O22" s="478">
        <f t="shared" si="15"/>
        <v>0</v>
      </c>
      <c r="P22" s="479">
        <f t="shared" si="16"/>
        <v>0</v>
      </c>
      <c r="Q22" s="477">
        <f t="shared" ref="Q22:Q30" ca="1" si="17">SUM(B22:P22)</f>
        <v>3671.3967087599312</v>
      </c>
    </row>
    <row r="23" spans="1:17">
      <c r="A23" s="477" t="s">
        <v>194</v>
      </c>
      <c r="B23" s="478">
        <f t="shared" ca="1" si="2"/>
        <v>121.80750801809056</v>
      </c>
      <c r="C23" s="478"/>
      <c r="D23" s="478"/>
      <c r="E23" s="478"/>
      <c r="F23" s="478"/>
      <c r="G23" s="478"/>
      <c r="H23" s="478"/>
      <c r="I23" s="478"/>
      <c r="J23" s="478"/>
      <c r="K23" s="478"/>
      <c r="L23" s="478"/>
      <c r="M23" s="478"/>
      <c r="N23" s="478"/>
      <c r="O23" s="478"/>
      <c r="P23" s="479"/>
      <c r="Q23" s="477">
        <f t="shared" ca="1" si="17"/>
        <v>121.80750801809056</v>
      </c>
    </row>
    <row r="24" spans="1:17">
      <c r="A24" s="477" t="s">
        <v>112</v>
      </c>
      <c r="B24" s="478">
        <f t="shared" ca="1" si="2"/>
        <v>243.13597446208811</v>
      </c>
      <c r="C24" s="478">
        <f t="shared" ca="1" si="3"/>
        <v>3055.4621848739503</v>
      </c>
      <c r="D24" s="478">
        <f t="shared" si="4"/>
        <v>456.65537448230378</v>
      </c>
      <c r="E24" s="478">
        <f t="shared" si="5"/>
        <v>7.6340091808758759</v>
      </c>
      <c r="F24" s="478">
        <f t="shared" si="6"/>
        <v>1272.6441827572016</v>
      </c>
      <c r="G24" s="478">
        <f t="shared" si="7"/>
        <v>0</v>
      </c>
      <c r="H24" s="478">
        <f t="shared" si="8"/>
        <v>0</v>
      </c>
      <c r="I24" s="478">
        <f t="shared" si="9"/>
        <v>0</v>
      </c>
      <c r="J24" s="478">
        <f t="shared" si="10"/>
        <v>58.67990202767438</v>
      </c>
      <c r="K24" s="478">
        <f t="shared" si="11"/>
        <v>0</v>
      </c>
      <c r="L24" s="478">
        <f t="shared" si="12"/>
        <v>0</v>
      </c>
      <c r="M24" s="478">
        <f t="shared" si="13"/>
        <v>0</v>
      </c>
      <c r="N24" s="478">
        <f t="shared" si="14"/>
        <v>0</v>
      </c>
      <c r="O24" s="478">
        <f t="shared" si="15"/>
        <v>0</v>
      </c>
      <c r="P24" s="479">
        <f t="shared" si="16"/>
        <v>0</v>
      </c>
      <c r="Q24" s="477">
        <f t="shared" ca="1" si="17"/>
        <v>5094.2116277840942</v>
      </c>
    </row>
    <row r="25" spans="1:17">
      <c r="A25" s="477" t="s">
        <v>635</v>
      </c>
      <c r="B25" s="478">
        <f t="shared" ca="1" si="2"/>
        <v>9986.1838630135353</v>
      </c>
      <c r="C25" s="478">
        <f t="shared" ca="1" si="3"/>
        <v>0</v>
      </c>
      <c r="D25" s="478">
        <f t="shared" si="4"/>
        <v>30597.048580069571</v>
      </c>
      <c r="E25" s="478">
        <f t="shared" si="5"/>
        <v>916.76131724703464</v>
      </c>
      <c r="F25" s="478">
        <f t="shared" si="6"/>
        <v>3476.5548134725159</v>
      </c>
      <c r="G25" s="478">
        <f t="shared" si="7"/>
        <v>0</v>
      </c>
      <c r="H25" s="478">
        <f t="shared" si="8"/>
        <v>0</v>
      </c>
      <c r="I25" s="478">
        <f t="shared" si="9"/>
        <v>0</v>
      </c>
      <c r="J25" s="478">
        <f t="shared" si="10"/>
        <v>35.866974462341744</v>
      </c>
      <c r="K25" s="478">
        <f t="shared" si="11"/>
        <v>0</v>
      </c>
      <c r="L25" s="478">
        <f t="shared" si="12"/>
        <v>0</v>
      </c>
      <c r="M25" s="478">
        <f t="shared" si="13"/>
        <v>0</v>
      </c>
      <c r="N25" s="478">
        <f t="shared" si="14"/>
        <v>0</v>
      </c>
      <c r="O25" s="478">
        <f t="shared" si="15"/>
        <v>0</v>
      </c>
      <c r="P25" s="479">
        <f t="shared" si="16"/>
        <v>0</v>
      </c>
      <c r="Q25" s="477">
        <f t="shared" ca="1" si="17"/>
        <v>45012.415548265002</v>
      </c>
    </row>
    <row r="26" spans="1:17" s="483" customFormat="1">
      <c r="A26" s="481" t="s">
        <v>561</v>
      </c>
      <c r="B26" s="835">
        <f t="shared" ca="1" si="2"/>
        <v>2.2434855242331229</v>
      </c>
      <c r="C26" s="482"/>
      <c r="D26" s="482">
        <f t="shared" si="4"/>
        <v>7.7581875752339151</v>
      </c>
      <c r="E26" s="482">
        <f t="shared" si="5"/>
        <v>11.557553802751874</v>
      </c>
      <c r="F26" s="482"/>
      <c r="G26" s="482">
        <f t="shared" si="7"/>
        <v>8026.6088948812558</v>
      </c>
      <c r="H26" s="482">
        <f t="shared" si="8"/>
        <v>1076.5015793895889</v>
      </c>
      <c r="I26" s="482"/>
      <c r="J26" s="482"/>
      <c r="K26" s="482"/>
      <c r="L26" s="482"/>
      <c r="M26" s="482">
        <f t="shared" si="13"/>
        <v>0</v>
      </c>
      <c r="N26" s="482"/>
      <c r="O26" s="482"/>
      <c r="P26" s="493"/>
      <c r="Q26" s="481">
        <f t="shared" ca="1" si="17"/>
        <v>9124.669701173063</v>
      </c>
    </row>
    <row r="27" spans="1:17">
      <c r="A27" s="477" t="s">
        <v>551</v>
      </c>
      <c r="B27" s="478">
        <f t="shared" ca="1" si="2"/>
        <v>0</v>
      </c>
      <c r="C27" s="478"/>
      <c r="D27" s="482">
        <f t="shared" si="4"/>
        <v>0</v>
      </c>
      <c r="E27" s="478"/>
      <c r="F27" s="478"/>
      <c r="G27" s="478">
        <f t="shared" si="7"/>
        <v>42.526954318586327</v>
      </c>
      <c r="H27" s="478"/>
      <c r="I27" s="478"/>
      <c r="J27" s="478"/>
      <c r="K27" s="478"/>
      <c r="L27" s="478"/>
      <c r="M27" s="478">
        <f t="shared" si="13"/>
        <v>0</v>
      </c>
      <c r="N27" s="478"/>
      <c r="O27" s="478"/>
      <c r="P27" s="479"/>
      <c r="Q27" s="477">
        <f t="shared" ca="1" si="17"/>
        <v>42.526954318586327</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14766.347371175498</v>
      </c>
      <c r="C31" s="488">
        <f t="shared" ca="1" si="18"/>
        <v>3055.4621848739503</v>
      </c>
      <c r="D31" s="488">
        <f t="shared" ca="1" si="18"/>
        <v>37364.893234543786</v>
      </c>
      <c r="E31" s="488">
        <f t="shared" si="18"/>
        <v>1504.8245603956693</v>
      </c>
      <c r="F31" s="488">
        <f t="shared" ca="1" si="18"/>
        <v>8952.243297166402</v>
      </c>
      <c r="G31" s="488">
        <f t="shared" si="18"/>
        <v>8069.1358491998417</v>
      </c>
      <c r="H31" s="488">
        <f t="shared" si="18"/>
        <v>1076.5015793895889</v>
      </c>
      <c r="I31" s="488">
        <f t="shared" si="18"/>
        <v>0</v>
      </c>
      <c r="J31" s="488">
        <f t="shared" si="18"/>
        <v>94.555720799382883</v>
      </c>
      <c r="K31" s="488">
        <f t="shared" si="18"/>
        <v>0</v>
      </c>
      <c r="L31" s="488">
        <f t="shared" ca="1" si="18"/>
        <v>0</v>
      </c>
      <c r="M31" s="488">
        <f t="shared" si="18"/>
        <v>0</v>
      </c>
      <c r="N31" s="488">
        <f t="shared" ca="1" si="18"/>
        <v>0</v>
      </c>
      <c r="O31" s="488">
        <f t="shared" si="18"/>
        <v>0</v>
      </c>
      <c r="P31" s="489">
        <f t="shared" si="18"/>
        <v>0</v>
      </c>
      <c r="Q31" s="489">
        <f t="shared" ca="1" si="18"/>
        <v>74883.963797544115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0.21250400473497177</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0.21250400473497177</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0.21250400473497177</v>
      </c>
      <c r="C29" s="529">
        <f ca="1">'EF ele_warmte'!B22</f>
        <v>0.23764705882352946</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2019-01-01T21:20:00Z</dcterms:modified>
</cp:coreProperties>
</file>