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C16" i="15"/>
  <c r="D10" i="14" s="1"/>
  <c r="L6" i="17"/>
  <c r="L5" s="1"/>
  <c r="B8" i="9"/>
  <c r="O4" i="48"/>
  <c r="E16"/>
  <c r="I16"/>
  <c r="I24" s="1"/>
  <c r="F16"/>
  <c r="J16"/>
  <c r="K16"/>
  <c r="D16"/>
  <c r="D27" s="1"/>
  <c r="H16"/>
  <c r="L16" i="16"/>
  <c r="L18"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K28"/>
  <c r="D28"/>
  <c r="D30"/>
  <c r="I28"/>
  <c r="E28"/>
  <c r="I20" i="15"/>
  <c r="J36" i="14" s="1"/>
  <c r="G22"/>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10" i="17"/>
  <c r="C12" s="1"/>
  <c r="D48" i="14" s="1"/>
  <c r="C56" i="22"/>
  <c r="C58" s="1"/>
  <c r="D44" i="14" s="1"/>
  <c r="D46" s="1"/>
  <c r="C17" i="49"/>
  <c r="C20" i="16"/>
  <c r="C22" s="1"/>
  <c r="D39" i="14" s="1"/>
  <c r="C18" i="15"/>
  <c r="C20" s="1"/>
  <c r="D36" i="14" s="1"/>
  <c r="C10" i="13"/>
  <c r="C12" s="1"/>
  <c r="D37" i="14" s="1"/>
  <c r="D41" s="1"/>
  <c r="C16" i="22"/>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16"/>
  <c r="C2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<sst xmlns="http://schemas.openxmlformats.org/spreadsheetml/2006/main" count="2153" uniqueCount="870">
  <si>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</si>
  <si>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</si>
  <si>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</si>
  <si>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</si>
  <si>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</si>
  <si>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</si>
  <si>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</si>
  <si>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</si>
  <si>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</si>
  <si>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</si>
  <si>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</si>
  <si>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</si>
  <si>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</si>
  <si>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</si>
  <si>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</si>
  <si>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</si>
  <si>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</si>
  <si>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</si>
  <si>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</si>
  <si>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</si>
  <si>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</si>
  <si>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</si>
  <si>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</si>
  <si>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</si>
  <si>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</si>
  <si>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</si>
  <si>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</si>
  <si>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</si>
  <si>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</si>
  <si>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</si>
  <si>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</si>
  <si>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</si>
  <si>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</si>
  <si>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</si>
  <si>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</si>
  <si>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</si>
  <si>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</si>
  <si>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</si>
  <si>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</si>
  <si>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</si>
  <si>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</si>
  <si>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</si>
  <si>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</si>
  <si>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</si>
  <si>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</si>
  <si>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</si>
  <si>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</si>
  <si>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</si>
  <si>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</si>
  <si>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</si>
  <si>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</si>
  <si>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</si>
  <si>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</si>
  <si>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</si>
  <si>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</si>
  <si>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</si>
  <si>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</si>
  <si>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</si>
  <si>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</si>
  <si>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</si>
  <si>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</si>
  <si>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</si>
  <si>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</si>
  <si>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</si>
  <si>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</si>
  <si>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</si>
  <si>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</si>
  <si>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</si>
  <si>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</si>
  <si>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</si>
  <si>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</si>
  <si>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</si>
  <si>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</si>
  <si>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</si>
  <si>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</si>
  <si>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</si>
  <si>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</si>
  <si>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</si>
  <si>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</si>
  <si>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</si>
  <si>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</si>
  <si>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</si>
  <si>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</si>
  <si>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</si>
  <si>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</si>
  <si>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</si>
  <si>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</si>
  <si>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</si>
  <si>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</si>
  <si>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</si>
  <si>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</si>
  <si>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</si>
  <si>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</si>
  <si>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</si>
  <si>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</si>
  <si>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</si>
  <si>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</si>
  <si>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</si>
  <si>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</si>
  <si>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</si>
  <si>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</si>
  <si>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</si>
  <si>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</si>
  <si>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</si>
  <si>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</si>
  <si>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</si>
  <si>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</si>
  <si>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</si>
  <si>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</si>
  <si>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</si>
  <si>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</si>
  <si>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</si>
  <si>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</si>
  <si>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</si>
  <si>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</si>
  <si>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</si>
  <si>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</si>
  <si>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</si>
  <si>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</si>
  <si>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</si>
  <si>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</si>
  <si>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</si>
  <si>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</si>
  <si>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</si>
  <si>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</si>
  <si>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</si>
  <si>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</si>
  <si>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</si>
  <si>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</si>
  <si>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</si>
  <si>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</si>
  <si>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</si>
  <si>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</si>
  <si>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</si>
  <si>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</si>
  <si>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</si>
  <si>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</si>
  <si>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</si>
  <si>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</si>
  <si>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</si>
  <si>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</si>
  <si>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</si>
  <si>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</si>
  <si>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</si>
  <si>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</si>
  <si>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</si>
  <si>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</si>
  <si>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</si>
  <si>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</si>
  <si>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</si>
  <si>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</si>
  <si>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</si>
  <si>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</si>
  <si>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</si>
  <si>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</si>
  <si>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</si>
  <si>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</si>
  <si>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</si>
  <si>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</si>
  <si>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</si>
  <si>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</si>
  <si>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</si>
  <si>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</si>
  <si>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</si>
  <si>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</si>
  <si>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</si>
  <si>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</si>
  <si>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</si>
  <si>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</si>
  <si>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</si>
  <si>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</si>
  <si>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</si>
  <si>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</si>
  <si>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</si>
  <si>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</si>
  <si>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</si>
  <si>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</si>
  <si>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</si>
  <si>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</si>
  <si>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</si>
  <si>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</si>
  <si>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</si>
  <si>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</si>
  <si>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</si>
  <si>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</si>
  <si>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</si>
  <si>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</si>
  <si>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</si>
  <si>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</si>
  <si>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</si>
  <si>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</si>
  <si>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</si>
  <si>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</si>
  <si>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</si>
  <si>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</si>
  <si>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</si>
  <si>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</si>
  <si>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</si>
  <si>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</si>
  <si>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</si>
  <si>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</si>
  <si>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</si>
  <si>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</si>
  <si>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</si>
  <si>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</si>
  <si>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</si>
  <si>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</si>
  <si>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</si>
  <si>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</si>
  <si>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</si>
  <si>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</si>
  <si>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</si>
  <si>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</si>
  <si>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</si>
  <si>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</si>
  <si>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</si>
  <si>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</si>
  <si>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</si>
  <si>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</si>
  <si>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</si>
  <si>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</si>
  <si>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</si>
  <si>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</si>
  <si>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</si>
  <si>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</si>
  <si>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</si>
  <si>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</si>
  <si>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</si>
  <si>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</si>
  <si>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</si>
  <si>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</si>
  <si>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</si>
  <si>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</si>
  <si>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</si>
  <si>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</si>
  <si>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</si>
  <si>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</si>
  <si>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</si>
  <si>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</si>
  <si>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</si>
  <si>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</si>
  <si>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</si>
  <si>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</si>
  <si>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</si>
  <si>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</si>
  <si>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</si>
  <si>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</si>
  <si>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</si>
  <si>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</si>
  <si>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</si>
  <si>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</si>
  <si>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</si>
  <si>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</si>
  <si>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</si>
  <si>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</si>
  <si>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</si>
  <si>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</si>
  <si>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</si>
  <si>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</si>
  <si>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</si>
  <si>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</si>
  <si>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</si>
  <si>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</si>
  <si>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</si>
  <si>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</si>
  <si>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</si>
  <si>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</si>
  <si>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</si>
  <si>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</si>
  <si>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</si>
  <si>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</si>
  <si>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</si>
  <si>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</si>
  <si>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</si>
  <si>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</si>
  <si>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</si>
  <si>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</si>
  <si>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</si>
  <si>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</si>
  <si>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</si>
  <si>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</si>
  <si>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</si>
  <si>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</si>
  <si>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</si>
  <si>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</si>
  <si>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</si>
  <si>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</si>
  <si>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</si>
  <si>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</si>
  <si>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</si>
  <si>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</si>
  <si>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</si>
  <si>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</si>
  <si>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</si>
  <si>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</si>
  <si>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</si>
  <si>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</si>
  <si>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</si>
  <si>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</si>
  <si>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</si>
  <si>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</si>
  <si>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</si>
  <si>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</si>
  <si>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</si>
  <si>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</si>
  <si>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</si>
  <si>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</si>
  <si>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</si>
  <si>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</si>
  <si>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</si>
  <si>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</si>
  <si>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</si>
  <si>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</si>
  <si>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</si>
  <si>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</si>
  <si>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</si>
  <si>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</si>
  <si>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</si>
  <si>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</si>
  <si>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</si>
  <si>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</si>
  <si>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</si>
  <si>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</si>
  <si>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</si>
  <si>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</si>
  <si>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</si>
  <si>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</si>
  <si>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</si>
  <si>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</si>
  <si>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</si>
  <si>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</si>
  <si>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</si>
  <si>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</si>
  <si>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</si>
  <si>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</si>
  <si>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</si>
  <si>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</si>
  <si>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</si>
  <si>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</si>
  <si>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</si>
  <si>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</si>
  <si>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</si>
  <si>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</si>
  <si>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</si>
  <si>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</si>
  <si>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</si>
  <si>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</si>
  <si>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</si>
  <si>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</si>
  <si>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</si>
  <si>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</si>
  <si>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</si>
  <si>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</si>
  <si>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</si>
  <si>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</si>
  <si>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</si>
  <si>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</si>
  <si>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</si>
  <si>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</si>
  <si>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</si>
  <si>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</si>
  <si>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</si>
  <si>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</si>
  <si>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</si>
  <si>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</si>
  <si>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</si>
  <si>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</si>
  <si>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</si>
  <si>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</si>
  <si>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</si>
  <si>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</si>
  <si>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</si>
  <si>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</si>
  <si>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</si>
  <si>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</si>
  <si>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</si>
  <si>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</si>
  <si>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</si>
  <si>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</si>
  <si>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</si>
  <si>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</si>
  <si>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</si>
  <si>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</si>
  <si>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</si>
  <si>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</si>
  <si>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</si>
  <si>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</si>
  <si>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</si>
  <si>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</si>
  <si>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</si>
  <si>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</si>
  <si>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</si>
  <si>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</si>
  <si>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</si>
  <si>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</si>
  <si>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</si>
  <si>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</si>
  <si>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</si>
  <si>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</si>
  <si>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</si>
  <si>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</si>
  <si>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</si>
  <si>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</si>
  <si>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</si>
  <si>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</si>
  <si>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</si>
  <si>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</si>
  <si>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</si>
  <si>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</si>
  <si>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</si>
  <si>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</si>
  <si>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</si>
  <si>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</si>
  <si>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</si>
  <si>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</si>
  <si>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</si>
  <si>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</si>
  <si>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</si>
  <si>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</si>
  <si>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</si>
  <si>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</si>
  <si>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</si>
  <si>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</si>
  <si>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</si>
  <si>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</si>
  <si>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</si>
  <si>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</si>
  <si>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</si>
  <si>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</si>
  <si>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</si>
  <si>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</si>
  <si>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</si>
  <si>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</si>
  <si>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</si>
  <si>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</si>
  <si>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</si>
  <si>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</si>
  <si>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</si>
  <si>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</si>
  <si>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</si>
  <si>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</si>
  <si>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</si>
  <si>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</si>
  <si>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</si>
  <si>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</si>
  <si>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</si>
  <si>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</si>
  <si>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</si>
  <si>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</si>
  <si>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</si>
  <si>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</si>
  <si>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</si>
  <si>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</si>
  <si>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</si>
  <si>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</si>
  <si>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</si>
  <si>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</si>
  <si>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</si>
  <si>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</si>
  <si>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</si>
  <si>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</si>
  <si>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</si>
  <si>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</si>
  <si>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</si>
  <si>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</si>
  <si>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</si>
  <si>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</si>
  <si>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</si>
  <si>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</si>
  <si>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</si>
  <si>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</si>
  <si>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</si>
  <si>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</si>
  <si>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</si>
  <si>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</si>
  <si>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</si>
  <si>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</si>
  <si>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</si>
  <si>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</si>
  <si>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</si>
  <si>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</si>
  <si>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</si>
  <si>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</si>
  <si>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</si>
  <si>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</si>
  <si>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</si>
  <si>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</si>
  <si>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</si>
  <si>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</si>
  <si>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</si>
  <si>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</si>
  <si>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</si>
  <si>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</si>
  <si>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</si>
  <si>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</si>
  <si>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</si>
  <si>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</si>
  <si>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</si>
  <si>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</si>
  <si>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</si>
  <si>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</si>
  <si>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</si>
  <si>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</si>
  <si>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</si>
  <si>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</si>
  <si>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</si>
  <si>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</si>
  <si>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</si>
  <si>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</si>
  <si>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</si>
  <si>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</si>
  <si>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</si>
  <si>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</si>
  <si>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</si>
  <si>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</si>
  <si>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</si>
  <si>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</si>
  <si>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</si>
  <si>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</si>
  <si>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</si>
  <si>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</si>
  <si>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</si>
  <si>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</si>
  <si>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</si>
  <si>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</si>
  <si>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</si>
  <si>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</si>
  <si>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</si>
  <si>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</si>
  <si>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</si>
  <si>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</si>
  <si>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</si>
  <si>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</si>
  <si>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</si>
  <si>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</si>
  <si>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</si>
  <si>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</si>
  <si>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</si>
  <si>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</si>
  <si>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</si>
  <si>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</si>
  <si>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</si>
  <si>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</si>
  <si>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</si>
  <si>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</si>
  <si>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</si>
  <si>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</si>
  <si>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</si>
  <si>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</si>
  <si>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</si>
  <si>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</si>
  <si>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</si>
  <si>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</si>
  <si>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</si>
  <si>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</si>
  <si>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</si>
  <si>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</si>
  <si>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</si>
  <si>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</si>
  <si>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</si>
  <si>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</si>
  <si>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</si>
  <si>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</si>
  <si>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</si>
  <si>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</si>
  <si>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</si>
  <si>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</si>
  <si>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</si>
  <si>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</si>
  <si>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</si>
  <si>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</si>
  <si>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</si>
  <si>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</si>
  <si>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</si>
  <si>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</si>
  <si>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</si>
  <si>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</si>
  <si>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</si>
  <si>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</si>
  <si>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</si>
  <si>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</si>
  <si>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</si>
  <si>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</si>
  <si>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</si>
  <si>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</si>
  <si>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</si>
  <si>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</si>
  <si>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</si>
  <si>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</si>
  <si>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</si>
  <si>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</si>
  <si>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</si>
  <si>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</si>
  <si>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</si>
  <si>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</si>
  <si>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</si>
  <si>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</si>
  <si>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</si>
  <si>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</si>
  <si>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</si>
  <si>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</si>
  <si>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</si>
  <si>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</si>
  <si>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</si>
  <si>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</si>
  <si>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</si>
  <si>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</si>
  <si>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</si>
  <si>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</si>
  <si>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</si>
  <si>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</si>
  <si>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</si>
  <si>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</si>
  <si>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</si>
  <si>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</si>
  <si>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</si>
  <si>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</si>
  <si>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</si>
  <si>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</si>
  <si>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</si>
  <si>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</si>
  <si>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</si>
  <si>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</si>
  <si>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</si>
  <si>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</si>
  <si>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</si>
  <si>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</si>
  <si>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</si>
  <si>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</si>
  <si>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</si>
  <si>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</si>
  <si>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</si>
  <si>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</si>
  <si>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</si>
  <si>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</si>
  <si>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</si>
  <si>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</si>
  <si>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</si>
  <si>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</si>
  <si>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</si>
  <si>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</si>
  <si>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</si>
  <si>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</si>
  <si>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</si>
  <si>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</si>
  <si>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</si>
  <si>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</si>
  <si>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</si>
  <si>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</si>
  <si>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</si>
  <si>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</si>
  <si>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</si>
  <si>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</si>
  <si>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</si>
  <si>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</si>
  <si>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</si>
  <si>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</si>
  <si>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</si>
  <si>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</si>
  <si>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</si>
  <si>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</si>
  <si>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</si>
  <si>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</si>
  <si>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</si>
  <si>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</si>
  <si>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</si>
  <si>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</si>
  <si>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</si>
  <si>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</si>
  <si>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</si>
  <si>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</si>
  <si>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</si>
  <si>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</si>
  <si>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</si>
  <si>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</si>
  <si>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</si>
  <si>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</si>
  <si>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</si>
  <si>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</si>
  <si>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</si>
  <si>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</si>
  <si>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</si>
  <si>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</si>
  <si>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</si>
  <si>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</si>
  <si>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</si>
  <si>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</si>
  <si>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</si>
  <si>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</si>
  <si>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</si>
  <si>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</si>
  <si>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</si>
  <si>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</si>
  <si>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</si>
  <si>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</si>
  <si>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</si>
  <si>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</si>
  <si>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</si>
  <si>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</si>
  <si>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</si>
  <si>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</si>
  <si>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</si>
  <si>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</si>
  <si>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</si>
  <si>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</si>
  <si>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</si>
  <si>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</si>
  <si>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</si>
  <si>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</si>
  <si>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</si>
  <si>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</si>
  <si>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</si>
  <si>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</si>
  <si>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</si>
  <si>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</si>
  <si>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</si>
  <si>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</si>
  <si>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</si>
  <si>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</si>
  <si>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</si>
  <si>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</si>
  <si>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</si>
  <si>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</si>
  <si>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</si>
  <si>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</si>
  <si>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</si>
  <si>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</si>
  <si>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</si>
  <si>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</si>
  <si>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</si>
  <si>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</si>
  <si>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</si>
  <si>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</si>
  <si>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</si>
  <si>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</si>
  <si>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</si>
  <si>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</si>
  <si>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</si>
  <si>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</si>
  <si>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</si>
  <si>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</si>
  <si>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</si>
  <si>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</si>
  <si>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</si>
  <si>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</si>
  <si>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</si>
  <si>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</si>
  <si>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</si>
  <si>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</si>
  <si>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</si>
  <si>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</si>
  <si>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</si>
  <si>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</si>
  <si>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</si>
  <si>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</si>
  <si>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</si>
  <si>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</si>
  <si>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</si>
  <si>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</si>
  <si>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</si>
  <si>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</si>
  <si>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</si>
  <si>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</si>
  <si>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</si>
  <si>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</si>
  <si>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</si>
  <si>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</si>
  <si>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</si>
  <si>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</si>
  <si>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</si>
  <si>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</si>
  <si>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</si>
  <si>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</si>
  <si>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</si>
  <si>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</si>
  <si>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</si>
  <si>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</si>
  <si>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</si>
  <si>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</si>
  <si>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</si>
  <si>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</si>
  <si>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</si>
  <si>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</si>
  <si>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</si>
  <si>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</si>
  <si>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</si>
  <si>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</si>
  <si>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</si>
  <si>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</si>
  <si>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</si>
  <si>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</si>
  <si>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</si>
  <si>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</si>
  <si>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</si>
  <si>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</si>
  <si>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</si>
  <si>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</si>
  <si>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</si>
  <si>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</si>
  <si>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</si>
  <si>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</si>
  <si>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</si>
  <si>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</si>
  <si>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</si>
  <si>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</si>
  <si>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</si>
  <si>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</si>
  <si>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</si>
  <si>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</si>
  <si>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</si>
  <si>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</si>
  <si>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</si>
  <si>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</si>
  <si>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</si>
  <si>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</si>
  <si>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</si>
  <si>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</si>
  <si>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</si>
  <si>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</si>
  <si>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</si>
  <si>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</si>
  <si>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</si>
  <si>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</si>
  <si>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</si>
  <si>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</si>
  <si>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</si>
  <si>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</si>
  <si>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</si>
  <si>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</si>
  <si>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</si>
  <si>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</si>
  <si>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</si>
  <si>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</si>
  <si>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</si>
  <si>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</si>
  <si>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</si>
  <si>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36015</t>
  </si>
  <si>
    <t>ROESELARE</t>
  </si>
  <si>
    <t>Eandis (januari 2018); Infrax (juni 2018)</t>
  </si>
  <si>
    <t>MOW (september 2017)</t>
  </si>
  <si>
    <t>referentietaak LNE (2017); Jaarverslag De Lijn (2016)</t>
  </si>
  <si>
    <t>VEA (april 2018)</t>
  </si>
  <si>
    <t>VEA (januari 2017)</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</si>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</sst>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433124.3027517533</c:v>
                </c:pt>
                <c:pt idx="1">
                  <c:v>431781.60529500962</c:v>
                </c:pt>
                <c:pt idx="2">
                  <c:v>5452.5029999999997</c:v>
                </c:pt>
                <c:pt idx="3">
                  <c:v>31646.963429008229</c:v>
                </c:pt>
                <c:pt idx="4">
                  <c:v>579038.89068006095</c:v>
                </c:pt>
                <c:pt idx="5">
                  <c:v>274750.46841174946</c:v>
                </c:pt>
                <c:pt idx="6">
                  <c:v>5223.1915614046366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433124.3027517533</c:v>
                </c:pt>
                <c:pt idx="1">
                  <c:v>431781.60529500962</c:v>
                </c:pt>
                <c:pt idx="2">
                  <c:v>5452.5029999999997</c:v>
                </c:pt>
                <c:pt idx="3">
                  <c:v>31646.963429008229</c:v>
                </c:pt>
                <c:pt idx="4">
                  <c:v>579038.89068006095</c:v>
                </c:pt>
                <c:pt idx="5">
                  <c:v>274750.46841174946</c:v>
                </c:pt>
                <c:pt idx="6">
                  <c:v>5223.1915614046366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76433.165990548514</c:v>
                </c:pt>
                <c:pt idx="1">
                  <c:v>82232.708011112394</c:v>
                </c:pt>
                <c:pt idx="2">
                  <c:v>1040.9719814888922</c:v>
                </c:pt>
                <c:pt idx="3">
                  <c:v>7370.5593058017712</c:v>
                </c:pt>
                <c:pt idx="4">
                  <c:v>108792.12771678303</c:v>
                </c:pt>
                <c:pt idx="5">
                  <c:v>68808.740979298862</c:v>
                </c:pt>
                <c:pt idx="6">
                  <c:v>1319.6422904586768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59776"/>
        <c:axId val="184061312"/>
      </c:barChart>
      <c:catAx>
        <c:axId val="184059776"/>
        <c:scaling>
          <c:orientation val="minMax"/>
        </c:scaling>
        <c:axPos val="b"/>
        <c:numFmt formatCode="General" sourceLinked="0"/>
        <c:tickLblPos val="nextTo"/>
        <c:crossAx val="184061312"/>
        <c:crosses val="autoZero"/>
        <c:auto val="1"/>
        <c:lblAlgn val="ctr"/>
        <c:lblOffset val="100"/>
      </c:catAx>
      <c:valAx>
        <c:axId val="184061312"/>
        <c:scaling>
          <c:orientation val="minMax"/>
        </c:scaling>
        <c:axPos val="l"/>
        <c:majorGridlines>
          <c:spPr>
            <a:ln>
              <a:noFill/>
            </a:ln>
          </c:spPr>
        </c:majorGridlines>
        <c:numFmt formatCode="#,##0" sourceLinked="1"/>
        <c:tickLblPos val="nextTo"/>
        <c:crossAx val="1840597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76433.165990548514</c:v>
                </c:pt>
                <c:pt idx="1">
                  <c:v>82232.708011112394</c:v>
                </c:pt>
                <c:pt idx="2">
                  <c:v>1040.9719814888922</c:v>
                </c:pt>
                <c:pt idx="3">
                  <c:v>7370.5593058017712</c:v>
                </c:pt>
                <c:pt idx="4">
                  <c:v>108792.12771678303</c:v>
                </c:pt>
                <c:pt idx="5">
                  <c:v>68808.740979298862</c:v>
                </c:pt>
                <c:pt idx="6">
                  <c:v>1319.6422904586768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36015</v>
      </c>
      <c r="B6" s="415"/>
      <c r="C6" s="416"/>
    </row>
    <row r="7" spans="1:7" s="413" customFormat="1" ht="15.75" customHeight="1">
      <c r="A7" s="417" t="str">
        <f>txtMunicipality</f>
        <v>ROESELARE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26415</v>
      </c>
      <c r="C9" s="342">
        <v>26419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2383.13</v>
      </c>
    </row>
    <row r="15" spans="1:6">
      <c r="A15" s="348" t="s">
        <v>184</v>
      </c>
      <c r="B15" s="334">
        <v>13</v>
      </c>
    </row>
    <row r="16" spans="1:6">
      <c r="A16" s="348" t="s">
        <v>6</v>
      </c>
      <c r="B16" s="334">
        <v>416</v>
      </c>
    </row>
    <row r="17" spans="1:6">
      <c r="A17" s="348" t="s">
        <v>7</v>
      </c>
      <c r="B17" s="334">
        <v>495</v>
      </c>
    </row>
    <row r="18" spans="1:6">
      <c r="A18" s="348" t="s">
        <v>8</v>
      </c>
      <c r="B18" s="334">
        <v>626</v>
      </c>
    </row>
    <row r="19" spans="1:6">
      <c r="A19" s="348" t="s">
        <v>9</v>
      </c>
      <c r="B19" s="334">
        <v>742</v>
      </c>
    </row>
    <row r="20" spans="1:6">
      <c r="A20" s="348" t="s">
        <v>10</v>
      </c>
      <c r="B20" s="334">
        <v>415</v>
      </c>
    </row>
    <row r="21" spans="1:6">
      <c r="A21" s="348" t="s">
        <v>11</v>
      </c>
      <c r="B21" s="334">
        <v>16264</v>
      </c>
    </row>
    <row r="22" spans="1:6">
      <c r="A22" s="348" t="s">
        <v>12</v>
      </c>
      <c r="B22" s="334">
        <v>33048</v>
      </c>
    </row>
    <row r="23" spans="1:6">
      <c r="A23" s="348" t="s">
        <v>13</v>
      </c>
      <c r="B23" s="334">
        <v>686</v>
      </c>
    </row>
    <row r="24" spans="1:6">
      <c r="A24" s="348" t="s">
        <v>14</v>
      </c>
      <c r="B24" s="334">
        <v>67</v>
      </c>
    </row>
    <row r="25" spans="1:6">
      <c r="A25" s="348" t="s">
        <v>15</v>
      </c>
      <c r="B25" s="334">
        <v>3715</v>
      </c>
    </row>
    <row r="26" spans="1:6">
      <c r="A26" s="348" t="s">
        <v>16</v>
      </c>
      <c r="B26" s="334">
        <v>638</v>
      </c>
    </row>
    <row r="27" spans="1:6">
      <c r="A27" s="348" t="s">
        <v>17</v>
      </c>
      <c r="B27" s="334">
        <v>27</v>
      </c>
    </row>
    <row r="28" spans="1:6" s="356" customFormat="1">
      <c r="A28" s="355" t="s">
        <v>18</v>
      </c>
      <c r="B28" s="355">
        <v>101130</v>
      </c>
    </row>
    <row r="29" spans="1:6">
      <c r="A29" s="355" t="s">
        <v>744</v>
      </c>
      <c r="B29" s="355">
        <v>40</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963349.80618863495</v>
      </c>
      <c r="E36" s="334">
        <v>17</v>
      </c>
      <c r="F36" s="334">
        <v>165415.07628913899</v>
      </c>
    </row>
    <row r="37" spans="1:6">
      <c r="A37" s="348" t="s">
        <v>25</v>
      </c>
      <c r="B37" s="348" t="s">
        <v>28</v>
      </c>
      <c r="C37" s="334">
        <v>0</v>
      </c>
      <c r="D37" s="334">
        <v>0</v>
      </c>
      <c r="E37" s="334">
        <v>0</v>
      </c>
      <c r="F37" s="334">
        <v>0</v>
      </c>
    </row>
    <row r="38" spans="1:6">
      <c r="A38" s="348" t="s">
        <v>25</v>
      </c>
      <c r="B38" s="348" t="s">
        <v>29</v>
      </c>
      <c r="C38" s="334">
        <v>2</v>
      </c>
      <c r="D38" s="334">
        <v>8470.1152087831997</v>
      </c>
      <c r="E38" s="334">
        <v>2</v>
      </c>
      <c r="F38" s="334">
        <v>19770</v>
      </c>
    </row>
    <row r="39" spans="1:6">
      <c r="A39" s="348" t="s">
        <v>30</v>
      </c>
      <c r="B39" s="348" t="s">
        <v>31</v>
      </c>
      <c r="C39" s="334">
        <v>21345</v>
      </c>
      <c r="D39" s="334">
        <v>307873957.37481499</v>
      </c>
      <c r="E39" s="334">
        <v>25602</v>
      </c>
      <c r="F39" s="334">
        <v>81417583.559952796</v>
      </c>
    </row>
    <row r="40" spans="1:6">
      <c r="A40" s="348" t="s">
        <v>30</v>
      </c>
      <c r="B40" s="348" t="s">
        <v>29</v>
      </c>
      <c r="C40" s="334">
        <v>0</v>
      </c>
      <c r="D40" s="334">
        <v>0</v>
      </c>
      <c r="E40" s="334">
        <v>1</v>
      </c>
      <c r="F40" s="334">
        <v>24464.373263286001</v>
      </c>
    </row>
    <row r="41" spans="1:6">
      <c r="A41" s="348" t="s">
        <v>32</v>
      </c>
      <c r="B41" s="348" t="s">
        <v>33</v>
      </c>
      <c r="C41" s="334">
        <v>356</v>
      </c>
      <c r="D41" s="334">
        <v>9405528.4272498097</v>
      </c>
      <c r="E41" s="334">
        <v>636</v>
      </c>
      <c r="F41" s="334">
        <v>9148998.6434138697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49</v>
      </c>
      <c r="D44" s="334">
        <v>29019867.751027901</v>
      </c>
      <c r="E44" s="334">
        <v>157</v>
      </c>
      <c r="F44" s="334">
        <v>22479566.328795001</v>
      </c>
    </row>
    <row r="45" spans="1:6">
      <c r="A45" s="348" t="s">
        <v>32</v>
      </c>
      <c r="B45" s="348" t="s">
        <v>37</v>
      </c>
      <c r="C45" s="334">
        <v>15</v>
      </c>
      <c r="D45" s="334">
        <v>2485371.1119585298</v>
      </c>
      <c r="E45" s="334">
        <v>24</v>
      </c>
      <c r="F45" s="334">
        <v>22630540.0627129</v>
      </c>
    </row>
    <row r="46" spans="1:6">
      <c r="A46" s="348" t="s">
        <v>32</v>
      </c>
      <c r="B46" s="348" t="s">
        <v>38</v>
      </c>
      <c r="C46" s="334">
        <v>0</v>
      </c>
      <c r="D46" s="334">
        <v>0</v>
      </c>
      <c r="E46" s="334">
        <v>0</v>
      </c>
      <c r="F46" s="334">
        <v>0</v>
      </c>
    </row>
    <row r="47" spans="1:6">
      <c r="A47" s="348" t="s">
        <v>32</v>
      </c>
      <c r="B47" s="348" t="s">
        <v>39</v>
      </c>
      <c r="C47" s="334">
        <v>16</v>
      </c>
      <c r="D47" s="334">
        <v>21408179.469154701</v>
      </c>
      <c r="E47" s="334">
        <v>31</v>
      </c>
      <c r="F47" s="334">
        <v>2569586.8936323598</v>
      </c>
    </row>
    <row r="48" spans="1:6">
      <c r="A48" s="348" t="s">
        <v>32</v>
      </c>
      <c r="B48" s="348" t="s">
        <v>29</v>
      </c>
      <c r="C48" s="334">
        <v>61</v>
      </c>
      <c r="D48" s="334">
        <v>156869829.385079</v>
      </c>
      <c r="E48" s="334">
        <v>68</v>
      </c>
      <c r="F48" s="334">
        <v>61749125.285372801</v>
      </c>
    </row>
    <row r="49" spans="1:6">
      <c r="A49" s="348" t="s">
        <v>32</v>
      </c>
      <c r="B49" s="348" t="s">
        <v>40</v>
      </c>
      <c r="C49" s="334">
        <v>7</v>
      </c>
      <c r="D49" s="334">
        <v>580230.47621302505</v>
      </c>
      <c r="E49" s="334">
        <v>26</v>
      </c>
      <c r="F49" s="334">
        <v>2701318.5126253902</v>
      </c>
    </row>
    <row r="50" spans="1:6">
      <c r="A50" s="348" t="s">
        <v>32</v>
      </c>
      <c r="B50" s="348" t="s">
        <v>41</v>
      </c>
      <c r="C50" s="334">
        <v>79</v>
      </c>
      <c r="D50" s="334">
        <v>103605138.66139799</v>
      </c>
      <c r="E50" s="334">
        <v>115</v>
      </c>
      <c r="F50" s="334">
        <v>89878166.470898896</v>
      </c>
    </row>
    <row r="51" spans="1:6">
      <c r="A51" s="348" t="s">
        <v>42</v>
      </c>
      <c r="B51" s="348" t="s">
        <v>43</v>
      </c>
      <c r="C51" s="334">
        <v>41</v>
      </c>
      <c r="D51" s="334">
        <v>2431333.2877385998</v>
      </c>
      <c r="E51" s="334">
        <v>191</v>
      </c>
      <c r="F51" s="334">
        <v>3419974.7741710702</v>
      </c>
    </row>
    <row r="52" spans="1:6">
      <c r="A52" s="348" t="s">
        <v>42</v>
      </c>
      <c r="B52" s="348" t="s">
        <v>29</v>
      </c>
      <c r="C52" s="334">
        <v>5</v>
      </c>
      <c r="D52" s="334">
        <v>204625.48383896099</v>
      </c>
      <c r="E52" s="334">
        <v>5</v>
      </c>
      <c r="F52" s="334">
        <v>42021.463089327801</v>
      </c>
    </row>
    <row r="53" spans="1:6">
      <c r="A53" s="348" t="s">
        <v>44</v>
      </c>
      <c r="B53" s="348" t="s">
        <v>45</v>
      </c>
      <c r="C53" s="334">
        <v>647</v>
      </c>
      <c r="D53" s="334">
        <v>11952899.7568588</v>
      </c>
      <c r="E53" s="334">
        <v>1117</v>
      </c>
      <c r="F53" s="334">
        <v>4531807.4237490902</v>
      </c>
    </row>
    <row r="54" spans="1:6">
      <c r="A54" s="348" t="s">
        <v>46</v>
      </c>
      <c r="B54" s="348" t="s">
        <v>47</v>
      </c>
      <c r="C54" s="334">
        <v>0</v>
      </c>
      <c r="D54" s="334">
        <v>0</v>
      </c>
      <c r="E54" s="334">
        <v>1</v>
      </c>
      <c r="F54" s="334">
        <v>5452503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269</v>
      </c>
      <c r="D57" s="334">
        <v>51950671.818329901</v>
      </c>
      <c r="E57" s="334">
        <v>380</v>
      </c>
      <c r="F57" s="334">
        <v>13426763.344328901</v>
      </c>
    </row>
    <row r="58" spans="1:6">
      <c r="A58" s="348" t="s">
        <v>49</v>
      </c>
      <c r="B58" s="348" t="s">
        <v>51</v>
      </c>
      <c r="C58" s="334">
        <v>342</v>
      </c>
      <c r="D58" s="334">
        <v>25384953.139663201</v>
      </c>
      <c r="E58" s="334">
        <v>381</v>
      </c>
      <c r="F58" s="334">
        <v>20231737.910697501</v>
      </c>
    </row>
    <row r="59" spans="1:6">
      <c r="A59" s="348" t="s">
        <v>49</v>
      </c>
      <c r="B59" s="348" t="s">
        <v>52</v>
      </c>
      <c r="C59" s="334">
        <v>731</v>
      </c>
      <c r="D59" s="334">
        <v>68437820.771783903</v>
      </c>
      <c r="E59" s="334">
        <v>1196</v>
      </c>
      <c r="F59" s="334">
        <v>53525888.722527102</v>
      </c>
    </row>
    <row r="60" spans="1:6">
      <c r="A60" s="348" t="s">
        <v>49</v>
      </c>
      <c r="B60" s="348" t="s">
        <v>53</v>
      </c>
      <c r="C60" s="334">
        <v>307</v>
      </c>
      <c r="D60" s="334">
        <v>20988087.344529599</v>
      </c>
      <c r="E60" s="334">
        <v>403</v>
      </c>
      <c r="F60" s="334">
        <v>12089912.488436701</v>
      </c>
    </row>
    <row r="61" spans="1:6">
      <c r="A61" s="348" t="s">
        <v>49</v>
      </c>
      <c r="B61" s="348" t="s">
        <v>54</v>
      </c>
      <c r="C61" s="334">
        <v>849</v>
      </c>
      <c r="D61" s="334">
        <v>39646835.110002004</v>
      </c>
      <c r="E61" s="334">
        <v>1788</v>
      </c>
      <c r="F61" s="334">
        <v>48691130.4521311</v>
      </c>
    </row>
    <row r="62" spans="1:6">
      <c r="A62" s="348" t="s">
        <v>49</v>
      </c>
      <c r="B62" s="348" t="s">
        <v>55</v>
      </c>
      <c r="C62" s="334">
        <v>55</v>
      </c>
      <c r="D62" s="334">
        <v>4264994.7012659404</v>
      </c>
      <c r="E62" s="334">
        <v>86</v>
      </c>
      <c r="F62" s="334">
        <v>2896011.0965526602</v>
      </c>
    </row>
    <row r="63" spans="1:6">
      <c r="A63" s="348" t="s">
        <v>49</v>
      </c>
      <c r="B63" s="348" t="s">
        <v>29</v>
      </c>
      <c r="C63" s="334">
        <v>97</v>
      </c>
      <c r="D63" s="334">
        <v>6271315.9433430601</v>
      </c>
      <c r="E63" s="334">
        <v>65</v>
      </c>
      <c r="F63" s="334">
        <v>4707816.1479504704</v>
      </c>
    </row>
    <row r="64" spans="1:6">
      <c r="A64" s="348" t="s">
        <v>56</v>
      </c>
      <c r="B64" s="348" t="s">
        <v>57</v>
      </c>
      <c r="C64" s="334">
        <v>0</v>
      </c>
      <c r="D64" s="334">
        <v>0</v>
      </c>
      <c r="E64" s="334">
        <v>0</v>
      </c>
      <c r="F64" s="334">
        <v>0</v>
      </c>
    </row>
    <row r="65" spans="1:6">
      <c r="A65" s="348" t="s">
        <v>56</v>
      </c>
      <c r="B65" s="348" t="s">
        <v>29</v>
      </c>
      <c r="C65" s="334">
        <v>2</v>
      </c>
      <c r="D65" s="334">
        <v>24861.109523614901</v>
      </c>
      <c r="E65" s="334">
        <v>0</v>
      </c>
      <c r="F65" s="334">
        <v>0</v>
      </c>
    </row>
    <row r="66" spans="1:6">
      <c r="A66" s="348" t="s">
        <v>56</v>
      </c>
      <c r="B66" s="348" t="s">
        <v>58</v>
      </c>
      <c r="C66" s="334">
        <v>0</v>
      </c>
      <c r="D66" s="334">
        <v>0</v>
      </c>
      <c r="E66" s="334">
        <v>22</v>
      </c>
      <c r="F66" s="334">
        <v>562448.918589768</v>
      </c>
    </row>
    <row r="67" spans="1:6">
      <c r="A67" s="355" t="s">
        <v>56</v>
      </c>
      <c r="B67" s="355" t="s">
        <v>59</v>
      </c>
      <c r="C67" s="334">
        <v>0</v>
      </c>
      <c r="D67" s="334">
        <v>0</v>
      </c>
      <c r="E67" s="334">
        <v>0</v>
      </c>
      <c r="F67" s="334">
        <v>0</v>
      </c>
    </row>
    <row r="68" spans="1:6">
      <c r="A68" s="341" t="s">
        <v>56</v>
      </c>
      <c r="B68" s="341" t="s">
        <v>60</v>
      </c>
      <c r="C68" s="334">
        <v>26</v>
      </c>
      <c r="D68" s="334">
        <v>1302399.78247361</v>
      </c>
      <c r="E68" s="334">
        <v>53</v>
      </c>
      <c r="F68" s="334">
        <v>1568513.21154492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131873519</v>
      </c>
      <c r="E73" s="476">
        <v>141712359.61163843</v>
      </c>
    </row>
    <row r="74" spans="1:6">
      <c r="A74" s="348" t="s">
        <v>64</v>
      </c>
      <c r="B74" s="348" t="s">
        <v>657</v>
      </c>
      <c r="C74" s="1272" t="s">
        <v>659</v>
      </c>
      <c r="D74" s="476">
        <v>17177242.577311378</v>
      </c>
      <c r="E74" s="476">
        <v>19270686.712025456</v>
      </c>
    </row>
    <row r="75" spans="1:6">
      <c r="A75" s="348" t="s">
        <v>65</v>
      </c>
      <c r="B75" s="348" t="s">
        <v>656</v>
      </c>
      <c r="C75" s="1272" t="s">
        <v>660</v>
      </c>
      <c r="D75" s="476">
        <v>63948959</v>
      </c>
      <c r="E75" s="476">
        <v>68446519.715184838</v>
      </c>
    </row>
    <row r="76" spans="1:6">
      <c r="A76" s="348" t="s">
        <v>65</v>
      </c>
      <c r="B76" s="348" t="s">
        <v>657</v>
      </c>
      <c r="C76" s="1272" t="s">
        <v>661</v>
      </c>
      <c r="D76" s="476">
        <v>3761679.5773113775</v>
      </c>
      <c r="E76" s="476">
        <v>4352791.949933433</v>
      </c>
    </row>
    <row r="77" spans="1:6">
      <c r="A77" s="348" t="s">
        <v>66</v>
      </c>
      <c r="B77" s="348" t="s">
        <v>656</v>
      </c>
      <c r="C77" s="1272" t="s">
        <v>662</v>
      </c>
      <c r="D77" s="476">
        <v>70962065</v>
      </c>
      <c r="E77" s="476">
        <v>75081531.539657161</v>
      </c>
    </row>
    <row r="78" spans="1:6">
      <c r="A78" s="341" t="s">
        <v>66</v>
      </c>
      <c r="B78" s="341" t="s">
        <v>657</v>
      </c>
      <c r="C78" s="341" t="s">
        <v>663</v>
      </c>
      <c r="D78" s="1273">
        <v>11795924</v>
      </c>
      <c r="E78" s="1273">
        <v>12422295.847706595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1416616.8453772448</v>
      </c>
      <c r="C83" s="476">
        <v>1415431.2339749315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21529.419332099973</v>
      </c>
    </row>
    <row r="91" spans="1:6">
      <c r="A91" s="348" t="s">
        <v>68</v>
      </c>
      <c r="B91" s="334">
        <v>12227.139040775221</v>
      </c>
    </row>
    <row r="92" spans="1:6">
      <c r="A92" s="341" t="s">
        <v>69</v>
      </c>
      <c r="B92" s="342">
        <v>13633.869189852217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15096</v>
      </c>
    </row>
    <row r="98" spans="1:6">
      <c r="A98" s="348" t="s">
        <v>72</v>
      </c>
      <c r="B98" s="334">
        <v>2</v>
      </c>
    </row>
    <row r="99" spans="1:6">
      <c r="A99" s="348" t="s">
        <v>73</v>
      </c>
      <c r="B99" s="334">
        <v>218</v>
      </c>
    </row>
    <row r="100" spans="1:6">
      <c r="A100" s="348" t="s">
        <v>74</v>
      </c>
      <c r="B100" s="334">
        <v>1605</v>
      </c>
    </row>
    <row r="101" spans="1:6">
      <c r="A101" s="348" t="s">
        <v>75</v>
      </c>
      <c r="B101" s="334">
        <v>277</v>
      </c>
    </row>
    <row r="102" spans="1:6">
      <c r="A102" s="348" t="s">
        <v>76</v>
      </c>
      <c r="B102" s="334">
        <v>397</v>
      </c>
    </row>
    <row r="103" spans="1:6">
      <c r="A103" s="348" t="s">
        <v>77</v>
      </c>
      <c r="B103" s="334">
        <v>430</v>
      </c>
    </row>
    <row r="104" spans="1:6">
      <c r="A104" s="348" t="s">
        <v>78</v>
      </c>
      <c r="B104" s="334">
        <v>3828</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76</v>
      </c>
      <c r="C123" s="334">
        <v>147</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645</v>
      </c>
    </row>
    <row r="130" spans="1:6">
      <c r="A130" s="348" t="s">
        <v>295</v>
      </c>
      <c r="B130" s="334">
        <v>4</v>
      </c>
    </row>
    <row r="131" spans="1:6">
      <c r="A131" s="348" t="s">
        <v>296</v>
      </c>
      <c r="B131" s="334">
        <v>11</v>
      </c>
    </row>
    <row r="132" spans="1:6">
      <c r="A132" s="341" t="s">
        <v>297</v>
      </c>
      <c r="B132" s="342">
        <v>72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504803.20249452634</v>
      </c>
      <c r="C3" s="43" t="s">
        <v>170</v>
      </c>
      <c r="D3" s="43"/>
      <c r="E3" s="154"/>
      <c r="F3" s="43"/>
      <c r="G3" s="43"/>
      <c r="H3" s="43"/>
      <c r="I3" s="43"/>
      <c r="J3" s="43"/>
      <c r="K3" s="96"/>
    </row>
    <row r="4" spans="1:11">
      <c r="A4" s="383" t="s">
        <v>171</v>
      </c>
      <c r="B4" s="49">
        <f>IF(ISERROR('SEAP template'!B69),0,'SEAP template'!B69)</f>
        <v>82778.427562727418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3107.7105882352944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0.19091635190093287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4439.5865546218502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50355.000000000007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8.816575423735179E-2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5452.5029999999997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5452.5029999999997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0.19091635190093287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1040.9719814888922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81442.047933216076</v>
      </c>
      <c r="C5" s="17">
        <f>IF(ISERROR('Eigen informatie GS &amp; warmtenet'!B57),0,'Eigen informatie GS &amp; warmtenet'!B57)</f>
        <v>0</v>
      </c>
      <c r="D5" s="30">
        <f>(SUM(HH_hh_gas_kWh,HH_rest_gas_kWh)/1000)*0.902</f>
        <v>277702.30955208314</v>
      </c>
      <c r="E5" s="17">
        <f>B46*B57</f>
        <v>10811.982371924752</v>
      </c>
      <c r="F5" s="17">
        <f>B51*B62</f>
        <v>0</v>
      </c>
      <c r="G5" s="18"/>
      <c r="H5" s="17"/>
      <c r="I5" s="17"/>
      <c r="J5" s="17">
        <f>B50*B61+C50*C61</f>
        <v>0</v>
      </c>
      <c r="K5" s="17"/>
      <c r="L5" s="17"/>
      <c r="M5" s="17"/>
      <c r="N5" s="17">
        <f>B48*B59+C48*C59</f>
        <v>46818.907187087527</v>
      </c>
      <c r="O5" s="17">
        <f>B69*B70*B71</f>
        <v>1242.8500000000001</v>
      </c>
      <c r="P5" s="17">
        <f>B77*B78*B79/1000-B77*B78*B79/1000/B80</f>
        <v>2879.0666666666666</v>
      </c>
    </row>
    <row r="6" spans="1:16">
      <c r="A6" s="16" t="s">
        <v>621</v>
      </c>
      <c r="B6" s="843">
        <f>kWh_PV_kleiner_dan_10kW</f>
        <v>12227.139040775221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93669.186973991295</v>
      </c>
      <c r="C8" s="21">
        <f>C5</f>
        <v>0</v>
      </c>
      <c r="D8" s="21">
        <f>D5</f>
        <v>277702.30955208314</v>
      </c>
      <c r="E8" s="21">
        <f>E5</f>
        <v>10811.982371924752</v>
      </c>
      <c r="F8" s="21">
        <f>F5</f>
        <v>0</v>
      </c>
      <c r="G8" s="21"/>
      <c r="H8" s="21"/>
      <c r="I8" s="21"/>
      <c r="J8" s="21">
        <f>J5</f>
        <v>0</v>
      </c>
      <c r="K8" s="21"/>
      <c r="L8" s="21">
        <f>L5</f>
        <v>0</v>
      </c>
      <c r="M8" s="21">
        <f>M5</f>
        <v>0</v>
      </c>
      <c r="N8" s="21">
        <f>N5</f>
        <v>46818.907187087527</v>
      </c>
      <c r="O8" s="21">
        <f>O5</f>
        <v>1242.8500000000001</v>
      </c>
      <c r="P8" s="21">
        <f>P5</f>
        <v>2879.0666666666666</v>
      </c>
    </row>
    <row r="9" spans="1:16">
      <c r="B9" s="19"/>
      <c r="C9" s="19"/>
      <c r="D9" s="258"/>
      <c r="E9" s="19"/>
      <c r="F9" s="19"/>
      <c r="G9" s="19"/>
      <c r="H9" s="19"/>
      <c r="I9" s="19"/>
      <c r="J9" s="19"/>
      <c r="K9" s="19"/>
      <c r="L9" s="19"/>
      <c r="M9" s="19"/>
      <c r="N9" s="19"/>
      <c r="O9" s="19"/>
      <c r="P9" s="19"/>
    </row>
    <row r="10" spans="1:16">
      <c r="A10" s="24" t="s">
        <v>214</v>
      </c>
      <c r="B10" s="25">
        <f ca="1">'EF ele_warmte'!B12</f>
        <v>0.19091635190093287</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17882.979462600801</v>
      </c>
      <c r="C12" s="23">
        <f ca="1">C10*C8</f>
        <v>0</v>
      </c>
      <c r="D12" s="23">
        <f>D8*D10</f>
        <v>56095.866529520797</v>
      </c>
      <c r="E12" s="23">
        <f>E10*E8</f>
        <v>2454.319998426919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15096</v>
      </c>
      <c r="C18" s="166" t="s">
        <v>111</v>
      </c>
      <c r="D18" s="228"/>
      <c r="E18" s="15"/>
    </row>
    <row r="19" spans="1:7">
      <c r="A19" s="171" t="s">
        <v>72</v>
      </c>
      <c r="B19" s="37">
        <f>aantalw2001_ander</f>
        <v>2</v>
      </c>
      <c r="C19" s="166" t="s">
        <v>111</v>
      </c>
      <c r="D19" s="229"/>
      <c r="E19" s="15"/>
    </row>
    <row r="20" spans="1:7">
      <c r="A20" s="171" t="s">
        <v>73</v>
      </c>
      <c r="B20" s="37">
        <f>aantalw2001_propaan</f>
        <v>218</v>
      </c>
      <c r="C20" s="167">
        <f>IF(ISERROR(B20/SUM($B$20,$B$21,$B$22)*100),0,B20/SUM($B$20,$B$21,$B$22)*100)</f>
        <v>10.380952380952381</v>
      </c>
      <c r="D20" s="229"/>
      <c r="E20" s="15"/>
    </row>
    <row r="21" spans="1:7">
      <c r="A21" s="171" t="s">
        <v>74</v>
      </c>
      <c r="B21" s="37">
        <f>aantalw2001_elektriciteit</f>
        <v>1605</v>
      </c>
      <c r="C21" s="167">
        <f>IF(ISERROR(B21/SUM($B$20,$B$21,$B$22)*100),0,B21/SUM($B$20,$B$21,$B$22)*100)</f>
        <v>76.428571428571416</v>
      </c>
      <c r="D21" s="229"/>
      <c r="E21" s="15"/>
    </row>
    <row r="22" spans="1:7">
      <c r="A22" s="171" t="s">
        <v>75</v>
      </c>
      <c r="B22" s="37">
        <f>aantalw2001_hout</f>
        <v>277</v>
      </c>
      <c r="C22" s="167">
        <f>IF(ISERROR(B22/SUM($B$20,$B$21,$B$22)*100),0,B22/SUM($B$20,$B$21,$B$22)*100)</f>
        <v>13.190476190476192</v>
      </c>
      <c r="D22" s="229"/>
      <c r="E22" s="15"/>
    </row>
    <row r="23" spans="1:7">
      <c r="A23" s="171" t="s">
        <v>76</v>
      </c>
      <c r="B23" s="37">
        <f>aantalw2001_niet_gespec</f>
        <v>397</v>
      </c>
      <c r="C23" s="166" t="s">
        <v>111</v>
      </c>
      <c r="D23" s="228"/>
      <c r="E23" s="15"/>
    </row>
    <row r="24" spans="1:7">
      <c r="A24" s="171" t="s">
        <v>77</v>
      </c>
      <c r="B24" s="37">
        <f>aantalw2001_steenkool</f>
        <v>430</v>
      </c>
      <c r="C24" s="166" t="s">
        <v>111</v>
      </c>
      <c r="D24" s="229"/>
      <c r="E24" s="15"/>
    </row>
    <row r="25" spans="1:7">
      <c r="A25" s="171" t="s">
        <v>78</v>
      </c>
      <c r="B25" s="37">
        <f>aantalw2001_stookolie</f>
        <v>3828</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26415</v>
      </c>
      <c r="C28" s="36"/>
      <c r="D28" s="228"/>
    </row>
    <row r="29" spans="1:7" s="15" customFormat="1">
      <c r="A29" s="230" t="s">
        <v>795</v>
      </c>
      <c r="B29" s="37">
        <f>SUM(HH_hh_gas_aantal,HH_rest_gas_aantal)</f>
        <v>21345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21345</v>
      </c>
      <c r="C32" s="167">
        <f>IF(ISERROR(B32/SUM($B$32,$B$34,$B$35,$B$36,$B$38,$B$39)*100),0,B32/SUM($B$32,$B$34,$B$35,$B$36,$B$38,$B$39)*100)</f>
        <v>81.270941212305814</v>
      </c>
      <c r="D32" s="233"/>
      <c r="G32" s="15"/>
    </row>
    <row r="33" spans="1:7">
      <c r="A33" s="171" t="s">
        <v>72</v>
      </c>
      <c r="B33" s="34" t="s">
        <v>111</v>
      </c>
      <c r="C33" s="167"/>
      <c r="D33" s="233"/>
      <c r="G33" s="15"/>
    </row>
    <row r="34" spans="1:7">
      <c r="A34" s="171" t="s">
        <v>73</v>
      </c>
      <c r="B34" s="33">
        <f>IF((($B$28-$B$32-$B$39-$B$77-$B$38)*C20/100)&lt;0,0,($B$28-$B$32-$B$39-$B$77-$B$38)*C20/100)</f>
        <v>510.63904761904763</v>
      </c>
      <c r="C34" s="167">
        <f>IF(ISERROR(B34/SUM($B$32,$B$34,$B$35,$B$36,$B$38,$B$39)*100),0,B34/SUM($B$32,$B$34,$B$35,$B$36,$B$38,$B$39)*100)</f>
        <v>1.9442546741511104</v>
      </c>
      <c r="D34" s="233"/>
      <c r="G34" s="15"/>
    </row>
    <row r="35" spans="1:7">
      <c r="A35" s="171" t="s">
        <v>74</v>
      </c>
      <c r="B35" s="33">
        <f>IF((($B$28-$B$32-$B$39-$B$77-$B$38)*C21/100)&lt;0,0,($B$28-$B$32-$B$39-$B$77-$B$38)*C21/100)</f>
        <v>3759.5214285714278</v>
      </c>
      <c r="C35" s="167">
        <f>IF(ISERROR(B35/SUM($B$32,$B$34,$B$35,$B$36,$B$38,$B$39)*100),0,B35/SUM($B$32,$B$34,$B$35,$B$36,$B$38,$B$39)*100)</f>
        <v>14.31435207345198</v>
      </c>
      <c r="D35" s="233"/>
      <c r="G35" s="15"/>
    </row>
    <row r="36" spans="1:7">
      <c r="A36" s="171" t="s">
        <v>75</v>
      </c>
      <c r="B36" s="33">
        <f>IF((($B$28-$B$32-$B$39-$B$77-$B$38)*C22/100)&lt;0,0,($B$28-$B$32-$B$39-$B$77-$B$38)*C22/100)</f>
        <v>648.83952380952394</v>
      </c>
      <c r="C36" s="167">
        <f>IF(ISERROR(B36/SUM($B$32,$B$34,$B$35,$B$36,$B$38,$B$39)*100),0,B36/SUM($B$32,$B$34,$B$35,$B$36,$B$38,$B$39)*100)</f>
        <v>2.4704520400910903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21345</v>
      </c>
      <c r="C44" s="34" t="s">
        <v>111</v>
      </c>
      <c r="D44" s="174"/>
    </row>
    <row r="45" spans="1:7">
      <c r="A45" s="171" t="s">
        <v>72</v>
      </c>
      <c r="B45" s="33" t="str">
        <f t="shared" si="0"/>
        <v>-</v>
      </c>
      <c r="C45" s="34" t="s">
        <v>111</v>
      </c>
      <c r="D45" s="174"/>
    </row>
    <row r="46" spans="1:7">
      <c r="A46" s="171" t="s">
        <v>73</v>
      </c>
      <c r="B46" s="33">
        <f t="shared" si="0"/>
        <v>510.63904761904763</v>
      </c>
      <c r="C46" s="34" t="s">
        <v>111</v>
      </c>
      <c r="D46" s="174"/>
    </row>
    <row r="47" spans="1:7">
      <c r="A47" s="171" t="s">
        <v>74</v>
      </c>
      <c r="B47" s="33">
        <f t="shared" si="0"/>
        <v>3759.5214285714278</v>
      </c>
      <c r="C47" s="34" t="s">
        <v>111</v>
      </c>
      <c r="D47" s="174"/>
    </row>
    <row r="48" spans="1:7">
      <c r="A48" s="171" t="s">
        <v>75</v>
      </c>
      <c r="B48" s="33">
        <f t="shared" si="0"/>
        <v>648.83952380952394</v>
      </c>
      <c r="C48" s="33">
        <f>B48*10</f>
        <v>6488.3952380952396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155569.26016262444</v>
      </c>
      <c r="C5" s="17">
        <f>IF(ISERROR('Eigen informatie GS &amp; warmtenet'!B58),0,'Eigen informatie GS &amp; warmtenet'!B58)</f>
        <v>0</v>
      </c>
      <c r="D5" s="30">
        <f>SUM(D6:D12)</f>
        <v>195684.10030368369</v>
      </c>
      <c r="E5" s="17">
        <f>SUM(E6:E12)</f>
        <v>2234.2367458324179</v>
      </c>
      <c r="F5" s="17">
        <f>SUM(F6:F12)</f>
        <v>26997.575716563097</v>
      </c>
      <c r="G5" s="18"/>
      <c r="H5" s="17"/>
      <c r="I5" s="17"/>
      <c r="J5" s="17">
        <f>SUM(J6:J12)</f>
        <v>0.30284249635747801</v>
      </c>
      <c r="K5" s="17"/>
      <c r="L5" s="17"/>
      <c r="M5" s="17"/>
      <c r="N5" s="17">
        <f>SUM(N6:N12)</f>
        <v>12302.822974614148</v>
      </c>
      <c r="O5" s="17">
        <f>B38*B39*B40</f>
        <v>6.2533333333333339</v>
      </c>
      <c r="P5" s="17">
        <f>B46*B47*B48/1000-B46*B47*B48/1000/B49</f>
        <v>209.73333333333335</v>
      </c>
      <c r="R5" s="32"/>
    </row>
    <row r="6" spans="1:18">
      <c r="A6" s="32" t="s">
        <v>54</v>
      </c>
      <c r="B6" s="37">
        <f>B26</f>
        <v>48691.130452131103</v>
      </c>
      <c r="C6" s="33"/>
      <c r="D6" s="37">
        <f>IF(ISERROR(TER_kantoor_gas_kWh/1000),0,TER_kantoor_gas_kWh/1000)*0.902</f>
        <v>35761.445269221804</v>
      </c>
      <c r="E6" s="33">
        <f>$C$26*'E Balans VL '!I12/100/3.6*1000000</f>
        <v>0.30517981125767774</v>
      </c>
      <c r="F6" s="33">
        <f>$C$26*('E Balans VL '!L12+'E Balans VL '!N12)/100/3.6*1000000</f>
        <v>7316.9163470087497</v>
      </c>
      <c r="G6" s="34"/>
      <c r="H6" s="33"/>
      <c r="I6" s="33"/>
      <c r="J6" s="33">
        <f>$C$26*('E Balans VL '!D12+'E Balans VL '!E12)/100/3.6*1000000</f>
        <v>0</v>
      </c>
      <c r="K6" s="33"/>
      <c r="L6" s="33"/>
      <c r="M6" s="33"/>
      <c r="N6" s="33">
        <f>$C$26*'E Balans VL '!Y12/100/3.6*1000000</f>
        <v>46.565847025103032</v>
      </c>
      <c r="O6" s="33"/>
      <c r="P6" s="33"/>
      <c r="R6" s="32"/>
    </row>
    <row r="7" spans="1:18">
      <c r="A7" s="32" t="s">
        <v>53</v>
      </c>
      <c r="B7" s="37">
        <f t="shared" ref="B7:B12" si="0">B27</f>
        <v>12089.912488436701</v>
      </c>
      <c r="C7" s="33"/>
      <c r="D7" s="37">
        <f>IF(ISERROR(TER_horeca_gas_kWh/1000),0,TER_horeca_gas_kWh/1000)*0.902</f>
        <v>18931.254784765697</v>
      </c>
      <c r="E7" s="33">
        <f>$C$27*'E Balans VL '!I9/100/3.6*1000000</f>
        <v>173.12553303942263</v>
      </c>
      <c r="F7" s="33">
        <f>$C$27*('E Balans VL '!L9+'E Balans VL '!N9)/100/3.6*1000000</f>
        <v>1530.9816617117842</v>
      </c>
      <c r="G7" s="34"/>
      <c r="H7" s="33"/>
      <c r="I7" s="33"/>
      <c r="J7" s="33">
        <f>$C$27*('E Balans VL '!D9+'E Balans VL '!E9)/100/3.6*1000000</f>
        <v>0</v>
      </c>
      <c r="K7" s="33"/>
      <c r="L7" s="33"/>
      <c r="M7" s="33"/>
      <c r="N7" s="33">
        <f>$C$27*'E Balans VL '!Y9/100/3.6*1000000</f>
        <v>3.4755832807365756</v>
      </c>
      <c r="O7" s="33"/>
      <c r="P7" s="33"/>
      <c r="R7" s="32"/>
    </row>
    <row r="8" spans="1:18">
      <c r="A8" s="6" t="s">
        <v>52</v>
      </c>
      <c r="B8" s="37">
        <f t="shared" si="0"/>
        <v>53525.888722527103</v>
      </c>
      <c r="C8" s="33"/>
      <c r="D8" s="37">
        <f>IF(ISERROR(TER_handel_gas_kWh/1000),0,TER_handel_gas_kWh/1000)*0.902</f>
        <v>61730.914336149086</v>
      </c>
      <c r="E8" s="33">
        <f>$C$28*'E Balans VL '!I13/100/3.6*1000000</f>
        <v>1941.3773834491742</v>
      </c>
      <c r="F8" s="33">
        <f>$C$28*('E Balans VL '!L13+'E Balans VL '!N13)/100/3.6*1000000</f>
        <v>10309.628152040308</v>
      </c>
      <c r="G8" s="34"/>
      <c r="H8" s="33"/>
      <c r="I8" s="33"/>
      <c r="J8" s="33">
        <f>$C$28*('E Balans VL '!D13+'E Balans VL '!E13)/100/3.6*1000000</f>
        <v>0</v>
      </c>
      <c r="K8" s="33"/>
      <c r="L8" s="33"/>
      <c r="M8" s="33"/>
      <c r="N8" s="33">
        <f>$C$28*'E Balans VL '!Y13/100/3.6*1000000</f>
        <v>74.145671638428766</v>
      </c>
      <c r="O8" s="33"/>
      <c r="P8" s="33"/>
      <c r="R8" s="32"/>
    </row>
    <row r="9" spans="1:18">
      <c r="A9" s="32" t="s">
        <v>51</v>
      </c>
      <c r="B9" s="37">
        <f t="shared" si="0"/>
        <v>20231.737910697502</v>
      </c>
      <c r="C9" s="33"/>
      <c r="D9" s="37">
        <f>IF(ISERROR(TER_gezond_gas_kWh/1000),0,TER_gezond_gas_kWh/1000)*0.902</f>
        <v>22897.227731976207</v>
      </c>
      <c r="E9" s="33">
        <f>$C$29*'E Balans VL '!I10/100/3.6*1000000</f>
        <v>1.2667065455341877</v>
      </c>
      <c r="F9" s="33">
        <f>$C$29*('E Balans VL '!L10+'E Balans VL '!N10)/100/3.6*1000000</f>
        <v>3005.4862664095995</v>
      </c>
      <c r="G9" s="34"/>
      <c r="H9" s="33"/>
      <c r="I9" s="33"/>
      <c r="J9" s="33">
        <f>$C$29*('E Balans VL '!D10+'E Balans VL '!E10)/100/3.6*1000000</f>
        <v>0</v>
      </c>
      <c r="K9" s="33"/>
      <c r="L9" s="33"/>
      <c r="M9" s="33"/>
      <c r="N9" s="33">
        <f>$C$29*'E Balans VL '!Y10/100/3.6*1000000</f>
        <v>312.94647419850332</v>
      </c>
      <c r="O9" s="33"/>
      <c r="P9" s="33"/>
      <c r="R9" s="32"/>
    </row>
    <row r="10" spans="1:18">
      <c r="A10" s="32" t="s">
        <v>50</v>
      </c>
      <c r="B10" s="37">
        <f t="shared" si="0"/>
        <v>13426.763344328901</v>
      </c>
      <c r="C10" s="33"/>
      <c r="D10" s="37">
        <f>IF(ISERROR(TER_ander_gas_kWh/1000),0,TER_ander_gas_kWh/1000)*0.902</f>
        <v>46859.505980133574</v>
      </c>
      <c r="E10" s="33">
        <f>$C$30*'E Balans VL '!I14/100/3.6*1000000</f>
        <v>16.004222114988636</v>
      </c>
      <c r="F10" s="33">
        <f>$C$30*('E Balans VL '!L14+'E Balans VL '!N14)/100/3.6*1000000</f>
        <v>3513.0381978917762</v>
      </c>
      <c r="G10" s="34"/>
      <c r="H10" s="33"/>
      <c r="I10" s="33"/>
      <c r="J10" s="33">
        <f>$C$30*('E Balans VL '!D14+'E Balans VL '!E14)/100/3.6*1000000</f>
        <v>0.29144240074632838</v>
      </c>
      <c r="K10" s="33"/>
      <c r="L10" s="33"/>
      <c r="M10" s="33"/>
      <c r="N10" s="33">
        <f>$C$30*'E Balans VL '!Y14/100/3.6*1000000</f>
        <v>11401.678883729714</v>
      </c>
      <c r="O10" s="33"/>
      <c r="P10" s="33"/>
      <c r="R10" s="32"/>
    </row>
    <row r="11" spans="1:18">
      <c r="A11" s="32" t="s">
        <v>55</v>
      </c>
      <c r="B11" s="37">
        <f t="shared" si="0"/>
        <v>2896.0110965526601</v>
      </c>
      <c r="C11" s="33"/>
      <c r="D11" s="37">
        <f>IF(ISERROR(TER_onderwijs_gas_kWh/1000),0,TER_onderwijs_gas_kWh/1000)*0.902</f>
        <v>3847.0252205418783</v>
      </c>
      <c r="E11" s="33">
        <f>$C$31*'E Balans VL '!I11/100/3.6*1000000</f>
        <v>43.696142977565685</v>
      </c>
      <c r="F11" s="33">
        <f>$C$31*('E Balans VL '!L11+'E Balans VL '!N11)/100/3.6*1000000</f>
        <v>507.42740926966633</v>
      </c>
      <c r="G11" s="34"/>
      <c r="H11" s="33"/>
      <c r="I11" s="33"/>
      <c r="J11" s="33">
        <f>$C$31*('E Balans VL '!D11+'E Balans VL '!E11)/100/3.6*1000000</f>
        <v>0</v>
      </c>
      <c r="K11" s="33"/>
      <c r="L11" s="33"/>
      <c r="M11" s="33"/>
      <c r="N11" s="33">
        <f>$C$31*'E Balans VL '!Y11/100/3.6*1000000</f>
        <v>8.1495953888469721</v>
      </c>
      <c r="O11" s="33"/>
      <c r="P11" s="33"/>
      <c r="R11" s="32"/>
    </row>
    <row r="12" spans="1:18">
      <c r="A12" s="32" t="s">
        <v>260</v>
      </c>
      <c r="B12" s="37">
        <f t="shared" si="0"/>
        <v>4707.8161479504706</v>
      </c>
      <c r="C12" s="33"/>
      <c r="D12" s="37">
        <f>IF(ISERROR(TER_rest_gas_kWh/1000),0,TER_rest_gas_kWh/1000)*0.902</f>
        <v>5656.7269808954406</v>
      </c>
      <c r="E12" s="33">
        <f>$C$32*'E Balans VL '!I8/100/3.6*1000000</f>
        <v>58.461577894474495</v>
      </c>
      <c r="F12" s="33">
        <f>$C$32*('E Balans VL '!L8+'E Balans VL '!N8)/100/3.6*1000000</f>
        <v>814.09768223121409</v>
      </c>
      <c r="G12" s="34"/>
      <c r="H12" s="33"/>
      <c r="I12" s="33"/>
      <c r="J12" s="33">
        <f>$C$32*('E Balans VL '!D8+'E Balans VL '!E8)/100/3.6*1000000</f>
        <v>1.1400095611149651E-2</v>
      </c>
      <c r="K12" s="33"/>
      <c r="L12" s="33"/>
      <c r="M12" s="33"/>
      <c r="N12" s="33">
        <f>$C$32*'E Balans VL '!Y8/100/3.6*1000000</f>
        <v>455.86091935281723</v>
      </c>
      <c r="O12" s="33"/>
      <c r="P12" s="33"/>
      <c r="R12" s="32"/>
    </row>
    <row r="13" spans="1:18">
      <c r="A13" s="16" t="s">
        <v>488</v>
      </c>
      <c r="B13" s="247">
        <f ca="1">'lokale energieproductie'!N90+'lokale energieproductie'!N59</f>
        <v>29088</v>
      </c>
      <c r="C13" s="247">
        <f ca="1">'lokale energieproductie'!O90+'lokale energieproductie'!O59</f>
        <v>41355.000000000007</v>
      </c>
      <c r="D13" s="310">
        <f ca="1">('lokale energieproductie'!P59+'lokale energieproductie'!P90)*(-1)</f>
        <v>-19362.857142857145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-63745.71428571429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184657.26016262444</v>
      </c>
      <c r="C16" s="21">
        <f t="shared" ca="1" si="1"/>
        <v>41355.000000000007</v>
      </c>
      <c r="D16" s="21">
        <f t="shared" ca="1" si="1"/>
        <v>176321.24316082656</v>
      </c>
      <c r="E16" s="21">
        <f t="shared" si="1"/>
        <v>2234.2367458324179</v>
      </c>
      <c r="F16" s="21">
        <f t="shared" ca="1" si="1"/>
        <v>26997.575716563097</v>
      </c>
      <c r="G16" s="21">
        <f t="shared" si="1"/>
        <v>0</v>
      </c>
      <c r="H16" s="21">
        <f t="shared" si="1"/>
        <v>0</v>
      </c>
      <c r="I16" s="21">
        <f t="shared" si="1"/>
        <v>0</v>
      </c>
      <c r="J16" s="21">
        <f t="shared" si="1"/>
        <v>0.30284249635747801</v>
      </c>
      <c r="K16" s="21">
        <f t="shared" si="1"/>
        <v>0</v>
      </c>
      <c r="L16" s="21">
        <f t="shared" ca="1" si="1"/>
        <v>0</v>
      </c>
      <c r="M16" s="21">
        <f t="shared" si="1"/>
        <v>0</v>
      </c>
      <c r="N16" s="21">
        <f t="shared" ca="1" si="1"/>
        <v>0</v>
      </c>
      <c r="O16" s="21">
        <f>O5</f>
        <v>6.2533333333333339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0.19091635190093287</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35254.09046226972</v>
      </c>
      <c r="C20" s="23">
        <f t="shared" ref="C20:P20" ca="1" si="2">C16*C18</f>
        <v>3646.094766485684</v>
      </c>
      <c r="D20" s="23">
        <f t="shared" ca="1" si="2"/>
        <v>35616.891118486965</v>
      </c>
      <c r="E20" s="23">
        <f t="shared" si="2"/>
        <v>507.17174130395887</v>
      </c>
      <c r="F20" s="23">
        <f t="shared" ca="1" si="2"/>
        <v>7208.3527163223471</v>
      </c>
      <c r="G20" s="23">
        <f t="shared" si="2"/>
        <v>0</v>
      </c>
      <c r="H20" s="23">
        <f t="shared" si="2"/>
        <v>0</v>
      </c>
      <c r="I20" s="23">
        <f t="shared" si="2"/>
        <v>0</v>
      </c>
      <c r="J20" s="23">
        <f t="shared" si="2"/>
        <v>0.10720624371054721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48691.130452131103</v>
      </c>
      <c r="C26" s="39">
        <f>IF(ISERROR(B26*3.6/1000000/'E Balans VL '!Z12*100),0,B26*3.6/1000000/'E Balans VL '!Z12*100)</f>
        <v>1.0292533647769933</v>
      </c>
      <c r="D26" s="237" t="s">
        <v>754</v>
      </c>
      <c r="F26" s="6"/>
    </row>
    <row r="27" spans="1:18">
      <c r="A27" s="231" t="s">
        <v>53</v>
      </c>
      <c r="B27" s="33">
        <f>IF(ISERROR(TER_horeca_ele_kWh/1000),0,TER_horeca_ele_kWh/1000)</f>
        <v>12089.912488436701</v>
      </c>
      <c r="C27" s="39">
        <f>IF(ISERROR(B27*3.6/1000000/'E Balans VL '!Z9*100),0,B27*3.6/1000000/'E Balans VL '!Z9*100)</f>
        <v>0.95304329532303389</v>
      </c>
      <c r="D27" s="237" t="s">
        <v>754</v>
      </c>
      <c r="F27" s="6"/>
    </row>
    <row r="28" spans="1:18">
      <c r="A28" s="171" t="s">
        <v>52</v>
      </c>
      <c r="B28" s="33">
        <f>IF(ISERROR(TER_handel_ele_kWh/1000),0,TER_handel_ele_kWh/1000)</f>
        <v>53525.888722527103</v>
      </c>
      <c r="C28" s="39">
        <f>IF(ISERROR(B28*3.6/1000000/'E Balans VL '!Z13*100),0,B28*3.6/1000000/'E Balans VL '!Z13*100)</f>
        <v>1.5535375595524177</v>
      </c>
      <c r="D28" s="237" t="s">
        <v>754</v>
      </c>
      <c r="F28" s="6"/>
    </row>
    <row r="29" spans="1:18">
      <c r="A29" s="231" t="s">
        <v>51</v>
      </c>
      <c r="B29" s="33">
        <f>IF(ISERROR(TER_gezond_ele_kWh/1000),0,TER_gezond_ele_kWh/1000)</f>
        <v>20231.737910697502</v>
      </c>
      <c r="C29" s="39">
        <f>IF(ISERROR(B29*3.6/1000000/'E Balans VL '!Z10*100),0,B29*3.6/1000000/'E Balans VL '!Z10*100)</f>
        <v>2.1307342159021037</v>
      </c>
      <c r="D29" s="237" t="s">
        <v>754</v>
      </c>
      <c r="F29" s="6"/>
    </row>
    <row r="30" spans="1:18">
      <c r="A30" s="231" t="s">
        <v>50</v>
      </c>
      <c r="B30" s="33">
        <f>IF(ISERROR(TER_ander_ele_kWh/1000),0,TER_ander_ele_kWh/1000)</f>
        <v>13426.763344328901</v>
      </c>
      <c r="C30" s="39">
        <f>IF(ISERROR(B30*3.6/1000000/'E Balans VL '!Z14*100),0,B30*3.6/1000000/'E Balans VL '!Z14*100)</f>
        <v>0.99036098055619148</v>
      </c>
      <c r="D30" s="237" t="s">
        <v>754</v>
      </c>
      <c r="F30" s="6"/>
    </row>
    <row r="31" spans="1:18">
      <c r="A31" s="231" t="s">
        <v>55</v>
      </c>
      <c r="B31" s="33">
        <f>IF(ISERROR(TER_onderwijs_ele_kWh/1000),0,TER_onderwijs_ele_kWh/1000)</f>
        <v>2896.0110965526601</v>
      </c>
      <c r="C31" s="39">
        <f>IF(ISERROR(B31*3.6/1000000/'E Balans VL '!Z11*100),0,B31*3.6/1000000/'E Balans VL '!Z11*100)</f>
        <v>0.71921521242291697</v>
      </c>
      <c r="D31" s="237" t="s">
        <v>754</v>
      </c>
    </row>
    <row r="32" spans="1:18">
      <c r="A32" s="231" t="s">
        <v>260</v>
      </c>
      <c r="B32" s="33">
        <f>IF(ISERROR(TER_rest_ele_kWh/1000),0,TER_rest_ele_kWh/1000)</f>
        <v>4707.8161479504706</v>
      </c>
      <c r="C32" s="39">
        <f>IF(ISERROR(B32*3.6/1000000/'E Balans VL '!Z8*100),0,B32*3.6/1000000/'E Balans VL '!Z8*100)</f>
        <v>3.873907790692236E-2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211157.30219745124</v>
      </c>
      <c r="C5" s="17">
        <f>IF(ISERROR('Eigen informatie GS &amp; warmtenet'!B59),0,'Eigen informatie GS &amp; warmtenet'!B59)</f>
        <v>0</v>
      </c>
      <c r="D5" s="30">
        <f>SUM(D6:D15)</f>
        <v>291683.47904443706</v>
      </c>
      <c r="E5" s="17">
        <f>SUM(E6:E15)</f>
        <v>7148.4175551605658</v>
      </c>
      <c r="F5" s="17">
        <f>SUM(F6:F15)</f>
        <v>35521.223009687397</v>
      </c>
      <c r="G5" s="18"/>
      <c r="H5" s="17"/>
      <c r="I5" s="17"/>
      <c r="J5" s="17">
        <f>SUM(J6:J15)</f>
        <v>258.64690199566724</v>
      </c>
      <c r="K5" s="17"/>
      <c r="L5" s="17"/>
      <c r="M5" s="17"/>
      <c r="N5" s="17">
        <f>SUM(N6:N15)</f>
        <v>35969.821971329089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22479.566328795001</v>
      </c>
      <c r="C8" s="33"/>
      <c r="D8" s="37">
        <f>IF( ISERROR(IND_metaal_Gas_kWH/1000),0,IND_metaal_Gas_kWH/1000)*0.902</f>
        <v>26175.920711427167</v>
      </c>
      <c r="E8" s="33">
        <f>C30*'E Balans VL '!I18/100/3.6*1000000</f>
        <v>206.6779014216377</v>
      </c>
      <c r="F8" s="33">
        <f>C30*'E Balans VL '!L18/100/3.6*1000000+C30*'E Balans VL '!N18/100/3.6*1000000</f>
        <v>2107.8349011193286</v>
      </c>
      <c r="G8" s="34"/>
      <c r="H8" s="33"/>
      <c r="I8" s="33"/>
      <c r="J8" s="40">
        <f>C30*'E Balans VL '!D18/100/3.6*1000000+C30*'E Balans VL '!E18/100/3.6*1000000</f>
        <v>0</v>
      </c>
      <c r="K8" s="33"/>
      <c r="L8" s="33"/>
      <c r="M8" s="33"/>
      <c r="N8" s="33">
        <f>C30*'E Balans VL '!Y18/100/3.6*1000000</f>
        <v>320.70816272800431</v>
      </c>
      <c r="O8" s="33"/>
      <c r="P8" s="33"/>
      <c r="R8" s="32"/>
    </row>
    <row r="9" spans="1:18">
      <c r="A9" s="6" t="s">
        <v>33</v>
      </c>
      <c r="B9" s="37">
        <f t="shared" si="0"/>
        <v>9148.99864341387</v>
      </c>
      <c r="C9" s="33"/>
      <c r="D9" s="37">
        <f>IF( ISERROR(IND_andere_gas_kWh/1000),0,IND_andere_gas_kWh/1000)*0.902</f>
        <v>8483.786641379329</v>
      </c>
      <c r="E9" s="33">
        <f>C31*'E Balans VL '!I19/100/3.6*1000000</f>
        <v>2674.4304134655085</v>
      </c>
      <c r="F9" s="33">
        <f>C31*'E Balans VL '!L19/100/3.6*1000000+C31*'E Balans VL '!N19/100/3.6*1000000</f>
        <v>7351.9129255479193</v>
      </c>
      <c r="G9" s="34"/>
      <c r="H9" s="33"/>
      <c r="I9" s="33"/>
      <c r="J9" s="40">
        <f>C31*'E Balans VL '!D19/100/3.6*1000000+C31*'E Balans VL '!E19/100/3.6*1000000</f>
        <v>0</v>
      </c>
      <c r="K9" s="33"/>
      <c r="L9" s="33"/>
      <c r="M9" s="33"/>
      <c r="N9" s="33">
        <f>C31*'E Balans VL '!Y19/100/3.6*1000000</f>
        <v>3022.9710426928282</v>
      </c>
      <c r="O9" s="33"/>
      <c r="P9" s="33"/>
      <c r="R9" s="32"/>
    </row>
    <row r="10" spans="1:18">
      <c r="A10" s="6" t="s">
        <v>41</v>
      </c>
      <c r="B10" s="37">
        <f t="shared" si="0"/>
        <v>89878.166470898897</v>
      </c>
      <c r="C10" s="33"/>
      <c r="D10" s="37">
        <f>IF( ISERROR(IND_voed_gas_kWh/1000),0,IND_voed_gas_kWh/1000)*0.902</f>
        <v>93451.835072581001</v>
      </c>
      <c r="E10" s="33">
        <f>C32*'E Balans VL '!I20/100/3.6*1000000</f>
        <v>190.13865474666309</v>
      </c>
      <c r="F10" s="33">
        <f>C32*'E Balans VL '!L20/100/3.6*1000000+C32*'E Balans VL '!N20/100/3.6*1000000</f>
        <v>5714.545632074578</v>
      </c>
      <c r="G10" s="34"/>
      <c r="H10" s="33"/>
      <c r="I10" s="33"/>
      <c r="J10" s="40">
        <f>C32*'E Balans VL '!D20/100/3.6*1000000+C32*'E Balans VL '!E20/100/3.6*1000000</f>
        <v>0</v>
      </c>
      <c r="K10" s="33"/>
      <c r="L10" s="33"/>
      <c r="M10" s="33"/>
      <c r="N10" s="33">
        <f>C32*'E Balans VL '!Y20/100/3.6*1000000</f>
        <v>6202.4804259107523</v>
      </c>
      <c r="O10" s="33"/>
      <c r="P10" s="33"/>
      <c r="R10" s="32"/>
    </row>
    <row r="11" spans="1:18">
      <c r="A11" s="6" t="s">
        <v>40</v>
      </c>
      <c r="B11" s="37">
        <f t="shared" si="0"/>
        <v>2701.3185126253902</v>
      </c>
      <c r="C11" s="33"/>
      <c r="D11" s="37">
        <f>IF( ISERROR(IND_textiel_gas_kWh/1000),0,IND_textiel_gas_kWh/1000)*0.902</f>
        <v>523.36788954414862</v>
      </c>
      <c r="E11" s="33">
        <f>C33*'E Balans VL '!I21/100/3.6*1000000</f>
        <v>8.0226830840686283</v>
      </c>
      <c r="F11" s="33">
        <f>C33*'E Balans VL '!L21/100/3.6*1000000+C33*'E Balans VL '!N21/100/3.6*1000000</f>
        <v>272.90733208861866</v>
      </c>
      <c r="G11" s="34"/>
      <c r="H11" s="33"/>
      <c r="I11" s="33"/>
      <c r="J11" s="40">
        <f>C33*'E Balans VL '!D21/100/3.6*1000000+C33*'E Balans VL '!E21/100/3.6*1000000</f>
        <v>0</v>
      </c>
      <c r="K11" s="33"/>
      <c r="L11" s="33"/>
      <c r="M11" s="33"/>
      <c r="N11" s="33">
        <f>C33*'E Balans VL '!Y21/100/3.6*1000000</f>
        <v>148.98633683560959</v>
      </c>
      <c r="O11" s="33"/>
      <c r="P11" s="33"/>
      <c r="R11" s="32"/>
    </row>
    <row r="12" spans="1:18">
      <c r="A12" s="6" t="s">
        <v>37</v>
      </c>
      <c r="B12" s="37">
        <f t="shared" si="0"/>
        <v>22630.540062712902</v>
      </c>
      <c r="C12" s="33"/>
      <c r="D12" s="37">
        <f>IF( ISERROR(IND_min_gas_kWh/1000),0,IND_min_gas_kWh/1000)*0.902</f>
        <v>2241.8047429865937</v>
      </c>
      <c r="E12" s="33">
        <f>C34*'E Balans VL '!I22/100/3.6*1000000</f>
        <v>655.96617145496509</v>
      </c>
      <c r="F12" s="33">
        <f>C34*'E Balans VL '!L22/100/3.6*1000000+C34*'E Balans VL '!N22/100/3.6*1000000</f>
        <v>7780.6354043629026</v>
      </c>
      <c r="G12" s="34"/>
      <c r="H12" s="33"/>
      <c r="I12" s="33"/>
      <c r="J12" s="40">
        <f>C34*'E Balans VL '!D22/100/3.6*1000000+C34*'E Balans VL '!E22/100/3.6*1000000</f>
        <v>37.188796934561744</v>
      </c>
      <c r="K12" s="33"/>
      <c r="L12" s="33"/>
      <c r="M12" s="33"/>
      <c r="N12" s="33">
        <f>C34*'E Balans VL '!Y22/100/3.6*1000000</f>
        <v>4954.1971139846328</v>
      </c>
      <c r="O12" s="33"/>
      <c r="P12" s="33"/>
      <c r="R12" s="32"/>
    </row>
    <row r="13" spans="1:18">
      <c r="A13" s="6" t="s">
        <v>39</v>
      </c>
      <c r="B13" s="37">
        <f t="shared" si="0"/>
        <v>2569.58689363236</v>
      </c>
      <c r="C13" s="33"/>
      <c r="D13" s="37">
        <f>IF( ISERROR(IND_papier_gas_kWh/1000),0,IND_papier_gas_kWh/1000)*0.902</f>
        <v>19310.17788117754</v>
      </c>
      <c r="E13" s="33">
        <f>C35*'E Balans VL '!I23/100/3.6*1000000</f>
        <v>3.6456561421037375</v>
      </c>
      <c r="F13" s="33">
        <f>C35*'E Balans VL '!L23/100/3.6*1000000+C35*'E Balans VL '!N23/100/3.6*1000000</f>
        <v>62.733278343255101</v>
      </c>
      <c r="G13" s="34"/>
      <c r="H13" s="33"/>
      <c r="I13" s="33"/>
      <c r="J13" s="40">
        <f>C35*'E Balans VL '!D23/100/3.6*1000000+C35*'E Balans VL '!E23/100/3.6*1000000</f>
        <v>0.39741073785210285</v>
      </c>
      <c r="K13" s="33"/>
      <c r="L13" s="33"/>
      <c r="M13" s="33"/>
      <c r="N13" s="33">
        <f>C35*'E Balans VL '!Y23/100/3.6*1000000</f>
        <v>7469.1808367920548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61749.1252853728</v>
      </c>
      <c r="C15" s="33"/>
      <c r="D15" s="37">
        <f>IF( ISERROR(IND_rest_gas_kWh/1000),0,IND_rest_gas_kWh/1000)*0.902</f>
        <v>141496.58610534127</v>
      </c>
      <c r="E15" s="33">
        <f>C37*'E Balans VL '!I15/100/3.6*1000000</f>
        <v>3409.5360748456192</v>
      </c>
      <c r="F15" s="33">
        <f>C37*'E Balans VL '!L15/100/3.6*1000000+C37*'E Balans VL '!N15/100/3.6*1000000</f>
        <v>12230.653536150799</v>
      </c>
      <c r="G15" s="34"/>
      <c r="H15" s="33"/>
      <c r="I15" s="33"/>
      <c r="J15" s="40">
        <f>C37*'E Balans VL '!D15/100/3.6*1000000+C37*'E Balans VL '!E15/100/3.6*1000000</f>
        <v>221.06069432325339</v>
      </c>
      <c r="K15" s="33"/>
      <c r="L15" s="33"/>
      <c r="M15" s="33"/>
      <c r="N15" s="33">
        <f>C37*'E Balans VL '!Y15/100/3.6*1000000</f>
        <v>13851.298052385206</v>
      </c>
      <c r="O15" s="33"/>
      <c r="P15" s="33"/>
      <c r="R15" s="32"/>
    </row>
    <row r="16" spans="1:18">
      <c r="A16" s="16" t="s">
        <v>488</v>
      </c>
      <c r="B16" s="247">
        <f>'lokale energieproductie'!N89+'lokale energieproductie'!N58</f>
        <v>6300</v>
      </c>
      <c r="C16" s="247">
        <f>'lokale energieproductie'!O89+'lokale energieproductie'!O58</f>
        <v>9000</v>
      </c>
      <c r="D16" s="310">
        <f>('lokale energieproductie'!P58+'lokale energieproductie'!P89)*(-1)</f>
        <v>-18000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217457.30219745124</v>
      </c>
      <c r="C18" s="21">
        <f>C5+C16</f>
        <v>9000</v>
      </c>
      <c r="D18" s="21">
        <f>MAX((D5+D16),0)</f>
        <v>273683.47904443706</v>
      </c>
      <c r="E18" s="21">
        <f>MAX((E5+E16),0)</f>
        <v>7148.4175551605658</v>
      </c>
      <c r="F18" s="21">
        <f>MAX((F5+F16),0)</f>
        <v>35521.223009687397</v>
      </c>
      <c r="G18" s="21"/>
      <c r="H18" s="21"/>
      <c r="I18" s="21"/>
      <c r="J18" s="21">
        <f>MAX((J5+J16),0)</f>
        <v>258.64690199566724</v>
      </c>
      <c r="K18" s="21"/>
      <c r="L18" s="21">
        <f>MAX((L5+L16),0)</f>
        <v>0</v>
      </c>
      <c r="M18" s="21"/>
      <c r="N18" s="21">
        <f>MAX((N5+N16),0)</f>
        <v>35969.821971329089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0.19091635190093287</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41516.154829756102</v>
      </c>
      <c r="C22" s="23">
        <f ca="1">C18*C20</f>
        <v>793.49178813616606</v>
      </c>
      <c r="D22" s="23">
        <f>D18*D20</f>
        <v>55284.062766976291</v>
      </c>
      <c r="E22" s="23">
        <f>E18*E20</f>
        <v>1622.6907850214484</v>
      </c>
      <c r="F22" s="23">
        <f>F18*F20</f>
        <v>9484.1665435865361</v>
      </c>
      <c r="G22" s="23"/>
      <c r="H22" s="23"/>
      <c r="I22" s="23"/>
      <c r="J22" s="23">
        <f>J18*J20</f>
        <v>91.561003306466191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22479.566328795001</v>
      </c>
      <c r="C30" s="39">
        <f>IF(ISERROR(B30*3.6/1000000/'E Balans VL '!Z18*100),0,B30*3.6/1000000/'E Balans VL '!Z18*100)</f>
        <v>1.2739746652309047</v>
      </c>
      <c r="D30" s="237" t="s">
        <v>754</v>
      </c>
    </row>
    <row r="31" spans="1:18">
      <c r="A31" s="6" t="s">
        <v>33</v>
      </c>
      <c r="B31" s="37">
        <f>IF( ISERROR(IND_ander_ele_kWh/1000),0,IND_ander_ele_kWh/1000)</f>
        <v>9148.99864341387</v>
      </c>
      <c r="C31" s="39">
        <f>IF(ISERROR(B31*3.6/1000000/'E Balans VL '!Z19*100),0,B31*3.6/1000000/'E Balans VL '!Z19*100)</f>
        <v>0.41496048269794711</v>
      </c>
      <c r="D31" s="237" t="s">
        <v>754</v>
      </c>
    </row>
    <row r="32" spans="1:18">
      <c r="A32" s="171" t="s">
        <v>41</v>
      </c>
      <c r="B32" s="37">
        <f>IF( ISERROR(IND_voed_ele_kWh/1000),0,IND_voed_ele_kWh/1000)</f>
        <v>89878.166470898897</v>
      </c>
      <c r="C32" s="39">
        <f>IF(ISERROR(B32*3.6/1000000/'E Balans VL '!Z20*100),0,B32*3.6/1000000/'E Balans VL '!Z20*100)</f>
        <v>2.7803397013699502</v>
      </c>
      <c r="D32" s="237" t="s">
        <v>754</v>
      </c>
    </row>
    <row r="33" spans="1:5">
      <c r="A33" s="171" t="s">
        <v>40</v>
      </c>
      <c r="B33" s="37">
        <f>IF( ISERROR(IND_textiel_ele_kWh/1000),0,IND_textiel_ele_kWh/1000)</f>
        <v>2701.3185126253902</v>
      </c>
      <c r="C33" s="39">
        <f>IF(ISERROR(B33*3.6/1000000/'E Balans VL '!Z21*100),0,B33*3.6/1000000/'E Balans VL '!Z21*100)</f>
        <v>0.35222190736212022</v>
      </c>
      <c r="D33" s="237" t="s">
        <v>754</v>
      </c>
    </row>
    <row r="34" spans="1:5">
      <c r="A34" s="171" t="s">
        <v>37</v>
      </c>
      <c r="B34" s="37">
        <f>IF( ISERROR(IND_min_ele_kWh/1000),0,IND_min_ele_kWh/1000)</f>
        <v>22630.540062712902</v>
      </c>
      <c r="C34" s="39">
        <f>IF(ISERROR(B34*3.6/1000000/'E Balans VL '!Z22*100),0,B34*3.6/1000000/'E Balans VL '!Z22*100)</f>
        <v>4.0705280925637828</v>
      </c>
      <c r="D34" s="237" t="s">
        <v>754</v>
      </c>
    </row>
    <row r="35" spans="1:5">
      <c r="A35" s="171" t="s">
        <v>39</v>
      </c>
      <c r="B35" s="37">
        <f>IF( ISERROR(IND_papier_ele_kWh/1000),0,IND_papier_ele_kWh/1000)</f>
        <v>2569.58689363236</v>
      </c>
      <c r="C35" s="39">
        <f>IF(ISERROR(B35*3.6/1000000/'E Balans VL '!Z22*100),0,B35*3.6/1000000/'E Balans VL '!Z22*100)</f>
        <v>0.46218851197669353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61749.1252853728</v>
      </c>
      <c r="C37" s="39">
        <f>IF(ISERROR(B37*3.6/1000000/'E Balans VL '!Z15*100),0,B37*3.6/1000000/'E Balans VL '!Z15*100)</f>
        <v>0.48943765302471653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3461.9962372603982</v>
      </c>
      <c r="C5" s="17">
        <f>'Eigen informatie GS &amp; warmtenet'!B60</f>
        <v>0</v>
      </c>
      <c r="D5" s="30">
        <f>IF(ISERROR(SUM(LB_lb_gas_kWh,LB_rest_gas_kWh,onbekend_gas_kWh)/1000),0,SUM(LB_lb_gas_kWh,LB_rest_gas_kWh,onbekend_gas_kWh)/1000)*0.902</f>
        <v>13159.150392649599</v>
      </c>
      <c r="E5" s="17">
        <f>B17*'E Balans VL '!I25/3.6*1000000/100</f>
        <v>101.75864357007677</v>
      </c>
      <c r="F5" s="17">
        <f>B17*('E Balans VL '!L25/3.6*1000000+'E Balans VL '!N25/3.6*1000000)/100</f>
        <v>14422.489247969366</v>
      </c>
      <c r="G5" s="18"/>
      <c r="H5" s="17"/>
      <c r="I5" s="17"/>
      <c r="J5" s="17">
        <f>('E Balans VL '!D25+'E Balans VL '!E25)/3.6*1000000*landbouw!B17/100</f>
        <v>501.56890755879232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3461.9962372603982</v>
      </c>
      <c r="C8" s="21">
        <f>C5+C6</f>
        <v>0</v>
      </c>
      <c r="D8" s="21">
        <f>MAX((D5+D6),0)</f>
        <v>13159.150392649599</v>
      </c>
      <c r="E8" s="21">
        <f>MAX((E5+E6),0)</f>
        <v>101.75864357007677</v>
      </c>
      <c r="F8" s="21">
        <f>MAX((F5+F6),0)</f>
        <v>14422.489247969366</v>
      </c>
      <c r="G8" s="21"/>
      <c r="H8" s="21"/>
      <c r="I8" s="21"/>
      <c r="J8" s="21">
        <f>MAX((J5+J6),0)</f>
        <v>501.56890755879232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0.19091635190093287</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660.95169191251171</v>
      </c>
      <c r="C12" s="23">
        <f ca="1">C8*C10</f>
        <v>0</v>
      </c>
      <c r="D12" s="23">
        <f>D8*D10</f>
        <v>2658.1483793152192</v>
      </c>
      <c r="E12" s="23">
        <f>E8*E10</f>
        <v>23.099212090407427</v>
      </c>
      <c r="F12" s="23">
        <f>F8*F10</f>
        <v>3850.8046292078211</v>
      </c>
      <c r="G12" s="23"/>
      <c r="H12" s="23"/>
      <c r="I12" s="23"/>
      <c r="J12" s="23">
        <f>J8*J10</f>
        <v>177.55539327581246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0.49126812774919743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270.8713514056588</v>
      </c>
      <c r="C26" s="247">
        <f>B26*'GWP N2O_CH4'!B5</f>
        <v>5688.2983795188347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261.51664657979245</v>
      </c>
      <c r="C27" s="247">
        <f>B27*'GWP N2O_CH4'!B5</f>
        <v>5491.849578175641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4.1753843897853109</v>
      </c>
      <c r="C28" s="247">
        <f>B28*'GWP N2O_CH4'!B4</f>
        <v>1294.3691608334464</v>
      </c>
      <c r="D28" s="50"/>
    </row>
    <row r="29" spans="1:4">
      <c r="A29" s="41" t="s">
        <v>277</v>
      </c>
      <c r="B29" s="247">
        <f>B34*'ha_N2O bodem landbouw'!B4</f>
        <v>15.505216648750928</v>
      </c>
      <c r="C29" s="247">
        <f>B29*'GWP N2O_CH4'!B4</f>
        <v>4806.6171611127875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3.5382370058912962E-3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3.7783412351630413E-4</v>
      </c>
      <c r="C5" s="463" t="s">
        <v>211</v>
      </c>
      <c r="D5" s="448">
        <f>SUM(D6:D11)</f>
        <v>1.3585127391656708E-3</v>
      </c>
      <c r="E5" s="448">
        <f>SUM(E6:E11)</f>
        <v>1.912872301951729E-3</v>
      </c>
      <c r="F5" s="461" t="s">
        <v>211</v>
      </c>
      <c r="G5" s="448">
        <f>SUM(G6:G11)</f>
        <v>0.78072183389586192</v>
      </c>
      <c r="H5" s="448">
        <f>SUM(H6:H11)</f>
        <v>0.15452996617245335</v>
      </c>
      <c r="I5" s="463" t="s">
        <v>211</v>
      </c>
      <c r="J5" s="463" t="s">
        <v>211</v>
      </c>
      <c r="K5" s="463" t="s">
        <v>211</v>
      </c>
      <c r="L5" s="463" t="s">
        <v>211</v>
      </c>
      <c r="M5" s="448">
        <f>SUM(M6:M11)</f>
        <v>5.0200667049349154E-2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1.8676612560112105E-4</v>
      </c>
      <c r="C6" s="449"/>
      <c r="D6" s="962">
        <f>vkm_2011_GW_PW*SUMIFS(TableVerdeelsleutelVkm[CNG],TableVerdeelsleutelVkm[Voertuigtype],"Lichte voertuigen")*SUMIFS(TableECFTransport[EnergieConsumptieFactor (PJ per km)],TableECFTransport[Index],CONCATENATE($A6,"_CNG_CNG"))</f>
        <v>5.6019118279774073E-4</v>
      </c>
      <c r="E6" s="962">
        <f>vkm_2011_GW_PW*SUMIFS(TableVerdeelsleutelVkm[LPG],TableVerdeelsleutelVkm[Voertuigtype],"Lichte voertuigen")*SUMIFS(TableECFTransport[EnergieConsumptieFactor (PJ per km)],TableECFTransport[Index],CONCATENATE($A6,"_LPG_LPG"))</f>
        <v>7.6530162319950299E-4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0.19787191778771596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6.3704156975171122E-2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1.3451303570407034E-2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0.16119208753483763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4.9119480030858625E-5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9.419530357111159E-3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9.0567836508972986E-5</v>
      </c>
      <c r="C8" s="449"/>
      <c r="D8" s="451">
        <f>vkm_2011_NGW_PW*SUMIFS(TableVerdeelsleutelVkm[CNG],TableVerdeelsleutelVkm[Voertuigtype],"Lichte voertuigen")*SUMIFS(TableECFTransport[EnergieConsumptieFactor (PJ per km)],TableECFTransport[Index],CONCATENATE($A8,"_CNG_CNG"))</f>
        <v>4.829994604857375E-4</v>
      </c>
      <c r="E8" s="451">
        <f>vkm_2011_NGW_PW*SUMIFS(TableVerdeelsleutelVkm[LPG],TableVerdeelsleutelVkm[Voertuigtype],"Lichte voertuigen")*SUMIFS(TableECFTransport[EnergieConsumptieFactor (PJ per km)],TableECFTransport[Index],CONCATENATE($A8,"_LPG_LPG"))</f>
        <v>6.1109286625848295E-4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0.14723984350341474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5.3376063402199726E-2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1.0186554504273648E-2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4.5262927914073742E-2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1.2984736370522357E-5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2.6449912360817828E-3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1.0050016140621012E-4</v>
      </c>
      <c r="C10" s="449"/>
      <c r="D10" s="451">
        <f>vkm_2011_SW_PW*SUMIFS(TableVerdeelsleutelVkm[CNG],TableVerdeelsleutelVkm[Voertuigtype],"Lichte voertuigen")*SUMIFS(TableECFTransport[EnergieConsumptieFactor (PJ per km)],TableECFTransport[Index],CONCATENATE($A10,"_CNG_CNG"))</f>
        <v>3.1532209588219258E-4</v>
      </c>
      <c r="E10" s="451">
        <f>vkm_2011_SW_PW*SUMIFS(TableVerdeelsleutelVkm[LPG],TableVerdeelsleutelVkm[Voertuigtype],"Lichte voertuigen")*SUMIFS(TableECFTransport[EnergieConsumptieFactor (PJ per km)],TableECFTransport[Index],CONCATENATE($A10,"_LPG_LPG"))</f>
        <v>5.3647781249374312E-4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0.12365935127629321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3.7352926004674859E-2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8.333392427945157E-3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0.10549570587952659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3.4715574006241141E-5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6.1648949535303664E-3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104.95392319897337</v>
      </c>
      <c r="C14" s="21"/>
      <c r="D14" s="21">
        <f t="shared" ref="D14:M14" si="0">((D5)*10^9/3600)+D12</f>
        <v>377.36464976824186</v>
      </c>
      <c r="E14" s="21">
        <f t="shared" si="0"/>
        <v>531.35341720881365</v>
      </c>
      <c r="F14" s="21"/>
      <c r="G14" s="21">
        <f t="shared" si="0"/>
        <v>216867.17608218384</v>
      </c>
      <c r="H14" s="21">
        <f t="shared" si="0"/>
        <v>42924.990603459264</v>
      </c>
      <c r="I14" s="21"/>
      <c r="J14" s="21"/>
      <c r="K14" s="21"/>
      <c r="L14" s="21"/>
      <c r="M14" s="21">
        <f t="shared" si="0"/>
        <v>13944.629735930321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0.19091635190093287</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20.037420134838683</v>
      </c>
      <c r="C18" s="23"/>
      <c r="D18" s="23">
        <f t="shared" ref="D18:M18" si="1">D14*D16</f>
        <v>76.227659253184868</v>
      </c>
      <c r="E18" s="23">
        <f t="shared" si="1"/>
        <v>120.6172257064007</v>
      </c>
      <c r="F18" s="23"/>
      <c r="G18" s="23">
        <f t="shared" si="1"/>
        <v>57903.536013943085</v>
      </c>
      <c r="H18" s="23">
        <f t="shared" si="1"/>
        <v>10688.322660261356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1.7792929758993395E-2</v>
      </c>
      <c r="H50" s="321">
        <f t="shared" si="2"/>
        <v>0</v>
      </c>
      <c r="I50" s="321">
        <f t="shared" si="2"/>
        <v>0</v>
      </c>
      <c r="J50" s="321">
        <f t="shared" si="2"/>
        <v>0</v>
      </c>
      <c r="K50" s="321">
        <f t="shared" si="2"/>
        <v>0</v>
      </c>
      <c r="L50" s="321">
        <f t="shared" si="2"/>
        <v>0</v>
      </c>
      <c r="M50" s="321">
        <f t="shared" si="2"/>
        <v>1.0105598620632986E-3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1.7792929758993395E-2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1.0105598620632986E-3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4942.4804886092761</v>
      </c>
      <c r="H54" s="21">
        <f t="shared" si="3"/>
        <v>0</v>
      </c>
      <c r="I54" s="21">
        <f t="shared" si="3"/>
        <v>0</v>
      </c>
      <c r="J54" s="21">
        <f t="shared" si="3"/>
        <v>0</v>
      </c>
      <c r="K54" s="21">
        <f t="shared" si="3"/>
        <v>0</v>
      </c>
      <c r="L54" s="21">
        <f t="shared" si="3"/>
        <v>0</v>
      </c>
      <c r="M54" s="21">
        <f t="shared" si="3"/>
        <v>280.71107279536074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0.19091635190093287</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1319.6422904586768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21529.419332099973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25861.008230627438</v>
      </c>
      <c r="C6" s="1263"/>
      <c r="D6" s="1248"/>
      <c r="E6" s="1248"/>
      <c r="F6" s="1266"/>
      <c r="G6" s="1269"/>
      <c r="H6" s="1260"/>
      <c r="I6" s="1248"/>
      <c r="J6" s="1248"/>
      <c r="K6" s="1248"/>
      <c r="L6" s="1252"/>
      <c r="M6" s="575"/>
      <c r="N6" s="1226"/>
      <c r="O6" s="1227"/>
      <c r="Q6" s="573"/>
      <c r="R6" s="1214"/>
      <c r="S6" s="1214"/>
    </row>
    <row r="7" spans="1:19" s="563" customFormat="1">
      <c r="A7" s="576" t="s">
        <v>252</v>
      </c>
      <c r="B7" s="577">
        <f>N57</f>
        <v>35248.5</v>
      </c>
      <c r="C7" s="578">
        <f>B100</f>
        <v>15384.705882352941</v>
      </c>
      <c r="D7" s="579"/>
      <c r="E7" s="579">
        <f>E100</f>
        <v>0</v>
      </c>
      <c r="F7" s="580"/>
      <c r="G7" s="581"/>
      <c r="H7" s="579">
        <f>I100</f>
        <v>0</v>
      </c>
      <c r="I7" s="579">
        <f>G100+F100</f>
        <v>0</v>
      </c>
      <c r="J7" s="579">
        <f>H100+D100+C100</f>
        <v>26084.117647058825</v>
      </c>
      <c r="K7" s="579"/>
      <c r="L7" s="582"/>
      <c r="M7" s="583">
        <f>C7*$C$11+D7*$D$11+E7*$E$11+F7*$F$11+G7*$G$11+H7*$H$11+I7*$I$11+J7*$J$11</f>
        <v>3107.7105882352944</v>
      </c>
      <c r="N7" s="1226"/>
      <c r="O7" s="1227"/>
      <c r="Q7" s="573"/>
      <c r="R7" s="1214"/>
      <c r="S7" s="1214"/>
    </row>
    <row r="8" spans="1:19" s="563" customFormat="1" ht="17.45" customHeight="1" thickBot="1">
      <c r="A8" s="584" t="s">
        <v>248</v>
      </c>
      <c r="B8" s="585">
        <f>N88+'Eigen informatie GS &amp; warmtenet'!B12</f>
        <v>139.5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82778.427562727418</v>
      </c>
      <c r="C9" s="594">
        <f t="shared" ref="C9:L9" si="0">SUM(C7:C8)</f>
        <v>15384.705882352941</v>
      </c>
      <c r="D9" s="594">
        <f t="shared" si="0"/>
        <v>0</v>
      </c>
      <c r="E9" s="594">
        <f t="shared" si="0"/>
        <v>0</v>
      </c>
      <c r="F9" s="594">
        <f t="shared" si="0"/>
        <v>0</v>
      </c>
      <c r="G9" s="594">
        <f t="shared" si="0"/>
        <v>0</v>
      </c>
      <c r="H9" s="594">
        <f t="shared" si="0"/>
        <v>0</v>
      </c>
      <c r="I9" s="594">
        <f t="shared" si="0"/>
        <v>0</v>
      </c>
      <c r="J9" s="594">
        <f t="shared" si="0"/>
        <v>26482.689075630253</v>
      </c>
      <c r="K9" s="594">
        <f t="shared" si="0"/>
        <v>0</v>
      </c>
      <c r="L9" s="594">
        <f t="shared" si="0"/>
        <v>0</v>
      </c>
      <c r="M9" s="595">
        <f>SUM(M4:M8)</f>
        <v>3107.7105882352944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50355.000000000007</v>
      </c>
      <c r="C16" s="610">
        <f>B101</f>
        <v>21978.151260504208</v>
      </c>
      <c r="D16" s="611"/>
      <c r="E16" s="611">
        <f>E101</f>
        <v>0</v>
      </c>
      <c r="F16" s="612"/>
      <c r="G16" s="613"/>
      <c r="H16" s="610">
        <f>I101</f>
        <v>0</v>
      </c>
      <c r="I16" s="611">
        <f>G101+F101</f>
        <v>0</v>
      </c>
      <c r="J16" s="611">
        <f>H101+D101+C101</f>
        <v>37263.025210084044</v>
      </c>
      <c r="K16" s="611"/>
      <c r="L16" s="614"/>
      <c r="M16" s="615">
        <f>C16*$C$21+E16*$E$21+H16*$H$21+I16*$I$21+J16*$J$21+D16*$D$21+F16*$F$21+G16*$G$21+K16*$K$21+L16*$L$21</f>
        <v>4439.5865546218502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50355.000000000007</v>
      </c>
      <c r="C19" s="593">
        <f>SUM(C16:C18)</f>
        <v>21978.151260504208</v>
      </c>
      <c r="D19" s="593">
        <f t="shared" ref="D19:M19" si="1">SUM(D16:D18)</f>
        <v>0</v>
      </c>
      <c r="E19" s="593">
        <f t="shared" si="1"/>
        <v>0</v>
      </c>
      <c r="F19" s="593">
        <f t="shared" si="1"/>
        <v>0</v>
      </c>
      <c r="G19" s="593">
        <f t="shared" si="1"/>
        <v>0</v>
      </c>
      <c r="H19" s="593">
        <f t="shared" si="1"/>
        <v>0</v>
      </c>
      <c r="I19" s="593">
        <f t="shared" si="1"/>
        <v>0</v>
      </c>
      <c r="J19" s="593">
        <f t="shared" si="1"/>
        <v>37263.025210084044</v>
      </c>
      <c r="K19" s="593">
        <f t="shared" si="1"/>
        <v>0</v>
      </c>
      <c r="L19" s="593">
        <f t="shared" si="1"/>
        <v>0</v>
      </c>
      <c r="M19" s="620">
        <f t="shared" si="1"/>
        <v>4439.5865546218502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36015</v>
      </c>
      <c r="C27" s="851">
        <v>8800</v>
      </c>
      <c r="D27" s="672" t="s">
        <v>844</v>
      </c>
      <c r="E27" s="671" t="s">
        <v>845</v>
      </c>
      <c r="F27" s="671" t="s">
        <v>846</v>
      </c>
      <c r="G27" s="671" t="s">
        <v>847</v>
      </c>
      <c r="H27" s="671" t="s">
        <v>848</v>
      </c>
      <c r="I27" s="671" t="s">
        <v>849</v>
      </c>
      <c r="J27" s="850">
        <v>39667</v>
      </c>
      <c r="K27" s="850">
        <v>39692</v>
      </c>
      <c r="L27" s="671" t="s">
        <v>850</v>
      </c>
      <c r="M27" s="671">
        <v>835</v>
      </c>
      <c r="N27" s="671">
        <v>3757.5</v>
      </c>
      <c r="O27" s="671">
        <v>5367.8571428571431</v>
      </c>
      <c r="P27" s="671">
        <v>0</v>
      </c>
      <c r="Q27" s="671">
        <v>10735.714285714286</v>
      </c>
      <c r="R27" s="671">
        <v>0</v>
      </c>
      <c r="S27" s="671">
        <v>0</v>
      </c>
      <c r="T27" s="671">
        <v>0</v>
      </c>
      <c r="U27" s="671">
        <v>0</v>
      </c>
      <c r="V27" s="671">
        <v>0</v>
      </c>
      <c r="W27" s="671">
        <v>0</v>
      </c>
      <c r="X27" s="671">
        <v>1600</v>
      </c>
      <c r="Y27" s="671" t="s">
        <v>50</v>
      </c>
      <c r="Z27" s="673" t="s">
        <v>156</v>
      </c>
    </row>
    <row r="28" spans="1:26" s="625" customFormat="1" ht="63.75">
      <c r="A28" s="624"/>
      <c r="B28" s="851">
        <v>36015</v>
      </c>
      <c r="C28" s="851">
        <v>8800</v>
      </c>
      <c r="D28" s="672" t="s">
        <v>851</v>
      </c>
      <c r="E28" s="671" t="s">
        <v>852</v>
      </c>
      <c r="F28" s="671" t="s">
        <v>853</v>
      </c>
      <c r="G28" s="671" t="s">
        <v>847</v>
      </c>
      <c r="H28" s="671" t="s">
        <v>848</v>
      </c>
      <c r="I28" s="671" t="s">
        <v>852</v>
      </c>
      <c r="J28" s="850">
        <v>39925</v>
      </c>
      <c r="K28" s="850">
        <v>39925</v>
      </c>
      <c r="L28" s="671" t="s">
        <v>850</v>
      </c>
      <c r="M28" s="671">
        <v>4024</v>
      </c>
      <c r="N28" s="671">
        <v>18108</v>
      </c>
      <c r="O28" s="671">
        <v>25868.571428571428</v>
      </c>
      <c r="P28" s="671">
        <v>12934.285714285716</v>
      </c>
      <c r="Q28" s="671">
        <v>38802.857142857145</v>
      </c>
      <c r="R28" s="671">
        <v>0</v>
      </c>
      <c r="S28" s="671">
        <v>0</v>
      </c>
      <c r="T28" s="671">
        <v>0</v>
      </c>
      <c r="U28" s="671">
        <v>0</v>
      </c>
      <c r="V28" s="671">
        <v>0</v>
      </c>
      <c r="W28" s="671">
        <v>0</v>
      </c>
      <c r="X28" s="671">
        <v>1600</v>
      </c>
      <c r="Y28" s="671" t="s">
        <v>50</v>
      </c>
      <c r="Z28" s="673" t="s">
        <v>156</v>
      </c>
    </row>
    <row r="29" spans="1:26" s="625" customFormat="1" ht="63.75">
      <c r="A29" s="624"/>
      <c r="B29" s="851">
        <v>36015</v>
      </c>
      <c r="C29" s="851">
        <v>8800</v>
      </c>
      <c r="D29" s="672" t="s">
        <v>854</v>
      </c>
      <c r="E29" s="671" t="s">
        <v>855</v>
      </c>
      <c r="F29" s="671" t="s">
        <v>856</v>
      </c>
      <c r="G29" s="671" t="s">
        <v>847</v>
      </c>
      <c r="H29" s="671" t="s">
        <v>848</v>
      </c>
      <c r="I29" s="671" t="s">
        <v>855</v>
      </c>
      <c r="J29" s="850">
        <v>40105</v>
      </c>
      <c r="K29" s="850">
        <v>40105</v>
      </c>
      <c r="L29" s="671" t="s">
        <v>850</v>
      </c>
      <c r="M29" s="671">
        <v>1074</v>
      </c>
      <c r="N29" s="671">
        <v>4833</v>
      </c>
      <c r="O29" s="671">
        <v>6904.2857142857147</v>
      </c>
      <c r="P29" s="671">
        <v>0</v>
      </c>
      <c r="Q29" s="671">
        <v>0</v>
      </c>
      <c r="R29" s="671">
        <v>13808.571428571429</v>
      </c>
      <c r="S29" s="671">
        <v>0</v>
      </c>
      <c r="T29" s="671">
        <v>0</v>
      </c>
      <c r="U29" s="671">
        <v>0</v>
      </c>
      <c r="V29" s="671">
        <v>0</v>
      </c>
      <c r="W29" s="671">
        <v>0</v>
      </c>
      <c r="X29" s="671">
        <v>1600</v>
      </c>
      <c r="Y29" s="671" t="s">
        <v>50</v>
      </c>
      <c r="Z29" s="673" t="s">
        <v>156</v>
      </c>
    </row>
    <row r="30" spans="1:26" s="625" customFormat="1" ht="25.5">
      <c r="A30" s="624"/>
      <c r="B30" s="851">
        <v>36015</v>
      </c>
      <c r="C30" s="851">
        <v>8800</v>
      </c>
      <c r="D30" s="672" t="s">
        <v>857</v>
      </c>
      <c r="E30" s="671" t="s">
        <v>858</v>
      </c>
      <c r="F30" s="671" t="s">
        <v>859</v>
      </c>
      <c r="G30" s="671" t="s">
        <v>847</v>
      </c>
      <c r="H30" s="671" t="s">
        <v>848</v>
      </c>
      <c r="I30" s="671" t="s">
        <v>858</v>
      </c>
      <c r="J30" s="850">
        <v>40269</v>
      </c>
      <c r="K30" s="850">
        <v>40275</v>
      </c>
      <c r="L30" s="671" t="s">
        <v>850</v>
      </c>
      <c r="M30" s="671">
        <v>500</v>
      </c>
      <c r="N30" s="671">
        <v>2250</v>
      </c>
      <c r="O30" s="671">
        <v>3214.2857142857142</v>
      </c>
      <c r="P30" s="671">
        <v>6428.5714285714294</v>
      </c>
      <c r="Q30" s="671">
        <v>0</v>
      </c>
      <c r="R30" s="671">
        <v>0</v>
      </c>
      <c r="S30" s="671">
        <v>0</v>
      </c>
      <c r="T30" s="671">
        <v>0</v>
      </c>
      <c r="U30" s="671">
        <v>0</v>
      </c>
      <c r="V30" s="671">
        <v>0</v>
      </c>
      <c r="W30" s="671">
        <v>0</v>
      </c>
      <c r="X30" s="671">
        <v>1100</v>
      </c>
      <c r="Y30" s="671" t="s">
        <v>52</v>
      </c>
      <c r="Z30" s="673" t="s">
        <v>156</v>
      </c>
    </row>
    <row r="31" spans="1:26" s="625" customFormat="1" ht="25.5">
      <c r="A31" s="624"/>
      <c r="B31" s="851">
        <v>36015</v>
      </c>
      <c r="C31" s="851">
        <v>8800</v>
      </c>
      <c r="D31" s="672" t="s">
        <v>860</v>
      </c>
      <c r="E31" s="671" t="s">
        <v>861</v>
      </c>
      <c r="F31" s="671" t="s">
        <v>862</v>
      </c>
      <c r="G31" s="671" t="s">
        <v>847</v>
      </c>
      <c r="H31" s="671" t="s">
        <v>848</v>
      </c>
      <c r="I31" s="671" t="s">
        <v>861</v>
      </c>
      <c r="J31" s="850">
        <v>41752</v>
      </c>
      <c r="K31" s="850">
        <v>41752</v>
      </c>
      <c r="L31" s="671" t="s">
        <v>850</v>
      </c>
      <c r="M31" s="671">
        <v>1400</v>
      </c>
      <c r="N31" s="671">
        <v>6300</v>
      </c>
      <c r="O31" s="671">
        <v>9000</v>
      </c>
      <c r="P31" s="671">
        <v>18000</v>
      </c>
      <c r="Q31" s="671">
        <v>0</v>
      </c>
      <c r="R31" s="671">
        <v>0</v>
      </c>
      <c r="S31" s="671">
        <v>0</v>
      </c>
      <c r="T31" s="671">
        <v>0</v>
      </c>
      <c r="U31" s="671">
        <v>0</v>
      </c>
      <c r="V31" s="671">
        <v>0</v>
      </c>
      <c r="W31" s="671">
        <v>0</v>
      </c>
      <c r="X31" s="671">
        <v>500</v>
      </c>
      <c r="Y31" s="671" t="s">
        <v>41</v>
      </c>
      <c r="Z31" s="673" t="s">
        <v>389</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7833</v>
      </c>
      <c r="N57" s="629">
        <f>SUM(N27:N56)</f>
        <v>35248.5</v>
      </c>
      <c r="O57" s="629">
        <f t="shared" ref="O57:W57" si="2">SUM(O27:O56)</f>
        <v>50355.000000000007</v>
      </c>
      <c r="P57" s="629">
        <f t="shared" si="2"/>
        <v>37362.857142857145</v>
      </c>
      <c r="Q57" s="629">
        <f t="shared" si="2"/>
        <v>49538.571428571435</v>
      </c>
      <c r="R57" s="629">
        <f t="shared" si="2"/>
        <v>13808.571428571429</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1400</v>
      </c>
      <c r="N58" s="629">
        <f t="shared" ref="N58:W58" si="3">SUMIF($Z$27:$Z$56,"industrie",N27:N56)</f>
        <v>6300</v>
      </c>
      <c r="O58" s="629">
        <f t="shared" si="3"/>
        <v>9000</v>
      </c>
      <c r="P58" s="629">
        <f t="shared" si="3"/>
        <v>18000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6433</v>
      </c>
      <c r="N59" s="629">
        <f ca="1">SUMIF($Z$27:AB56,"tertiair",N27:N56)</f>
        <v>28948.5</v>
      </c>
      <c r="O59" s="629">
        <f ca="1">SUMIF($Z$27:AC56,"tertiair",O27:O56)</f>
        <v>41355.000000000007</v>
      </c>
      <c r="P59" s="629">
        <f ca="1">SUMIF($Z$27:AD56,"tertiair",P27:P56)</f>
        <v>19362.857142857145</v>
      </c>
      <c r="Q59" s="629">
        <f ca="1">SUMIF($Z$27:AE56,"tertiair",Q27:Q56)</f>
        <v>49538.571428571435</v>
      </c>
      <c r="R59" s="629">
        <f ca="1">SUMIF($Z$27:AF56,"tertiair",R27:R56)</f>
        <v>13808.571428571429</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36015</v>
      </c>
      <c r="C63" s="851">
        <v>8800</v>
      </c>
      <c r="D63" s="674" t="s">
        <v>863</v>
      </c>
      <c r="E63" s="674" t="s">
        <v>864</v>
      </c>
      <c r="F63" s="674" t="s">
        <v>865</v>
      </c>
      <c r="G63" s="674" t="s">
        <v>866</v>
      </c>
      <c r="H63" s="674" t="s">
        <v>867</v>
      </c>
      <c r="I63" s="674" t="s">
        <v>868</v>
      </c>
      <c r="J63" s="850">
        <v>39114</v>
      </c>
      <c r="K63" s="850">
        <v>39192</v>
      </c>
      <c r="L63" s="674" t="s">
        <v>869</v>
      </c>
      <c r="M63" s="674">
        <v>31</v>
      </c>
      <c r="N63" s="674">
        <v>139.5</v>
      </c>
      <c r="O63" s="674">
        <v>0</v>
      </c>
      <c r="P63" s="674">
        <v>0</v>
      </c>
      <c r="Q63" s="674">
        <v>398.57142857142861</v>
      </c>
      <c r="R63" s="674">
        <v>0</v>
      </c>
      <c r="S63" s="674">
        <v>0</v>
      </c>
      <c r="T63" s="674">
        <v>0</v>
      </c>
      <c r="U63" s="674">
        <v>0</v>
      </c>
      <c r="V63" s="674">
        <v>0</v>
      </c>
      <c r="W63" s="674">
        <v>0</v>
      </c>
      <c r="X63" s="674">
        <v>1300</v>
      </c>
      <c r="Y63" s="674" t="s">
        <v>54</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v>
      </c>
      <c r="N88" s="629">
        <f t="shared" ref="N88:W88" si="5">SUM(N63:N87)</f>
        <v>139.5</v>
      </c>
      <c r="O88" s="629">
        <f t="shared" si="5"/>
        <v>0</v>
      </c>
      <c r="P88" s="629">
        <f t="shared" si="5"/>
        <v>0</v>
      </c>
      <c r="Q88" s="629">
        <f t="shared" si="5"/>
        <v>398.57142857142861</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v>
      </c>
      <c r="N90" s="629">
        <f t="shared" ref="N90:W90" si="7">SUMIF($Z$63:$Z$88,"tertiair",N63:N88)</f>
        <v>139.5</v>
      </c>
      <c r="O90" s="629">
        <f t="shared" si="7"/>
        <v>0</v>
      </c>
      <c r="P90" s="629">
        <f t="shared" si="7"/>
        <v>0</v>
      </c>
      <c r="Q90" s="629">
        <f t="shared" si="7"/>
        <v>398.57142857142861</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15384.705882352941</v>
      </c>
      <c r="C100" s="663">
        <f t="shared" si="9"/>
        <v>20398.235294117647</v>
      </c>
      <c r="D100" s="663">
        <f t="shared" si="9"/>
        <v>5685.8823529411766</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21978.151260504208</v>
      </c>
      <c r="C101" s="666">
        <f t="shared" ref="C101:H101" si="10">$B$97*Q57</f>
        <v>29140.336134453792</v>
      </c>
      <c r="D101" s="666">
        <f t="shared" si="10"/>
        <v>8122.6890756302546</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190109.76316262444</v>
      </c>
      <c r="D10" s="718">
        <f ca="1">tertiair!C16</f>
        <v>41355.000000000007</v>
      </c>
      <c r="E10" s="718">
        <f ca="1">tertiair!D16</f>
        <v>176321.24316082656</v>
      </c>
      <c r="F10" s="718">
        <f>tertiair!E16</f>
        <v>2234.2367458324179</v>
      </c>
      <c r="G10" s="718">
        <f ca="1">tertiair!F16</f>
        <v>26997.575716563097</v>
      </c>
      <c r="H10" s="718">
        <f>tertiair!G16</f>
        <v>0</v>
      </c>
      <c r="I10" s="718">
        <f>tertiair!H16</f>
        <v>0</v>
      </c>
      <c r="J10" s="718">
        <f>tertiair!I16</f>
        <v>0</v>
      </c>
      <c r="K10" s="718">
        <f>tertiair!J16</f>
        <v>0.30284249635747801</v>
      </c>
      <c r="L10" s="718">
        <f>tertiair!K16</f>
        <v>0</v>
      </c>
      <c r="M10" s="718">
        <f ca="1">tertiair!L16</f>
        <v>0</v>
      </c>
      <c r="N10" s="718">
        <f>tertiair!M16</f>
        <v>0</v>
      </c>
      <c r="O10" s="718">
        <f ca="1">tertiair!N16</f>
        <v>0</v>
      </c>
      <c r="P10" s="718">
        <f>tertiair!O16</f>
        <v>6.2533333333333339</v>
      </c>
      <c r="Q10" s="719">
        <f>tertiair!P16</f>
        <v>209.73333333333335</v>
      </c>
      <c r="R10" s="721">
        <f ca="1">SUM(C10:Q10)</f>
        <v>437234.10829500959</v>
      </c>
      <c r="S10" s="67"/>
    </row>
    <row r="11" spans="1:19" s="474" customFormat="1">
      <c r="A11" s="870" t="s">
        <v>225</v>
      </c>
      <c r="B11" s="875"/>
      <c r="C11" s="718">
        <f>huishoudens!B8</f>
        <v>93669.186973991295</v>
      </c>
      <c r="D11" s="718">
        <f>huishoudens!C8</f>
        <v>0</v>
      </c>
      <c r="E11" s="718">
        <f>huishoudens!D8</f>
        <v>277702.30955208314</v>
      </c>
      <c r="F11" s="718">
        <f>huishoudens!E8</f>
        <v>10811.982371924752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46818.907187087527</v>
      </c>
      <c r="P11" s="718">
        <f>huishoudens!O8</f>
        <v>1242.8500000000001</v>
      </c>
      <c r="Q11" s="719">
        <f>huishoudens!P8</f>
        <v>2879.0666666666666</v>
      </c>
      <c r="R11" s="721">
        <f>SUM(C11:Q11)</f>
        <v>433124.3027517533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217457.30219745124</v>
      </c>
      <c r="D13" s="718">
        <f>industrie!C18</f>
        <v>9000</v>
      </c>
      <c r="E13" s="718">
        <f>industrie!D18</f>
        <v>273683.47904443706</v>
      </c>
      <c r="F13" s="718">
        <f>industrie!E18</f>
        <v>7148.4175551605658</v>
      </c>
      <c r="G13" s="718">
        <f>industrie!F18</f>
        <v>35521.223009687397</v>
      </c>
      <c r="H13" s="718">
        <f>industrie!G18</f>
        <v>0</v>
      </c>
      <c r="I13" s="718">
        <f>industrie!H18</f>
        <v>0</v>
      </c>
      <c r="J13" s="718">
        <f>industrie!I18</f>
        <v>0</v>
      </c>
      <c r="K13" s="718">
        <f>industrie!J18</f>
        <v>258.64690199566724</v>
      </c>
      <c r="L13" s="718">
        <f>industrie!K18</f>
        <v>0</v>
      </c>
      <c r="M13" s="718">
        <f>industrie!L18</f>
        <v>0</v>
      </c>
      <c r="N13" s="718">
        <f>industrie!M18</f>
        <v>0</v>
      </c>
      <c r="O13" s="718">
        <f>industrie!N18</f>
        <v>35969.821971329089</v>
      </c>
      <c r="P13" s="718">
        <f>industrie!O18</f>
        <v>0</v>
      </c>
      <c r="Q13" s="719">
        <f>industrie!P18</f>
        <v>0</v>
      </c>
      <c r="R13" s="721">
        <f>SUM(C13:Q13)</f>
        <v>579038.89068006095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501236.25233406696</v>
      </c>
      <c r="D15" s="723">
        <f t="shared" ref="D15:Q15" ca="1" si="0">SUM(D9:D14)</f>
        <v>50355.000000000007</v>
      </c>
      <c r="E15" s="723">
        <f t="shared" ca="1" si="0"/>
        <v>727707.03175734682</v>
      </c>
      <c r="F15" s="723">
        <f t="shared" si="0"/>
        <v>20194.636672917735</v>
      </c>
      <c r="G15" s="723">
        <f t="shared" ca="1" si="0"/>
        <v>62518.79872625049</v>
      </c>
      <c r="H15" s="723">
        <f t="shared" si="0"/>
        <v>0</v>
      </c>
      <c r="I15" s="723">
        <f t="shared" si="0"/>
        <v>0</v>
      </c>
      <c r="J15" s="723">
        <f t="shared" si="0"/>
        <v>0</v>
      </c>
      <c r="K15" s="723">
        <f t="shared" si="0"/>
        <v>258.94974449202471</v>
      </c>
      <c r="L15" s="723">
        <f t="shared" si="0"/>
        <v>0</v>
      </c>
      <c r="M15" s="723">
        <f t="shared" ca="1" si="0"/>
        <v>0</v>
      </c>
      <c r="N15" s="723">
        <f t="shared" si="0"/>
        <v>0</v>
      </c>
      <c r="O15" s="723">
        <f t="shared" ca="1" si="0"/>
        <v>82788.729158416623</v>
      </c>
      <c r="P15" s="723">
        <f t="shared" si="0"/>
        <v>1249.1033333333335</v>
      </c>
      <c r="Q15" s="724">
        <f t="shared" si="0"/>
        <v>3088.8</v>
      </c>
      <c r="R15" s="725">
        <f ca="1">SUM(R9:R14)</f>
        <v>1449397.3017268239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4942.4804886092761</v>
      </c>
      <c r="I18" s="718">
        <f>transport!H54</f>
        <v>0</v>
      </c>
      <c r="J18" s="718">
        <f>transport!I54</f>
        <v>0</v>
      </c>
      <c r="K18" s="718">
        <f>transport!J54</f>
        <v>0</v>
      </c>
      <c r="L18" s="718">
        <f>transport!K54</f>
        <v>0</v>
      </c>
      <c r="M18" s="718">
        <f>transport!L54</f>
        <v>0</v>
      </c>
      <c r="N18" s="718">
        <f>transport!M54</f>
        <v>280.71107279536074</v>
      </c>
      <c r="O18" s="718">
        <f>transport!N54</f>
        <v>0</v>
      </c>
      <c r="P18" s="718">
        <f>transport!O54</f>
        <v>0</v>
      </c>
      <c r="Q18" s="719">
        <f>transport!P54</f>
        <v>0</v>
      </c>
      <c r="R18" s="721">
        <f>SUM(C18:Q18)</f>
        <v>5223.1915614046366</v>
      </c>
      <c r="S18" s="67"/>
    </row>
    <row r="19" spans="1:19" s="474" customFormat="1" ht="15" thickBot="1">
      <c r="A19" s="870" t="s">
        <v>307</v>
      </c>
      <c r="B19" s="875"/>
      <c r="C19" s="727">
        <f>transport!B14</f>
        <v>104.95392319897337</v>
      </c>
      <c r="D19" s="727">
        <f>transport!C14</f>
        <v>0</v>
      </c>
      <c r="E19" s="727">
        <f>transport!D14</f>
        <v>377.36464976824186</v>
      </c>
      <c r="F19" s="727">
        <f>transport!E14</f>
        <v>531.35341720881365</v>
      </c>
      <c r="G19" s="727">
        <f>transport!F14</f>
        <v>0</v>
      </c>
      <c r="H19" s="727">
        <f>transport!G14</f>
        <v>216867.17608218384</v>
      </c>
      <c r="I19" s="727">
        <f>transport!H14</f>
        <v>42924.990603459264</v>
      </c>
      <c r="J19" s="727">
        <f>transport!I14</f>
        <v>0</v>
      </c>
      <c r="K19" s="727">
        <f>transport!J14</f>
        <v>0</v>
      </c>
      <c r="L19" s="727">
        <f>transport!K14</f>
        <v>0</v>
      </c>
      <c r="M19" s="727">
        <f>transport!L14</f>
        <v>0</v>
      </c>
      <c r="N19" s="727">
        <f>transport!M14</f>
        <v>13944.629735930321</v>
      </c>
      <c r="O19" s="727">
        <f>transport!N14</f>
        <v>0</v>
      </c>
      <c r="P19" s="727">
        <f>transport!O14</f>
        <v>0</v>
      </c>
      <c r="Q19" s="728">
        <f>transport!P14</f>
        <v>0</v>
      </c>
      <c r="R19" s="729">
        <f>SUM(C19:Q19)</f>
        <v>274750.46841174946</v>
      </c>
      <c r="S19" s="67"/>
    </row>
    <row r="20" spans="1:19" s="474" customFormat="1" ht="15.75" thickBot="1">
      <c r="A20" s="730" t="s">
        <v>230</v>
      </c>
      <c r="B20" s="878"/>
      <c r="C20" s="873">
        <f>SUM(C17:C19)</f>
        <v>104.95392319897337</v>
      </c>
      <c r="D20" s="731">
        <f t="shared" ref="D20:R20" si="1">SUM(D17:D19)</f>
        <v>0</v>
      </c>
      <c r="E20" s="731">
        <f t="shared" si="1"/>
        <v>377.36464976824186</v>
      </c>
      <c r="F20" s="731">
        <f t="shared" si="1"/>
        <v>531.35341720881365</v>
      </c>
      <c r="G20" s="731">
        <f t="shared" si="1"/>
        <v>0</v>
      </c>
      <c r="H20" s="731">
        <f t="shared" si="1"/>
        <v>221809.65657079313</v>
      </c>
      <c r="I20" s="731">
        <f t="shared" si="1"/>
        <v>42924.990603459264</v>
      </c>
      <c r="J20" s="731">
        <f t="shared" si="1"/>
        <v>0</v>
      </c>
      <c r="K20" s="731">
        <f t="shared" si="1"/>
        <v>0</v>
      </c>
      <c r="L20" s="731">
        <f t="shared" si="1"/>
        <v>0</v>
      </c>
      <c r="M20" s="731">
        <f t="shared" si="1"/>
        <v>0</v>
      </c>
      <c r="N20" s="731">
        <f t="shared" si="1"/>
        <v>14225.340808725681</v>
      </c>
      <c r="O20" s="731">
        <f t="shared" si="1"/>
        <v>0</v>
      </c>
      <c r="P20" s="731">
        <f t="shared" si="1"/>
        <v>0</v>
      </c>
      <c r="Q20" s="732">
        <f t="shared" si="1"/>
        <v>0</v>
      </c>
      <c r="R20" s="733">
        <f t="shared" si="1"/>
        <v>279973.65997315408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3461.9962372603982</v>
      </c>
      <c r="D22" s="727">
        <f>+landbouw!C8</f>
        <v>0</v>
      </c>
      <c r="E22" s="727">
        <f>+landbouw!D8</f>
        <v>13159.150392649599</v>
      </c>
      <c r="F22" s="727">
        <f>+landbouw!E8</f>
        <v>101.75864357007677</v>
      </c>
      <c r="G22" s="727">
        <f>+landbouw!F8</f>
        <v>14422.489247969366</v>
      </c>
      <c r="H22" s="727">
        <f>+landbouw!G8</f>
        <v>0</v>
      </c>
      <c r="I22" s="727">
        <f>+landbouw!H8</f>
        <v>0</v>
      </c>
      <c r="J22" s="727">
        <f>+landbouw!I8</f>
        <v>0</v>
      </c>
      <c r="K22" s="727">
        <f>+landbouw!J8</f>
        <v>501.56890755879232</v>
      </c>
      <c r="L22" s="727">
        <f>+landbouw!K8</f>
        <v>0</v>
      </c>
      <c r="M22" s="727">
        <f>+landbouw!L8</f>
        <v>0</v>
      </c>
      <c r="N22" s="727">
        <f>+landbouw!M8</f>
        <v>0</v>
      </c>
      <c r="O22" s="727">
        <f>+landbouw!N8</f>
        <v>0</v>
      </c>
      <c r="P22" s="727">
        <f>+landbouw!O8</f>
        <v>0</v>
      </c>
      <c r="Q22" s="728">
        <f>+landbouw!P8</f>
        <v>0</v>
      </c>
      <c r="R22" s="729">
        <f>SUM(C22:Q22)</f>
        <v>31646.963429008229</v>
      </c>
      <c r="S22" s="67"/>
    </row>
    <row r="23" spans="1:19" s="474" customFormat="1" ht="17.25" thickTop="1" thickBot="1">
      <c r="A23" s="734" t="s">
        <v>116</v>
      </c>
      <c r="B23" s="864"/>
      <c r="C23" s="735">
        <f ca="1">C20+C15+C22</f>
        <v>504803.20249452634</v>
      </c>
      <c r="D23" s="735">
        <f t="shared" ref="D23:Q23" ca="1" si="2">D20+D15+D22</f>
        <v>50355.000000000007</v>
      </c>
      <c r="E23" s="735">
        <f t="shared" ca="1" si="2"/>
        <v>741243.54679976462</v>
      </c>
      <c r="F23" s="735">
        <f t="shared" si="2"/>
        <v>20827.748733696626</v>
      </c>
      <c r="G23" s="735">
        <f t="shared" ca="1" si="2"/>
        <v>76941.287974219857</v>
      </c>
      <c r="H23" s="735">
        <f t="shared" si="2"/>
        <v>221809.65657079313</v>
      </c>
      <c r="I23" s="735">
        <f t="shared" si="2"/>
        <v>42924.990603459264</v>
      </c>
      <c r="J23" s="735">
        <f t="shared" si="2"/>
        <v>0</v>
      </c>
      <c r="K23" s="735">
        <f t="shared" si="2"/>
        <v>760.51865205081708</v>
      </c>
      <c r="L23" s="735">
        <f t="shared" si="2"/>
        <v>0</v>
      </c>
      <c r="M23" s="735">
        <f t="shared" ca="1" si="2"/>
        <v>0</v>
      </c>
      <c r="N23" s="735">
        <f t="shared" si="2"/>
        <v>14225.340808725681</v>
      </c>
      <c r="O23" s="735">
        <f t="shared" ca="1" si="2"/>
        <v>82788.729158416623</v>
      </c>
      <c r="P23" s="735">
        <f t="shared" si="2"/>
        <v>1249.1033333333335</v>
      </c>
      <c r="Q23" s="736">
        <f t="shared" si="2"/>
        <v>3088.8</v>
      </c>
      <c r="R23" s="737">
        <f ca="1">R20+R15+R22</f>
        <v>1761017.9251289861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36295.062443758608</v>
      </c>
      <c r="D36" s="718">
        <f ca="1">tertiair!C20</f>
        <v>3646.094766485684</v>
      </c>
      <c r="E36" s="718">
        <f ca="1">tertiair!D20</f>
        <v>35616.891118486965</v>
      </c>
      <c r="F36" s="718">
        <f>tertiair!E20</f>
        <v>507.17174130395887</v>
      </c>
      <c r="G36" s="718">
        <f ca="1">tertiair!F20</f>
        <v>7208.3527163223471</v>
      </c>
      <c r="H36" s="718">
        <f>tertiair!G20</f>
        <v>0</v>
      </c>
      <c r="I36" s="718">
        <f>tertiair!H20</f>
        <v>0</v>
      </c>
      <c r="J36" s="718">
        <f>tertiair!I20</f>
        <v>0</v>
      </c>
      <c r="K36" s="718">
        <f>tertiair!J20</f>
        <v>0.10720624371054721</v>
      </c>
      <c r="L36" s="718">
        <f>tertiair!K20</f>
        <v>0</v>
      </c>
      <c r="M36" s="718">
        <f ca="1">tertiair!L20</f>
        <v>0</v>
      </c>
      <c r="N36" s="718">
        <f>tertiair!M20</f>
        <v>0</v>
      </c>
      <c r="O36" s="718">
        <f ca="1">tertiair!N20</f>
        <v>0</v>
      </c>
      <c r="P36" s="718">
        <f>tertiair!O20</f>
        <v>0</v>
      </c>
      <c r="Q36" s="828">
        <f>tertiair!P20</f>
        <v>0</v>
      </c>
      <c r="R36" s="917">
        <f ca="1">SUM(C36:Q36)</f>
        <v>83273.67999260129</v>
      </c>
    </row>
    <row r="37" spans="1:18">
      <c r="A37" s="885" t="s">
        <v>225</v>
      </c>
      <c r="B37" s="892"/>
      <c r="C37" s="718">
        <f ca="1">huishoudens!B12</f>
        <v>17882.979462600801</v>
      </c>
      <c r="D37" s="718">
        <f ca="1">huishoudens!C12</f>
        <v>0</v>
      </c>
      <c r="E37" s="718">
        <f>huishoudens!D12</f>
        <v>56095.866529520797</v>
      </c>
      <c r="F37" s="718">
        <f>huishoudens!E12</f>
        <v>2454.319998426919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76433.165990548514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41516.154829756102</v>
      </c>
      <c r="D39" s="718">
        <f ca="1">industrie!C22</f>
        <v>793.49178813616606</v>
      </c>
      <c r="E39" s="718">
        <f>industrie!D22</f>
        <v>55284.062766976291</v>
      </c>
      <c r="F39" s="718">
        <f>industrie!E22</f>
        <v>1622.6907850214484</v>
      </c>
      <c r="G39" s="718">
        <f>industrie!F22</f>
        <v>9484.1665435865361</v>
      </c>
      <c r="H39" s="718">
        <f>industrie!G22</f>
        <v>0</v>
      </c>
      <c r="I39" s="718">
        <f>industrie!H22</f>
        <v>0</v>
      </c>
      <c r="J39" s="718">
        <f>industrie!I22</f>
        <v>0</v>
      </c>
      <c r="K39" s="718">
        <f>industrie!J22</f>
        <v>91.561003306466191</v>
      </c>
      <c r="L39" s="718">
        <f>industrie!K22</f>
        <v>0</v>
      </c>
      <c r="M39" s="718">
        <f>industrie!L22</f>
        <v>0</v>
      </c>
      <c r="N39" s="718">
        <f>industrie!M22</f>
        <v>0</v>
      </c>
      <c r="O39" s="718">
        <f>industrie!N22</f>
        <v>0</v>
      </c>
      <c r="P39" s="718">
        <f>industrie!O22</f>
        <v>0</v>
      </c>
      <c r="Q39" s="828">
        <f>industrie!P22</f>
        <v>0</v>
      </c>
      <c r="R39" s="918">
        <f ca="1">SUM(C39:Q39)</f>
        <v>108792.12771678303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95694.196736115511</v>
      </c>
      <c r="D41" s="763">
        <f t="shared" ref="D41:R41" ca="1" si="4">SUM(D35:D40)</f>
        <v>4439.5865546218502</v>
      </c>
      <c r="E41" s="763">
        <f t="shared" ca="1" si="4"/>
        <v>146996.82041498407</v>
      </c>
      <c r="F41" s="763">
        <f t="shared" si="4"/>
        <v>4584.1825247523266</v>
      </c>
      <c r="G41" s="763">
        <f t="shared" ca="1" si="4"/>
        <v>16692.519259908884</v>
      </c>
      <c r="H41" s="763">
        <f t="shared" si="4"/>
        <v>0</v>
      </c>
      <c r="I41" s="763">
        <f t="shared" si="4"/>
        <v>0</v>
      </c>
      <c r="J41" s="763">
        <f t="shared" si="4"/>
        <v>0</v>
      </c>
      <c r="K41" s="763">
        <f t="shared" si="4"/>
        <v>91.668209550176741</v>
      </c>
      <c r="L41" s="763">
        <f t="shared" si="4"/>
        <v>0</v>
      </c>
      <c r="M41" s="763">
        <f t="shared" ca="1" si="4"/>
        <v>0</v>
      </c>
      <c r="N41" s="763">
        <f t="shared" si="4"/>
        <v>0</v>
      </c>
      <c r="O41" s="763">
        <f t="shared" ca="1" si="4"/>
        <v>0</v>
      </c>
      <c r="P41" s="763">
        <f t="shared" si="4"/>
        <v>0</v>
      </c>
      <c r="Q41" s="764">
        <f t="shared" si="4"/>
        <v>0</v>
      </c>
      <c r="R41" s="765">
        <f t="shared" ca="1" si="4"/>
        <v>268498.9736999328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1319.6422904586768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1319.6422904586768</v>
      </c>
    </row>
    <row r="45" spans="1:18" ht="15" thickBot="1">
      <c r="A45" s="888" t="s">
        <v>307</v>
      </c>
      <c r="B45" s="898"/>
      <c r="C45" s="727">
        <f ca="1">transport!B18</f>
        <v>20.037420134838683</v>
      </c>
      <c r="D45" s="727">
        <f>transport!C18</f>
        <v>0</v>
      </c>
      <c r="E45" s="727">
        <f>transport!D18</f>
        <v>76.227659253184868</v>
      </c>
      <c r="F45" s="727">
        <f>transport!E18</f>
        <v>120.6172257064007</v>
      </c>
      <c r="G45" s="727">
        <f>transport!F18</f>
        <v>0</v>
      </c>
      <c r="H45" s="727">
        <f>transport!G18</f>
        <v>57903.536013943085</v>
      </c>
      <c r="I45" s="727">
        <f>transport!H18</f>
        <v>10688.322660261356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68808.740979298862</v>
      </c>
    </row>
    <row r="46" spans="1:18" ht="15.75" thickBot="1">
      <c r="A46" s="886" t="s">
        <v>230</v>
      </c>
      <c r="B46" s="899"/>
      <c r="C46" s="763">
        <f t="shared" ref="C46:R46" ca="1" si="5">SUM(C43:C45)</f>
        <v>20.037420134838683</v>
      </c>
      <c r="D46" s="763">
        <f t="shared" ca="1" si="5"/>
        <v>0</v>
      </c>
      <c r="E46" s="763">
        <f t="shared" si="5"/>
        <v>76.227659253184868</v>
      </c>
      <c r="F46" s="763">
        <f t="shared" si="5"/>
        <v>120.6172257064007</v>
      </c>
      <c r="G46" s="763">
        <f t="shared" si="5"/>
        <v>0</v>
      </c>
      <c r="H46" s="763">
        <f t="shared" si="5"/>
        <v>59223.178304401765</v>
      </c>
      <c r="I46" s="763">
        <f t="shared" si="5"/>
        <v>10688.322660261356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70128.383269757542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660.95169191251171</v>
      </c>
      <c r="D48" s="718">
        <f ca="1">+landbouw!C12</f>
        <v>0</v>
      </c>
      <c r="E48" s="718">
        <f>+landbouw!D12</f>
        <v>2658.1483793152192</v>
      </c>
      <c r="F48" s="718">
        <f>+landbouw!E12</f>
        <v>23.099212090407427</v>
      </c>
      <c r="G48" s="718">
        <f>+landbouw!F12</f>
        <v>3850.8046292078211</v>
      </c>
      <c r="H48" s="718">
        <f>+landbouw!G12</f>
        <v>0</v>
      </c>
      <c r="I48" s="718">
        <f>+landbouw!H12</f>
        <v>0</v>
      </c>
      <c r="J48" s="718">
        <f>+landbouw!I12</f>
        <v>0</v>
      </c>
      <c r="K48" s="718">
        <f>+landbouw!J12</f>
        <v>177.55539327581246</v>
      </c>
      <c r="L48" s="718">
        <f>+landbouw!K12</f>
        <v>0</v>
      </c>
      <c r="M48" s="718">
        <f>+landbouw!L12</f>
        <v>0</v>
      </c>
      <c r="N48" s="718">
        <f>+landbouw!M12</f>
        <v>0</v>
      </c>
      <c r="O48" s="718">
        <f>+landbouw!N12</f>
        <v>0</v>
      </c>
      <c r="P48" s="718">
        <f>+landbouw!O12</f>
        <v>0</v>
      </c>
      <c r="Q48" s="719">
        <f>+landbouw!P12</f>
        <v>0</v>
      </c>
      <c r="R48" s="761">
        <f ca="1">SUM(C48:Q48)</f>
        <v>7370.5593058017712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96375.185848162873</v>
      </c>
      <c r="D53" s="773">
        <f t="shared" ref="D53:Q53" ca="1" si="6">D41+D46+D48</f>
        <v>4439.5865546218502</v>
      </c>
      <c r="E53" s="773">
        <f t="shared" ca="1" si="6"/>
        <v>149731.19645355246</v>
      </c>
      <c r="F53" s="773">
        <f t="shared" si="6"/>
        <v>4727.8989625491349</v>
      </c>
      <c r="G53" s="773">
        <f t="shared" ca="1" si="6"/>
        <v>20543.323889116706</v>
      </c>
      <c r="H53" s="773">
        <f t="shared" si="6"/>
        <v>59223.178304401765</v>
      </c>
      <c r="I53" s="773">
        <f t="shared" si="6"/>
        <v>10688.322660261356</v>
      </c>
      <c r="J53" s="773">
        <f t="shared" si="6"/>
        <v>0</v>
      </c>
      <c r="K53" s="773">
        <f t="shared" si="6"/>
        <v>269.22360282598919</v>
      </c>
      <c r="L53" s="773">
        <f t="shared" si="6"/>
        <v>0</v>
      </c>
      <c r="M53" s="773">
        <f t="shared" ca="1" si="6"/>
        <v>0</v>
      </c>
      <c r="N53" s="773">
        <f t="shared" si="6"/>
        <v>0</v>
      </c>
      <c r="O53" s="773">
        <f t="shared" ca="1" si="6"/>
        <v>0</v>
      </c>
      <c r="P53" s="773">
        <f>P41+P46+P48</f>
        <v>0</v>
      </c>
      <c r="Q53" s="774">
        <f t="shared" si="6"/>
        <v>0</v>
      </c>
      <c r="R53" s="775">
        <f ca="1">R41+R46+R48</f>
        <v>345997.91627549211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0.1909163519009329</v>
      </c>
      <c r="D55" s="836">
        <f t="shared" ca="1" si="7"/>
        <v>8.816575423735179E-2</v>
      </c>
      <c r="E55" s="836">
        <f t="shared" ca="1" si="7"/>
        <v>0.20200000000000001</v>
      </c>
      <c r="F55" s="836">
        <f t="shared" si="7"/>
        <v>0.22700000000000004</v>
      </c>
      <c r="G55" s="836">
        <f t="shared" ca="1" si="7"/>
        <v>0.26700000000000007</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21529.419332099973</v>
      </c>
      <c r="C64" s="795">
        <f>'lokale energieproductie'!B4</f>
        <v>21529.419332099973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25861.008230627438</v>
      </c>
      <c r="C66" s="795">
        <f>'lokale energieproductie'!B6</f>
        <v>25861.008230627438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35248.5</v>
      </c>
      <c r="C67" s="794">
        <f>B67*IFERROR(SUM(J67:L67)/SUM(D67:M67),0)</f>
        <v>22171.500000000004</v>
      </c>
      <c r="D67" s="826">
        <f>'lokale energieproductie'!C7</f>
        <v>15384.705882352941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26084.117647058825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3107.7105882352944</v>
      </c>
      <c r="P67" s="922">
        <v>0</v>
      </c>
      <c r="Q67" s="785"/>
      <c r="R67" s="742"/>
    </row>
    <row r="68" spans="1:18" ht="30.75" thickBot="1">
      <c r="A68" s="801" t="s">
        <v>353</v>
      </c>
      <c r="B68" s="794">
        <f>'lokale energieproductie'!B8</f>
        <v>139.5</v>
      </c>
      <c r="C68" s="794">
        <f>B68*IFERROR(SUM(J68:L68)/SUM(D68:M68),0)</f>
        <v>139.5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398.57142857142861</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82778.427562727418</v>
      </c>
      <c r="C69" s="803">
        <f>SUM(C64:C68)</f>
        <v>69701.427562727418</v>
      </c>
      <c r="D69" s="804">
        <f t="shared" ref="D69:M69" si="8">SUM(D67:D68)</f>
        <v>15384.705882352941</v>
      </c>
      <c r="E69" s="804">
        <f t="shared" si="8"/>
        <v>0</v>
      </c>
      <c r="F69" s="804">
        <f t="shared" si="8"/>
        <v>0</v>
      </c>
      <c r="G69" s="804">
        <f t="shared" si="8"/>
        <v>0</v>
      </c>
      <c r="H69" s="804">
        <f t="shared" si="8"/>
        <v>0</v>
      </c>
      <c r="I69" s="804">
        <f t="shared" si="8"/>
        <v>0</v>
      </c>
      <c r="J69" s="804">
        <f t="shared" si="8"/>
        <v>0</v>
      </c>
      <c r="K69" s="804">
        <f t="shared" si="8"/>
        <v>26482.689075630253</v>
      </c>
      <c r="L69" s="804">
        <f t="shared" si="8"/>
        <v>0</v>
      </c>
      <c r="M69" s="930">
        <f t="shared" si="8"/>
        <v>0</v>
      </c>
      <c r="N69" s="805">
        <v>0</v>
      </c>
      <c r="O69" s="805">
        <f>SUM(O67:O68)</f>
        <v>3107.7105882352944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50355.000000000007</v>
      </c>
      <c r="C78" s="817">
        <f>B78*IFERROR(SUM(I78:L78)/SUM(D78:M78),0)</f>
        <v>31673.571428571431</v>
      </c>
      <c r="D78" s="832">
        <f>'lokale energieproductie'!C16</f>
        <v>21978.151260504208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37263.025210084044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4439.5865546218502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50355.000000000007</v>
      </c>
      <c r="C81" s="803">
        <f>SUM(C78:C80)</f>
        <v>31673.571428571431</v>
      </c>
      <c r="D81" s="803">
        <f t="shared" ref="D81:P81" si="9">SUM(D78:D80)</f>
        <v>21978.151260504208</v>
      </c>
      <c r="E81" s="803">
        <f t="shared" si="9"/>
        <v>0</v>
      </c>
      <c r="F81" s="803">
        <f t="shared" si="9"/>
        <v>0</v>
      </c>
      <c r="G81" s="803">
        <f t="shared" si="9"/>
        <v>0</v>
      </c>
      <c r="H81" s="803">
        <f t="shared" si="9"/>
        <v>0</v>
      </c>
      <c r="I81" s="803">
        <f t="shared" si="9"/>
        <v>0</v>
      </c>
      <c r="J81" s="803">
        <f t="shared" si="9"/>
        <v>0</v>
      </c>
      <c r="K81" s="803">
        <f t="shared" si="9"/>
        <v>37263.025210084044</v>
      </c>
      <c r="L81" s="803">
        <f t="shared" si="9"/>
        <v>0</v>
      </c>
      <c r="M81" s="803">
        <f t="shared" si="9"/>
        <v>0</v>
      </c>
      <c r="N81" s="803">
        <v>0</v>
      </c>
      <c r="O81" s="803">
        <f>SUM(O78:O80)</f>
        <v>4439.5865546218502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93669.186973991295</v>
      </c>
      <c r="C4" s="478">
        <f>huishoudens!C8</f>
        <v>0</v>
      </c>
      <c r="D4" s="478">
        <f>huishoudens!D8</f>
        <v>277702.30955208314</v>
      </c>
      <c r="E4" s="478">
        <f>huishoudens!E8</f>
        <v>10811.982371924752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46818.907187087527</v>
      </c>
      <c r="O4" s="478">
        <f>huishoudens!O8</f>
        <v>1242.8500000000001</v>
      </c>
      <c r="P4" s="479">
        <f>huishoudens!P8</f>
        <v>2879.0666666666666</v>
      </c>
      <c r="Q4" s="480">
        <f>SUM(B4:P4)</f>
        <v>433124.3027517533</v>
      </c>
    </row>
    <row r="5" spans="1:17">
      <c r="A5" s="477" t="s">
        <v>156</v>
      </c>
      <c r="B5" s="478">
        <f ca="1">tertiair!B16</f>
        <v>184657.26016262444</v>
      </c>
      <c r="C5" s="478">
        <f ca="1">tertiair!C16</f>
        <v>41355.000000000007</v>
      </c>
      <c r="D5" s="478">
        <f ca="1">tertiair!D16</f>
        <v>176321.24316082656</v>
      </c>
      <c r="E5" s="478">
        <f>tertiair!E16</f>
        <v>2234.2367458324179</v>
      </c>
      <c r="F5" s="478">
        <f ca="1">tertiair!F16</f>
        <v>26997.575716563097</v>
      </c>
      <c r="G5" s="478">
        <f>tertiair!G16</f>
        <v>0</v>
      </c>
      <c r="H5" s="478">
        <f>tertiair!H16</f>
        <v>0</v>
      </c>
      <c r="I5" s="478">
        <f>tertiair!I16</f>
        <v>0</v>
      </c>
      <c r="J5" s="478">
        <f>tertiair!J16</f>
        <v>0.30284249635747801</v>
      </c>
      <c r="K5" s="478">
        <f>tertiair!K16</f>
        <v>0</v>
      </c>
      <c r="L5" s="478">
        <f ca="1">tertiair!L16</f>
        <v>0</v>
      </c>
      <c r="M5" s="478">
        <f>tertiair!M16</f>
        <v>0</v>
      </c>
      <c r="N5" s="478">
        <f ca="1">tertiair!N16</f>
        <v>0</v>
      </c>
      <c r="O5" s="478">
        <f>tertiair!O16</f>
        <v>6.2533333333333339</v>
      </c>
      <c r="P5" s="479">
        <f>tertiair!P16</f>
        <v>209.73333333333335</v>
      </c>
      <c r="Q5" s="477">
        <f t="shared" ref="Q5:Q13" ca="1" si="0">SUM(B5:P5)</f>
        <v>431781.60529500962</v>
      </c>
    </row>
    <row r="6" spans="1:17">
      <c r="A6" s="477" t="s">
        <v>194</v>
      </c>
      <c r="B6" s="478">
        <f>'openbare verlichting'!B8</f>
        <v>5452.5029999999997</v>
      </c>
      <c r="C6" s="478"/>
      <c r="D6" s="478"/>
      <c r="E6" s="478"/>
      <c r="F6" s="478"/>
      <c r="G6" s="478"/>
      <c r="H6" s="478"/>
      <c r="I6" s="478"/>
      <c r="J6" s="478"/>
      <c r="K6" s="478"/>
      <c r="L6" s="478"/>
      <c r="M6" s="478"/>
      <c r="N6" s="478"/>
      <c r="O6" s="478"/>
      <c r="P6" s="479"/>
      <c r="Q6" s="477">
        <f t="shared" si="0"/>
        <v>5452.5029999999997</v>
      </c>
    </row>
    <row r="7" spans="1:17">
      <c r="A7" s="477" t="s">
        <v>112</v>
      </c>
      <c r="B7" s="478">
        <f>landbouw!B8</f>
        <v>3461.9962372603982</v>
      </c>
      <c r="C7" s="478">
        <f>landbouw!C8</f>
        <v>0</v>
      </c>
      <c r="D7" s="478">
        <f>landbouw!D8</f>
        <v>13159.150392649599</v>
      </c>
      <c r="E7" s="478">
        <f>landbouw!E8</f>
        <v>101.75864357007677</v>
      </c>
      <c r="F7" s="478">
        <f>landbouw!F8</f>
        <v>14422.489247969366</v>
      </c>
      <c r="G7" s="478">
        <f>landbouw!G8</f>
        <v>0</v>
      </c>
      <c r="H7" s="478">
        <f>landbouw!H8</f>
        <v>0</v>
      </c>
      <c r="I7" s="478">
        <f>landbouw!I8</f>
        <v>0</v>
      </c>
      <c r="J7" s="478">
        <f>landbouw!J8</f>
        <v>501.56890755879232</v>
      </c>
      <c r="K7" s="478">
        <f>landbouw!K8</f>
        <v>0</v>
      </c>
      <c r="L7" s="478">
        <f>landbouw!L8</f>
        <v>0</v>
      </c>
      <c r="M7" s="478">
        <f>landbouw!M8</f>
        <v>0</v>
      </c>
      <c r="N7" s="478">
        <f>landbouw!N8</f>
        <v>0</v>
      </c>
      <c r="O7" s="478">
        <f>landbouw!O8</f>
        <v>0</v>
      </c>
      <c r="P7" s="479">
        <f>landbouw!P8</f>
        <v>0</v>
      </c>
      <c r="Q7" s="477">
        <f t="shared" si="0"/>
        <v>31646.963429008229</v>
      </c>
    </row>
    <row r="8" spans="1:17">
      <c r="A8" s="477" t="s">
        <v>635</v>
      </c>
      <c r="B8" s="478">
        <f>industrie!B18</f>
        <v>217457.30219745124</v>
      </c>
      <c r="C8" s="478">
        <f>industrie!C18</f>
        <v>9000</v>
      </c>
      <c r="D8" s="478">
        <f>industrie!D18</f>
        <v>273683.47904443706</v>
      </c>
      <c r="E8" s="478">
        <f>industrie!E18</f>
        <v>7148.4175551605658</v>
      </c>
      <c r="F8" s="478">
        <f>industrie!F18</f>
        <v>35521.223009687397</v>
      </c>
      <c r="G8" s="478">
        <f>industrie!G18</f>
        <v>0</v>
      </c>
      <c r="H8" s="478">
        <f>industrie!H18</f>
        <v>0</v>
      </c>
      <c r="I8" s="478">
        <f>industrie!I18</f>
        <v>0</v>
      </c>
      <c r="J8" s="478">
        <f>industrie!J18</f>
        <v>258.64690199566724</v>
      </c>
      <c r="K8" s="478">
        <f>industrie!K18</f>
        <v>0</v>
      </c>
      <c r="L8" s="478">
        <f>industrie!L18</f>
        <v>0</v>
      </c>
      <c r="M8" s="478">
        <f>industrie!M18</f>
        <v>0</v>
      </c>
      <c r="N8" s="478">
        <f>industrie!N18</f>
        <v>35969.821971329089</v>
      </c>
      <c r="O8" s="478">
        <f>industrie!O18</f>
        <v>0</v>
      </c>
      <c r="P8" s="479">
        <f>industrie!P18</f>
        <v>0</v>
      </c>
      <c r="Q8" s="477">
        <f t="shared" si="0"/>
        <v>579038.89068006095</v>
      </c>
    </row>
    <row r="9" spans="1:17" s="483" customFormat="1">
      <c r="A9" s="481" t="s">
        <v>561</v>
      </c>
      <c r="B9" s="482">
        <f>transport!B14</f>
        <v>104.95392319897337</v>
      </c>
      <c r="C9" s="482"/>
      <c r="D9" s="482">
        <f>transport!D14</f>
        <v>377.36464976824186</v>
      </c>
      <c r="E9" s="482">
        <f>transport!E14</f>
        <v>531.35341720881365</v>
      </c>
      <c r="F9" s="482"/>
      <c r="G9" s="482">
        <f>transport!G14</f>
        <v>216867.17608218384</v>
      </c>
      <c r="H9" s="482">
        <f>transport!H14</f>
        <v>42924.990603459264</v>
      </c>
      <c r="I9" s="482"/>
      <c r="J9" s="482"/>
      <c r="K9" s="482"/>
      <c r="L9" s="482"/>
      <c r="M9" s="482">
        <f>transport!M14</f>
        <v>13944.629735930321</v>
      </c>
      <c r="N9" s="482"/>
      <c r="O9" s="482"/>
      <c r="P9" s="482"/>
      <c r="Q9" s="481">
        <f>SUM(B9:P9)</f>
        <v>274750.46841174946</v>
      </c>
    </row>
    <row r="10" spans="1:17">
      <c r="A10" s="477" t="s">
        <v>551</v>
      </c>
      <c r="B10" s="478">
        <f>transport!B54</f>
        <v>0</v>
      </c>
      <c r="C10" s="478"/>
      <c r="D10" s="478">
        <f>transport!D54</f>
        <v>0</v>
      </c>
      <c r="E10" s="478"/>
      <c r="F10" s="478"/>
      <c r="G10" s="478">
        <f>transport!G54</f>
        <v>4942.4804886092761</v>
      </c>
      <c r="H10" s="478"/>
      <c r="I10" s="478"/>
      <c r="J10" s="478"/>
      <c r="K10" s="478"/>
      <c r="L10" s="478"/>
      <c r="M10" s="478">
        <f>transport!M54</f>
        <v>280.71107279536074</v>
      </c>
      <c r="N10" s="478"/>
      <c r="O10" s="478"/>
      <c r="P10" s="479"/>
      <c r="Q10" s="477">
        <f t="shared" si="0"/>
        <v>5223.1915614046366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504803.2024945264</v>
      </c>
      <c r="C14" s="488">
        <f t="shared" ref="C14:Q14" ca="1" si="1">SUM(C4:C13)</f>
        <v>50355.000000000007</v>
      </c>
      <c r="D14" s="488">
        <f t="shared" ca="1" si="1"/>
        <v>741243.5467997645</v>
      </c>
      <c r="E14" s="488">
        <f t="shared" si="1"/>
        <v>20827.748733696626</v>
      </c>
      <c r="F14" s="488">
        <f t="shared" ca="1" si="1"/>
        <v>76941.287974219857</v>
      </c>
      <c r="G14" s="488">
        <f t="shared" si="1"/>
        <v>221809.65657079313</v>
      </c>
      <c r="H14" s="488">
        <f t="shared" si="1"/>
        <v>42924.990603459264</v>
      </c>
      <c r="I14" s="488">
        <f t="shared" si="1"/>
        <v>0</v>
      </c>
      <c r="J14" s="488">
        <f t="shared" si="1"/>
        <v>760.51865205081708</v>
      </c>
      <c r="K14" s="488">
        <f t="shared" si="1"/>
        <v>0</v>
      </c>
      <c r="L14" s="488">
        <f t="shared" ca="1" si="1"/>
        <v>0</v>
      </c>
      <c r="M14" s="488">
        <f t="shared" si="1"/>
        <v>14225.340808725681</v>
      </c>
      <c r="N14" s="488">
        <f t="shared" ca="1" si="1"/>
        <v>82788.729158416623</v>
      </c>
      <c r="O14" s="488">
        <f t="shared" si="1"/>
        <v>1249.1033333333335</v>
      </c>
      <c r="P14" s="489">
        <f t="shared" si="1"/>
        <v>3088.8</v>
      </c>
      <c r="Q14" s="489">
        <f t="shared" ca="1" si="1"/>
        <v>1761017.9251289864</v>
      </c>
    </row>
    <row r="16" spans="1:17">
      <c r="A16" s="491" t="s">
        <v>556</v>
      </c>
      <c r="B16" s="841">
        <f ca="1">huishoudens!B10</f>
        <v>0.19091635190093287</v>
      </c>
      <c r="C16" s="841">
        <f ca="1">huishoudens!C10</f>
        <v>8.816575423735179E-2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17882.979462600801</v>
      </c>
      <c r="C21" s="478">
        <f t="shared" ref="C21:C28" ca="1" si="3">C4*$C$16</f>
        <v>0</v>
      </c>
      <c r="D21" s="478">
        <f t="shared" ref="D21:D30" si="4">D4*$D$16</f>
        <v>56095.866529520797</v>
      </c>
      <c r="E21" s="478">
        <f t="shared" ref="E21:E30" si="5">E4*$E$16</f>
        <v>2454.319998426919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76433.165990548514</v>
      </c>
    </row>
    <row r="22" spans="1:17">
      <c r="A22" s="477" t="s">
        <v>156</v>
      </c>
      <c r="B22" s="478">
        <f t="shared" ca="1" si="2"/>
        <v>35254.09046226972</v>
      </c>
      <c r="C22" s="478">
        <f t="shared" ca="1" si="3"/>
        <v>3646.094766485684</v>
      </c>
      <c r="D22" s="478">
        <f t="shared" ca="1" si="4"/>
        <v>35616.891118486965</v>
      </c>
      <c r="E22" s="478">
        <f t="shared" si="5"/>
        <v>507.17174130395887</v>
      </c>
      <c r="F22" s="478">
        <f t="shared" ca="1" si="6"/>
        <v>7208.3527163223471</v>
      </c>
      <c r="G22" s="478">
        <f t="shared" si="7"/>
        <v>0</v>
      </c>
      <c r="H22" s="478">
        <f t="shared" si="8"/>
        <v>0</v>
      </c>
      <c r="I22" s="478">
        <f t="shared" si="9"/>
        <v>0</v>
      </c>
      <c r="J22" s="478">
        <f t="shared" si="10"/>
        <v>0.10720624371054721</v>
      </c>
      <c r="K22" s="478">
        <f t="shared" si="11"/>
        <v>0</v>
      </c>
      <c r="L22" s="478">
        <f t="shared" ca="1" si="12"/>
        <v>0</v>
      </c>
      <c r="M22" s="478">
        <f t="shared" si="13"/>
        <v>0</v>
      </c>
      <c r="N22" s="478">
        <f t="shared" ca="1" si="14"/>
        <v>0</v>
      </c>
      <c r="O22" s="478">
        <f t="shared" si="15"/>
        <v>0</v>
      </c>
      <c r="P22" s="479">
        <f t="shared" si="16"/>
        <v>0</v>
      </c>
      <c r="Q22" s="477">
        <f t="shared" ref="Q22:Q30" ca="1" si="17">SUM(B22:P22)</f>
        <v>82232.708011112394</v>
      </c>
    </row>
    <row r="23" spans="1:17">
      <c r="A23" s="477" t="s">
        <v>194</v>
      </c>
      <c r="B23" s="478">
        <f t="shared" ca="1" si="2"/>
        <v>1040.9719814888922</v>
      </c>
      <c r="C23" s="478"/>
      <c r="D23" s="478"/>
      <c r="E23" s="478"/>
      <c r="F23" s="478"/>
      <c r="G23" s="478"/>
      <c r="H23" s="478"/>
      <c r="I23" s="478"/>
      <c r="J23" s="478"/>
      <c r="K23" s="478"/>
      <c r="L23" s="478"/>
      <c r="M23" s="478"/>
      <c r="N23" s="478"/>
      <c r="O23" s="478"/>
      <c r="P23" s="479"/>
      <c r="Q23" s="477">
        <f t="shared" ca="1" si="17"/>
        <v>1040.9719814888922</v>
      </c>
    </row>
    <row r="24" spans="1:17">
      <c r="A24" s="477" t="s">
        <v>112</v>
      </c>
      <c r="B24" s="478">
        <f t="shared" ca="1" si="2"/>
        <v>660.95169191251171</v>
      </c>
      <c r="C24" s="478">
        <f t="shared" ca="1" si="3"/>
        <v>0</v>
      </c>
      <c r="D24" s="478">
        <f t="shared" si="4"/>
        <v>2658.1483793152192</v>
      </c>
      <c r="E24" s="478">
        <f t="shared" si="5"/>
        <v>23.099212090407427</v>
      </c>
      <c r="F24" s="478">
        <f t="shared" si="6"/>
        <v>3850.8046292078211</v>
      </c>
      <c r="G24" s="478">
        <f t="shared" si="7"/>
        <v>0</v>
      </c>
      <c r="H24" s="478">
        <f t="shared" si="8"/>
        <v>0</v>
      </c>
      <c r="I24" s="478">
        <f t="shared" si="9"/>
        <v>0</v>
      </c>
      <c r="J24" s="478">
        <f t="shared" si="10"/>
        <v>177.55539327581246</v>
      </c>
      <c r="K24" s="478">
        <f t="shared" si="11"/>
        <v>0</v>
      </c>
      <c r="L24" s="478">
        <f t="shared" si="12"/>
        <v>0</v>
      </c>
      <c r="M24" s="478">
        <f t="shared" si="13"/>
        <v>0</v>
      </c>
      <c r="N24" s="478">
        <f t="shared" si="14"/>
        <v>0</v>
      </c>
      <c r="O24" s="478">
        <f t="shared" si="15"/>
        <v>0</v>
      </c>
      <c r="P24" s="479">
        <f t="shared" si="16"/>
        <v>0</v>
      </c>
      <c r="Q24" s="477">
        <f t="shared" ca="1" si="17"/>
        <v>7370.5593058017712</v>
      </c>
    </row>
    <row r="25" spans="1:17">
      <c r="A25" s="477" t="s">
        <v>635</v>
      </c>
      <c r="B25" s="478">
        <f t="shared" ca="1" si="2"/>
        <v>41516.154829756102</v>
      </c>
      <c r="C25" s="478">
        <f t="shared" ca="1" si="3"/>
        <v>793.49178813616606</v>
      </c>
      <c r="D25" s="478">
        <f t="shared" si="4"/>
        <v>55284.062766976291</v>
      </c>
      <c r="E25" s="478">
        <f t="shared" si="5"/>
        <v>1622.6907850214484</v>
      </c>
      <c r="F25" s="478">
        <f t="shared" si="6"/>
        <v>9484.1665435865361</v>
      </c>
      <c r="G25" s="478">
        <f t="shared" si="7"/>
        <v>0</v>
      </c>
      <c r="H25" s="478">
        <f t="shared" si="8"/>
        <v>0</v>
      </c>
      <c r="I25" s="478">
        <f t="shared" si="9"/>
        <v>0</v>
      </c>
      <c r="J25" s="478">
        <f t="shared" si="10"/>
        <v>91.561003306466191</v>
      </c>
      <c r="K25" s="478">
        <f t="shared" si="11"/>
        <v>0</v>
      </c>
      <c r="L25" s="478">
        <f t="shared" si="12"/>
        <v>0</v>
      </c>
      <c r="M25" s="478">
        <f t="shared" si="13"/>
        <v>0</v>
      </c>
      <c r="N25" s="478">
        <f t="shared" si="14"/>
        <v>0</v>
      </c>
      <c r="O25" s="478">
        <f t="shared" si="15"/>
        <v>0</v>
      </c>
      <c r="P25" s="479">
        <f t="shared" si="16"/>
        <v>0</v>
      </c>
      <c r="Q25" s="477">
        <f t="shared" ca="1" si="17"/>
        <v>108792.12771678303</v>
      </c>
    </row>
    <row r="26" spans="1:17" s="483" customFormat="1">
      <c r="A26" s="481" t="s">
        <v>561</v>
      </c>
      <c r="B26" s="835">
        <f t="shared" ca="1" si="2"/>
        <v>20.037420134838683</v>
      </c>
      <c r="C26" s="482"/>
      <c r="D26" s="482">
        <f t="shared" si="4"/>
        <v>76.227659253184868</v>
      </c>
      <c r="E26" s="482">
        <f t="shared" si="5"/>
        <v>120.6172257064007</v>
      </c>
      <c r="F26" s="482"/>
      <c r="G26" s="482">
        <f t="shared" si="7"/>
        <v>57903.536013943085</v>
      </c>
      <c r="H26" s="482">
        <f t="shared" si="8"/>
        <v>10688.322660261356</v>
      </c>
      <c r="I26" s="482"/>
      <c r="J26" s="482"/>
      <c r="K26" s="482"/>
      <c r="L26" s="482"/>
      <c r="M26" s="482">
        <f t="shared" si="13"/>
        <v>0</v>
      </c>
      <c r="N26" s="482"/>
      <c r="O26" s="482"/>
      <c r="P26" s="493"/>
      <c r="Q26" s="481">
        <f t="shared" ca="1" si="17"/>
        <v>68808.740979298862</v>
      </c>
    </row>
    <row r="27" spans="1:17">
      <c r="A27" s="477" t="s">
        <v>551</v>
      </c>
      <c r="B27" s="478">
        <f t="shared" ca="1" si="2"/>
        <v>0</v>
      </c>
      <c r="C27" s="478"/>
      <c r="D27" s="482">
        <f t="shared" si="4"/>
        <v>0</v>
      </c>
      <c r="E27" s="478"/>
      <c r="F27" s="478"/>
      <c r="G27" s="478">
        <f t="shared" si="7"/>
        <v>1319.6422904586768</v>
      </c>
      <c r="H27" s="478"/>
      <c r="I27" s="478"/>
      <c r="J27" s="478"/>
      <c r="K27" s="478"/>
      <c r="L27" s="478"/>
      <c r="M27" s="478">
        <f t="shared" si="13"/>
        <v>0</v>
      </c>
      <c r="N27" s="478"/>
      <c r="O27" s="478"/>
      <c r="P27" s="479"/>
      <c r="Q27" s="477">
        <f t="shared" ca="1" si="17"/>
        <v>1319.6422904586768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96375.185848162873</v>
      </c>
      <c r="C31" s="488">
        <f t="shared" ca="1" si="18"/>
        <v>4439.5865546218502</v>
      </c>
      <c r="D31" s="488">
        <f t="shared" ca="1" si="18"/>
        <v>149731.19645355246</v>
      </c>
      <c r="E31" s="488">
        <f t="shared" si="18"/>
        <v>4727.898962549134</v>
      </c>
      <c r="F31" s="488">
        <f t="shared" ca="1" si="18"/>
        <v>20543.323889116706</v>
      </c>
      <c r="G31" s="488">
        <f t="shared" si="18"/>
        <v>59223.178304401765</v>
      </c>
      <c r="H31" s="488">
        <f t="shared" si="18"/>
        <v>10688.322660261356</v>
      </c>
      <c r="I31" s="488">
        <f t="shared" si="18"/>
        <v>0</v>
      </c>
      <c r="J31" s="488">
        <f t="shared" si="18"/>
        <v>269.22360282598919</v>
      </c>
      <c r="K31" s="488">
        <f t="shared" si="18"/>
        <v>0</v>
      </c>
      <c r="L31" s="488">
        <f t="shared" ca="1" si="18"/>
        <v>0</v>
      </c>
      <c r="M31" s="488">
        <f t="shared" si="18"/>
        <v>0</v>
      </c>
      <c r="N31" s="488">
        <f t="shared" ca="1" si="18"/>
        <v>0</v>
      </c>
      <c r="O31" s="488">
        <f t="shared" si="18"/>
        <v>0</v>
      </c>
      <c r="P31" s="489">
        <f t="shared" si="18"/>
        <v>0</v>
      </c>
      <c r="Q31" s="489">
        <f t="shared" ca="1" si="18"/>
        <v>345997.91627549217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0.19091635190093287</v>
      </c>
      <c r="C17" s="528">
        <f ca="1">'EF ele_warmte'!B22</f>
        <v>8.816575423735179E-2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0.19091635190093287</v>
      </c>
      <c r="C17" s="528">
        <f ca="1">'EF ele_warmte'!B22</f>
        <v>8.816575423735179E-2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0.19091635190093287</v>
      </c>
      <c r="C29" s="529">
        <f ca="1">'EF ele_warmte'!B22</f>
        <v>8.816575423735179E-2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2019-01-01T21:19:56Z</dcterms:modified>
</cp:coreProperties>
</file>