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B8" i="9"/>
  <c r="B6" i="48" s="1"/>
  <c r="Q6" s="1"/>
  <c r="J15" i="16"/>
  <c r="L6" i="17"/>
  <c r="L5" s="1"/>
  <c r="D6"/>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D28" i="48" l="1"/>
  <c r="D30"/>
  <c r="I28"/>
  <c r="I31" s="1"/>
  <c r="I24"/>
  <c r="E28"/>
  <c r="I20" i="15"/>
  <c r="J36" i="14" s="1"/>
  <c r="K28" i="4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5" i="48"/>
  <c r="Q4"/>
  <c r="N22"/>
  <c r="R11" i="14"/>
  <c r="J21" i="48"/>
  <c r="C29" i="20" l="1"/>
  <c r="C17" i="19"/>
  <c r="C19" s="1"/>
  <c r="D35" i="14" s="1"/>
  <c r="C10" i="13"/>
  <c r="C12" s="1"/>
  <c r="D37" i="14" s="1"/>
  <c r="D41" s="1"/>
  <c r="C20" i="16"/>
  <c r="C22" s="1"/>
  <c r="D39" i="14" s="1"/>
  <c r="C18" i="15"/>
  <c r="C20" s="1"/>
  <c r="D36" i="14" s="1"/>
  <c r="C16" i="22"/>
  <c r="C10" i="17"/>
  <c r="C12" s="1"/>
  <c r="D48" i="14" s="1"/>
  <c r="C56" i="22"/>
  <c r="C58" s="1"/>
  <c r="D44" i="14" s="1"/>
  <c r="D46" s="1"/>
  <c r="C17" i="49"/>
  <c r="C16" i="48"/>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<sst xmlns="http://schemas.openxmlformats.org/spreadsheetml/2006/main" count="2108" uniqueCount="851">
  <si>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</si>
  <si>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</si>
  <si>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</si>
  <si>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</si>
  <si>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</si>
  <si>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</si>
  <si>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</si>
  <si>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</si>
  <si>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</si>
  <si>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</si>
  <si>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</si>
  <si>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</si>
  <si>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</si>
  <si>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</si>
  <si>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</si>
  <si>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</si>
  <si>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</si>
  <si>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</si>
  <si>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</si>
  <si>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</si>
  <si>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</si>
  <si>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</si>
  <si>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</si>
  <si>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</si>
  <si>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</si>
  <si>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</si>
  <si>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</si>
  <si>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</si>
  <si>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</si>
  <si>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</si>
  <si>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</si>
  <si>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</si>
  <si>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</si>
  <si>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</si>
  <si>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</si>
  <si>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</si>
  <si>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</si>
  <si>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</si>
  <si>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</si>
  <si>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</si>
  <si>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</si>
  <si>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</si>
  <si>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</si>
  <si>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</si>
  <si>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</si>
  <si>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</si>
  <si>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</si>
  <si>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</si>
  <si>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</si>
  <si>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</si>
  <si>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</si>
  <si>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</si>
  <si>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</si>
  <si>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</si>
  <si>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</si>
  <si>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</si>
  <si>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</si>
  <si>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</si>
  <si>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</si>
  <si>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</si>
  <si>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</si>
  <si>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</si>
  <si>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</si>
  <si>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</si>
  <si>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</si>
  <si>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</si>
  <si>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</si>
  <si>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</si>
  <si>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</si>
  <si>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</si>
  <si>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</si>
  <si>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</si>
  <si>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</si>
  <si>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</si>
  <si>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</si>
  <si>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</si>
  <si>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</si>
  <si>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</si>
  <si>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</si>
  <si>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</si>
  <si>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</si>
  <si>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</si>
  <si>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</si>
  <si>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</si>
  <si>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</si>
  <si>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</si>
  <si>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</si>
  <si>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</si>
  <si>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</si>
  <si>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</si>
  <si>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</si>
  <si>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</si>
  <si>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</si>
  <si>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</si>
  <si>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</si>
  <si>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</si>
  <si>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</si>
  <si>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</si>
  <si>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</si>
  <si>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</si>
  <si>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</si>
  <si>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</si>
  <si>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</si>
  <si>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</si>
  <si>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</si>
  <si>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</si>
  <si>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</si>
  <si>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</si>
  <si>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</si>
  <si>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</si>
  <si>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</si>
  <si>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</si>
  <si>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</si>
  <si>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</si>
  <si>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</si>
  <si>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</si>
  <si>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</si>
  <si>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</si>
  <si>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</si>
  <si>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</si>
  <si>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</si>
  <si>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</si>
  <si>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</si>
  <si>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</si>
  <si>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</si>
  <si>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</si>
  <si>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</si>
  <si>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</si>
  <si>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</si>
  <si>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</si>
  <si>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</si>
  <si>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</si>
  <si>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</si>
  <si>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</si>
  <si>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</si>
  <si>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</si>
  <si>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</si>
  <si>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</si>
  <si>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</si>
  <si>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</si>
  <si>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</si>
  <si>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</si>
  <si>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</si>
  <si>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</si>
  <si>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</si>
  <si>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</si>
  <si>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</si>
  <si>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</si>
  <si>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</si>
  <si>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</si>
  <si>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</si>
  <si>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</si>
  <si>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</si>
  <si>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</si>
  <si>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</si>
  <si>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</si>
  <si>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</si>
  <si>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</si>
  <si>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</si>
  <si>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</si>
  <si>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</si>
  <si>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</si>
  <si>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</si>
  <si>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</si>
  <si>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</si>
  <si>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</si>
  <si>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</si>
  <si>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</si>
  <si>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</si>
  <si>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</si>
  <si>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</si>
  <si>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</si>
  <si>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</si>
  <si>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</si>
  <si>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</si>
  <si>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</si>
  <si>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</si>
  <si>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</si>
  <si>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</si>
  <si>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</si>
  <si>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</si>
  <si>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</si>
  <si>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</si>
  <si>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</si>
  <si>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</si>
  <si>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</si>
  <si>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</si>
  <si>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</si>
  <si>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</si>
  <si>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</si>
  <si>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</si>
  <si>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</si>
  <si>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</si>
  <si>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</si>
  <si>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</si>
  <si>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</si>
  <si>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</si>
  <si>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</si>
  <si>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</si>
  <si>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</si>
  <si>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</si>
  <si>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</si>
  <si>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</si>
  <si>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</si>
  <si>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</si>
  <si>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</si>
  <si>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</si>
  <si>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</si>
  <si>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</si>
  <si>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</si>
  <si>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</si>
  <si>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</si>
  <si>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</si>
  <si>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</si>
  <si>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</si>
  <si>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</si>
  <si>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</si>
  <si>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</si>
  <si>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</si>
  <si>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</si>
  <si>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</si>
  <si>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</si>
  <si>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</si>
  <si>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</si>
  <si>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</si>
  <si>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</si>
  <si>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</si>
  <si>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</si>
  <si>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</si>
  <si>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</si>
  <si>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</si>
  <si>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</si>
  <si>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</si>
  <si>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</si>
  <si>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</si>
  <si>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</si>
  <si>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</si>
  <si>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</si>
  <si>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</si>
  <si>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</si>
  <si>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</si>
  <si>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</si>
  <si>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</si>
  <si>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</si>
  <si>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</si>
  <si>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</si>
  <si>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</si>
  <si>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</si>
  <si>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</si>
  <si>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</si>
  <si>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</si>
  <si>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</si>
  <si>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</si>
  <si>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</si>
  <si>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</si>
  <si>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</si>
  <si>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</si>
  <si>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</si>
  <si>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</si>
  <si>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</si>
  <si>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</si>
  <si>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</si>
  <si>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</si>
  <si>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</si>
  <si>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</si>
  <si>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</si>
  <si>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</si>
  <si>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</si>
  <si>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</si>
  <si>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</si>
  <si>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</si>
  <si>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</si>
  <si>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</si>
  <si>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</si>
  <si>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</si>
  <si>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</si>
  <si>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</si>
  <si>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</si>
  <si>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</si>
  <si>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</si>
  <si>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</si>
  <si>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</si>
  <si>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</si>
  <si>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</si>
  <si>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</si>
  <si>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</si>
  <si>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</si>
  <si>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</si>
  <si>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</si>
  <si>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</si>
  <si>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</si>
  <si>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</si>
  <si>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</si>
  <si>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</si>
  <si>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</si>
  <si>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</si>
  <si>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</si>
  <si>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</si>
  <si>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</si>
  <si>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</si>
  <si>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</si>
  <si>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</si>
  <si>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</si>
  <si>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</si>
  <si>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</si>
  <si>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</si>
  <si>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</si>
  <si>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</si>
  <si>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</si>
  <si>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</si>
  <si>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</si>
  <si>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</si>
  <si>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</si>
  <si>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</si>
  <si>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</si>
  <si>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</si>
  <si>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</si>
  <si>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</si>
  <si>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</si>
  <si>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</si>
  <si>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</si>
  <si>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</si>
  <si>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</si>
  <si>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</si>
  <si>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</si>
  <si>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</si>
  <si>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</si>
  <si>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</si>
  <si>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</si>
  <si>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</si>
  <si>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</si>
  <si>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</si>
  <si>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</si>
  <si>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</si>
  <si>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</si>
  <si>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</si>
  <si>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</si>
  <si>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</si>
  <si>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</si>
  <si>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</si>
  <si>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</si>
  <si>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</si>
  <si>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</si>
  <si>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</si>
  <si>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</si>
  <si>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</si>
  <si>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</si>
  <si>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</si>
  <si>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</si>
  <si>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</si>
  <si>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</si>
  <si>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</si>
  <si>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</si>
  <si>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</si>
  <si>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</si>
  <si>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</si>
  <si>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</si>
  <si>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</si>
  <si>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</si>
  <si>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</si>
  <si>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</si>
  <si>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</si>
  <si>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</si>
  <si>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</si>
  <si>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</si>
  <si>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</si>
  <si>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</si>
  <si>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</si>
  <si>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</si>
  <si>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</si>
  <si>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</si>
  <si>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</si>
  <si>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</si>
  <si>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</si>
  <si>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</si>
  <si>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</si>
  <si>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</si>
  <si>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</si>
  <si>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</si>
  <si>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</si>
  <si>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</si>
  <si>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</si>
  <si>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</si>
  <si>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</si>
  <si>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</si>
  <si>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</si>
  <si>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</si>
  <si>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</si>
  <si>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</si>
  <si>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</si>
  <si>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</si>
  <si>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</si>
  <si>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</si>
  <si>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</si>
  <si>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</si>
  <si>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</si>
  <si>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</si>
  <si>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</si>
  <si>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</si>
  <si>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</si>
  <si>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</si>
  <si>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</si>
  <si>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</si>
  <si>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</si>
  <si>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</si>
  <si>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</si>
  <si>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</si>
  <si>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</si>
  <si>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</si>
  <si>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</si>
  <si>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</si>
  <si>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</si>
  <si>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</si>
  <si>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</si>
  <si>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</si>
  <si>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</si>
  <si>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</si>
  <si>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</si>
  <si>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</si>
  <si>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</si>
  <si>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</si>
  <si>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</si>
  <si>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</si>
  <si>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</si>
  <si>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</si>
  <si>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</si>
  <si>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</si>
  <si>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</si>
  <si>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</si>
  <si>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</si>
  <si>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</si>
  <si>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</si>
  <si>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</si>
  <si>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</si>
  <si>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</si>
  <si>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</si>
  <si>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</si>
  <si>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</si>
  <si>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</si>
  <si>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</si>
  <si>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</si>
  <si>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</si>
  <si>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</si>
  <si>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</si>
  <si>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</si>
  <si>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</si>
  <si>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</si>
  <si>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</si>
  <si>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</si>
  <si>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</si>
  <si>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</si>
  <si>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</si>
  <si>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</si>
  <si>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</si>
  <si>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</si>
  <si>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</si>
  <si>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</si>
  <si>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</si>
  <si>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</si>
  <si>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</si>
  <si>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</si>
  <si>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</si>
  <si>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</si>
  <si>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</si>
  <si>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</si>
  <si>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</si>
  <si>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</si>
  <si>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</si>
  <si>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</si>
  <si>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</si>
  <si>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</si>
  <si>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</si>
  <si>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</si>
  <si>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</si>
  <si>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</si>
  <si>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</si>
  <si>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</si>
  <si>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</si>
  <si>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</si>
  <si>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</si>
  <si>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</si>
  <si>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</si>
  <si>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</si>
  <si>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</si>
  <si>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</si>
  <si>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</si>
  <si>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</si>
  <si>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</si>
  <si>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</si>
  <si>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</si>
  <si>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</si>
  <si>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</si>
  <si>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</si>
  <si>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</si>
  <si>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</si>
  <si>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</si>
  <si>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</si>
  <si>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</si>
  <si>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</si>
  <si>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</si>
  <si>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</si>
  <si>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</si>
  <si>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</si>
  <si>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</si>
  <si>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</si>
  <si>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</si>
  <si>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</si>
  <si>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</si>
  <si>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</si>
  <si>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</si>
  <si>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</si>
  <si>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</si>
  <si>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</si>
  <si>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</si>
  <si>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</si>
  <si>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</si>
  <si>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</si>
  <si>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</si>
  <si>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</si>
  <si>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</si>
  <si>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</si>
  <si>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</si>
  <si>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</si>
  <si>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</si>
  <si>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</si>
  <si>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</si>
  <si>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</si>
  <si>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</si>
  <si>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</si>
  <si>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</si>
  <si>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</si>
  <si>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</si>
  <si>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</si>
  <si>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</si>
  <si>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</si>
  <si>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</si>
  <si>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</si>
  <si>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</si>
  <si>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</si>
  <si>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</si>
  <si>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</si>
  <si>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</si>
  <si>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</si>
  <si>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</si>
  <si>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</si>
  <si>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</si>
  <si>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</si>
  <si>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</si>
  <si>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</si>
  <si>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</si>
  <si>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</si>
  <si>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</si>
  <si>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</si>
  <si>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</si>
  <si>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</si>
  <si>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</si>
  <si>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</si>
  <si>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</si>
  <si>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</si>
  <si>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</si>
  <si>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</si>
  <si>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</si>
  <si>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</si>
  <si>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</si>
  <si>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</si>
  <si>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</si>
  <si>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</si>
  <si>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</si>
  <si>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</si>
  <si>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</si>
  <si>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</si>
  <si>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</si>
  <si>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</si>
  <si>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</si>
  <si>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</si>
  <si>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</si>
  <si>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</si>
  <si>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</si>
  <si>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</si>
  <si>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</si>
  <si>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</si>
  <si>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</si>
  <si>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</si>
  <si>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</si>
  <si>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</si>
  <si>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</si>
  <si>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</si>
  <si>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</si>
  <si>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</si>
  <si>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</si>
  <si>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</si>
  <si>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</si>
  <si>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</si>
  <si>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</si>
  <si>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</si>
  <si>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</si>
  <si>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</si>
  <si>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</si>
  <si>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</si>
  <si>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</si>
  <si>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</si>
  <si>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</si>
  <si>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</si>
  <si>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</si>
  <si>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</si>
  <si>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</si>
  <si>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</si>
  <si>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</si>
  <si>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</si>
  <si>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</si>
  <si>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</si>
  <si>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</si>
  <si>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</si>
  <si>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</si>
  <si>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</si>
  <si>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</si>
  <si>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</si>
  <si>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</si>
  <si>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</si>
  <si>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</si>
  <si>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</si>
  <si>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</si>
  <si>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</si>
  <si>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</si>
  <si>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</si>
  <si>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</si>
  <si>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</si>
  <si>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</si>
  <si>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</si>
  <si>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</si>
  <si>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</si>
  <si>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</si>
  <si>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</si>
  <si>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</si>
  <si>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</si>
  <si>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</si>
  <si>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</si>
  <si>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</si>
  <si>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</si>
  <si>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</si>
  <si>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</si>
  <si>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</si>
  <si>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</si>
  <si>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</si>
  <si>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</si>
  <si>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</si>
  <si>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</si>
  <si>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</si>
  <si>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</si>
  <si>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</si>
  <si>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</si>
  <si>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</si>
  <si>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</si>
  <si>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</si>
  <si>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</si>
  <si>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</si>
  <si>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</si>
  <si>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</si>
  <si>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</si>
  <si>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</si>
  <si>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</si>
  <si>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</si>
  <si>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</si>
  <si>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</si>
  <si>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</si>
  <si>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</si>
  <si>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</si>
  <si>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</si>
  <si>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</si>
  <si>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</si>
  <si>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</si>
  <si>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</si>
  <si>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</si>
  <si>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</si>
  <si>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</si>
  <si>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</si>
  <si>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</si>
  <si>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</si>
  <si>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</si>
  <si>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</si>
  <si>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</si>
  <si>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</si>
  <si>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</si>
  <si>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</si>
  <si>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</si>
  <si>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</si>
  <si>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</si>
  <si>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</si>
  <si>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</si>
  <si>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</si>
  <si>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</si>
  <si>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</si>
  <si>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</si>
  <si>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</si>
  <si>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</si>
  <si>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</si>
  <si>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</si>
  <si>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</si>
  <si>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</si>
  <si>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</si>
  <si>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</si>
  <si>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</si>
  <si>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</si>
  <si>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</si>
  <si>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</si>
  <si>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</si>
  <si>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</si>
  <si>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</si>
  <si>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</si>
  <si>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</si>
  <si>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</si>
  <si>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</si>
  <si>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</si>
  <si>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</si>
  <si>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</si>
  <si>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</si>
  <si>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</si>
  <si>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</si>
  <si>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</si>
  <si>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</si>
  <si>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</si>
  <si>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</si>
  <si>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</si>
  <si>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</si>
  <si>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</si>
  <si>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</si>
  <si>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</si>
  <si>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</si>
  <si>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</si>
  <si>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</si>
  <si>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</si>
  <si>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</si>
  <si>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</si>
  <si>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</si>
  <si>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</si>
  <si>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</si>
  <si>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</si>
  <si>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</si>
  <si>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</si>
  <si>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</si>
  <si>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</si>
  <si>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</si>
  <si>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</si>
  <si>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</si>
  <si>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</si>
  <si>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</si>
  <si>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</si>
  <si>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</si>
  <si>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</si>
  <si>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</si>
  <si>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</si>
  <si>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</si>
  <si>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</si>
  <si>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</si>
  <si>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</si>
  <si>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</si>
  <si>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</si>
  <si>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</si>
  <si>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</si>
  <si>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</si>
  <si>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</si>
  <si>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</si>
  <si>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</si>
  <si>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</si>
  <si>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</si>
  <si>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</si>
  <si>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</si>
  <si>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</si>
  <si>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</si>
  <si>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</si>
  <si>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</si>
  <si>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</si>
  <si>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</si>
  <si>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</si>
  <si>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</si>
  <si>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</si>
  <si>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</si>
  <si>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</si>
  <si>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</si>
  <si>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</si>
  <si>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</si>
  <si>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</si>
  <si>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</si>
  <si>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</si>
  <si>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</si>
  <si>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</si>
  <si>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</si>
  <si>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</si>
  <si>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</si>
  <si>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</si>
  <si>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</si>
  <si>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</si>
  <si>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</si>
  <si>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</si>
  <si>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</si>
  <si>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</si>
  <si>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</si>
  <si>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</si>
  <si>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</si>
  <si>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</si>
  <si>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</si>
  <si>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</si>
  <si>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</si>
  <si>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</si>
  <si>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</si>
  <si>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</si>
  <si>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</si>
  <si>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</si>
  <si>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</si>
  <si>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</si>
  <si>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</si>
  <si>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</si>
  <si>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</si>
  <si>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</si>
  <si>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</si>
  <si>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</si>
  <si>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</si>
  <si>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</si>
  <si>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</si>
  <si>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</si>
  <si>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</si>
  <si>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</si>
  <si>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</si>
  <si>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</si>
  <si>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</si>
  <si>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</si>
  <si>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</si>
  <si>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</si>
  <si>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</si>
  <si>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</si>
  <si>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</si>
  <si>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</si>
  <si>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</si>
  <si>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</si>
  <si>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</si>
  <si>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</si>
  <si>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36008</t>
  </si>
  <si>
    <t>IZEGEM</t>
  </si>
  <si>
    <t>Eandis (januari 2018); Infrax (juni 2018)</t>
  </si>
  <si>
    <t>MOW (september 2017)</t>
  </si>
  <si>
    <t>referentietaak LNE (2017); Jaarverslag De Lijn (2016)</t>
  </si>
  <si>
    <t>VEA (april 2018)</t>
  </si>
  <si>
    <t>VEA (januari 2017)</t>
  </si>
  <si>
    <t>VEA (juni 2018)</t>
  </si>
  <si>
    <t>Johan Desmet</t>
  </si>
  <si>
    <t>Veldstraat 1/1 , 8870 Izegem</t>
  </si>
  <si>
    <t>WKK-0574 Johan Desmet</t>
  </si>
  <si>
    <t>interne verbrandingsmotor</t>
  </si>
  <si>
    <t>WKK interne verbrandinsgmotor (gas)</t>
  </si>
  <si>
    <t>Veldstraat 1 , 8870 Izegem</t>
  </si>
  <si>
    <t>Infrax 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</si>
</sst>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210848.60725040836</c:v>
                </c:pt>
                <c:pt idx="1">
                  <c:v>83676.625513521692</c:v>
                </c:pt>
                <c:pt idx="2">
                  <c:v>1932.1189999999999</c:v>
                </c:pt>
                <c:pt idx="3">
                  <c:v>15576.079697511448</c:v>
                </c:pt>
                <c:pt idx="4">
                  <c:v>166596.83043742285</c:v>
                </c:pt>
                <c:pt idx="5">
                  <c:v>204697.98174334638</c:v>
                </c:pt>
                <c:pt idx="6">
                  <c:v>670.96213710919369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71488"/>
        <c:axId val="183489664"/>
      </c:barChart>
      <c:catAx>
        <c:axId val="183471488"/>
        <c:scaling>
          <c:orientation val="minMax"/>
        </c:scaling>
        <c:axPos val="b"/>
        <c:numFmt formatCode="General" sourceLinked="0"/>
        <c:tickLblPos val="nextTo"/>
        <c:crossAx val="183489664"/>
        <c:crosses val="autoZero"/>
        <c:auto val="1"/>
        <c:lblAlgn val="ctr"/>
        <c:lblOffset val="100"/>
      </c:catAx>
      <c:valAx>
        <c:axId val="183489664"/>
        <c:scaling>
          <c:orientation val="minMax"/>
        </c:scaling>
        <c:axPos val="l"/>
        <c:majorGridlines>
          <c:spPr>
            <a:ln>
              <a:noFill/>
            </a:ln>
          </c:spPr>
        </c:majorGridlines>
        <c:numFmt formatCode="#,##0" sourceLinked="1"/>
        <c:tickLblPos val="nextTo"/>
        <c:crossAx val="1834714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210848.60725040836</c:v>
                </c:pt>
                <c:pt idx="1">
                  <c:v>83676.625513521692</c:v>
                </c:pt>
                <c:pt idx="2">
                  <c:v>1932.1189999999999</c:v>
                </c:pt>
                <c:pt idx="3">
                  <c:v>15576.079697511448</c:v>
                </c:pt>
                <c:pt idx="4">
                  <c:v>166596.83043742285</c:v>
                </c:pt>
                <c:pt idx="5">
                  <c:v>204697.98174334638</c:v>
                </c:pt>
                <c:pt idx="6">
                  <c:v>670.96213710919369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35138.082731469513</c:v>
                </c:pt>
                <c:pt idx="1">
                  <c:v>16110.497853306255</c:v>
                </c:pt>
                <c:pt idx="2">
                  <c:v>351.76356848535607</c:v>
                </c:pt>
                <c:pt idx="3">
                  <c:v>3860.830759152479</c:v>
                </c:pt>
                <c:pt idx="4">
                  <c:v>31141.580322797523</c:v>
                </c:pt>
                <c:pt idx="5">
                  <c:v>51233.192001468386</c:v>
                </c:pt>
                <c:pt idx="6">
                  <c:v>169.51896192520891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35138.082731469513</c:v>
                </c:pt>
                <c:pt idx="1">
                  <c:v>16110.497853306255</c:v>
                </c:pt>
                <c:pt idx="2">
                  <c:v>351.76356848535607</c:v>
                </c:pt>
                <c:pt idx="3">
                  <c:v>3860.830759152479</c:v>
                </c:pt>
                <c:pt idx="4">
                  <c:v>31141.580322797523</c:v>
                </c:pt>
                <c:pt idx="5">
                  <c:v>51233.192001468386</c:v>
                </c:pt>
                <c:pt idx="6">
                  <c:v>169.51896192520891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36008</v>
      </c>
      <c r="B6" s="415"/>
      <c r="C6" s="416"/>
    </row>
    <row r="7" spans="1:7" s="413" customFormat="1" ht="15.75" customHeight="1">
      <c r="A7" s="417" t="str">
        <f>txtMunicipality</f>
        <v>IZEGEM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34724.627259999994</v>
      </c>
      <c r="D10" s="718">
        <f ca="1">tertiair!C16</f>
        <v>0</v>
      </c>
      <c r="E10" s="718">
        <f ca="1">tertiair!D16</f>
        <v>41727.201099154052</v>
      </c>
      <c r="F10" s="718">
        <f>tertiair!E16</f>
        <v>636.52940009220151</v>
      </c>
      <c r="G10" s="718">
        <f ca="1">tertiair!F16</f>
        <v>5868.3561597793705</v>
      </c>
      <c r="H10" s="718">
        <f>tertiair!G16</f>
        <v>0</v>
      </c>
      <c r="I10" s="718">
        <f>tertiair!H16</f>
        <v>0</v>
      </c>
      <c r="J10" s="718">
        <f>tertiair!I16</f>
        <v>0</v>
      </c>
      <c r="K10" s="718">
        <f>tertiair!J16</f>
        <v>6.2844751528461334E-2</v>
      </c>
      <c r="L10" s="718">
        <f>tertiair!K16</f>
        <v>0</v>
      </c>
      <c r="M10" s="718">
        <f ca="1">tertiair!L16</f>
        <v>0</v>
      </c>
      <c r="N10" s="718">
        <f>tertiair!M16</f>
        <v>0</v>
      </c>
      <c r="O10" s="718">
        <f ca="1">tertiair!N16</f>
        <v>2571.0110830778735</v>
      </c>
      <c r="P10" s="718">
        <f>tertiair!O16</f>
        <v>4.6900000000000004</v>
      </c>
      <c r="Q10" s="719">
        <f>tertiair!P16</f>
        <v>76.266666666666666</v>
      </c>
      <c r="R10" s="721">
        <f ca="1">SUM(C10:Q10)</f>
        <v>85608.744513521699</v>
      </c>
      <c r="S10" s="67"/>
    </row>
    <row r="11" spans="1:19" s="474" customFormat="1">
      <c r="A11" s="870" t="s">
        <v>225</v>
      </c>
      <c r="B11" s="875"/>
      <c r="C11" s="718">
        <f>huishoudens!B8</f>
        <v>41758.238604180391</v>
      </c>
      <c r="D11" s="718">
        <f>huishoudens!C8</f>
        <v>0</v>
      </c>
      <c r="E11" s="718">
        <f>huishoudens!D8</f>
        <v>128860.30476376408</v>
      </c>
      <c r="F11" s="718">
        <f>huishoudens!E8</f>
        <v>6633.2748173368373</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32381.339065127027</v>
      </c>
      <c r="P11" s="718">
        <f>huishoudens!O8</f>
        <v>586.25</v>
      </c>
      <c r="Q11" s="719">
        <f>huishoudens!P8</f>
        <v>629.20000000000005</v>
      </c>
      <c r="R11" s="721">
        <f>SUM(C11:Q11)</f>
        <v>210848.60725040836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87888.339810000005</v>
      </c>
      <c r="D13" s="718">
        <f>industrie!C18</f>
        <v>0</v>
      </c>
      <c r="E13" s="718">
        <f>industrie!D18</f>
        <v>46688.232923798365</v>
      </c>
      <c r="F13" s="718">
        <f>industrie!E18</f>
        <v>4664.189891050868</v>
      </c>
      <c r="G13" s="718">
        <f>industrie!F18</f>
        <v>17418.018062223189</v>
      </c>
      <c r="H13" s="718">
        <f>industrie!G18</f>
        <v>0</v>
      </c>
      <c r="I13" s="718">
        <f>industrie!H18</f>
        <v>0</v>
      </c>
      <c r="J13" s="718">
        <f>industrie!I18</f>
        <v>0</v>
      </c>
      <c r="K13" s="718">
        <f>industrie!J18</f>
        <v>0.37847449796709592</v>
      </c>
      <c r="L13" s="718">
        <f>industrie!K18</f>
        <v>0</v>
      </c>
      <c r="M13" s="718">
        <f>industrie!L18</f>
        <v>0</v>
      </c>
      <c r="N13" s="718">
        <f>industrie!M18</f>
        <v>0</v>
      </c>
      <c r="O13" s="718">
        <f>industrie!N18</f>
        <v>9937.6712758524718</v>
      </c>
      <c r="P13" s="718">
        <f>industrie!O18</f>
        <v>0</v>
      </c>
      <c r="Q13" s="719">
        <f>industrie!P18</f>
        <v>0</v>
      </c>
      <c r="R13" s="721">
        <f>SUM(C13:Q13)</f>
        <v>166596.83043742285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164371.20567418038</v>
      </c>
      <c r="D15" s="723">
        <f t="shared" ref="D15:Q15" ca="1" si="0">SUM(D9:D14)</f>
        <v>0</v>
      </c>
      <c r="E15" s="723">
        <f t="shared" ca="1" si="0"/>
        <v>217275.73878671648</v>
      </c>
      <c r="F15" s="723">
        <f t="shared" si="0"/>
        <v>11933.994108479907</v>
      </c>
      <c r="G15" s="723">
        <f t="shared" ca="1" si="0"/>
        <v>23286.37422200256</v>
      </c>
      <c r="H15" s="723">
        <f t="shared" si="0"/>
        <v>0</v>
      </c>
      <c r="I15" s="723">
        <f t="shared" si="0"/>
        <v>0</v>
      </c>
      <c r="J15" s="723">
        <f t="shared" si="0"/>
        <v>0</v>
      </c>
      <c r="K15" s="723">
        <f t="shared" si="0"/>
        <v>0.44131924949555723</v>
      </c>
      <c r="L15" s="723">
        <f t="shared" si="0"/>
        <v>0</v>
      </c>
      <c r="M15" s="723">
        <f t="shared" ca="1" si="0"/>
        <v>0</v>
      </c>
      <c r="N15" s="723">
        <f t="shared" si="0"/>
        <v>0</v>
      </c>
      <c r="O15" s="723">
        <f t="shared" ca="1" si="0"/>
        <v>44890.021424057377</v>
      </c>
      <c r="P15" s="723">
        <f t="shared" si="0"/>
        <v>590.94000000000005</v>
      </c>
      <c r="Q15" s="724">
        <f t="shared" si="0"/>
        <v>705.4666666666667</v>
      </c>
      <c r="R15" s="725">
        <f ca="1">SUM(R9:R14)</f>
        <v>463054.1822013529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634.90247912063262</v>
      </c>
      <c r="I18" s="718">
        <f>transport!H54</f>
        <v>0</v>
      </c>
      <c r="J18" s="718">
        <f>transport!I54</f>
        <v>0</v>
      </c>
      <c r="K18" s="718">
        <f>transport!J54</f>
        <v>0</v>
      </c>
      <c r="L18" s="718">
        <f>transport!K54</f>
        <v>0</v>
      </c>
      <c r="M18" s="718">
        <f>transport!L54</f>
        <v>0</v>
      </c>
      <c r="N18" s="718">
        <f>transport!M54</f>
        <v>36.059657988561106</v>
      </c>
      <c r="O18" s="718">
        <f>transport!N54</f>
        <v>0</v>
      </c>
      <c r="P18" s="718">
        <f>transport!O54</f>
        <v>0</v>
      </c>
      <c r="Q18" s="719">
        <f>transport!P54</f>
        <v>0</v>
      </c>
      <c r="R18" s="721">
        <f>SUM(C18:Q18)</f>
        <v>670.96213710919369</v>
      </c>
      <c r="S18" s="67"/>
    </row>
    <row r="19" spans="1:19" s="474" customFormat="1" ht="15" thickBot="1">
      <c r="A19" s="870" t="s">
        <v>307</v>
      </c>
      <c r="B19" s="875"/>
      <c r="C19" s="727">
        <f>transport!B14</f>
        <v>79.088425621960909</v>
      </c>
      <c r="D19" s="727">
        <f>transport!C14</f>
        <v>0</v>
      </c>
      <c r="E19" s="727">
        <f>transport!D14</f>
        <v>306.68049150219133</v>
      </c>
      <c r="F19" s="727">
        <f>transport!E14</f>
        <v>422.15003467270543</v>
      </c>
      <c r="G19" s="727">
        <f>transport!F14</f>
        <v>0</v>
      </c>
      <c r="H19" s="727">
        <f>transport!G14</f>
        <v>158912.08059135589</v>
      </c>
      <c r="I19" s="727">
        <f>transport!H14</f>
        <v>34664.618660514767</v>
      </c>
      <c r="J19" s="727">
        <f>transport!I14</f>
        <v>0</v>
      </c>
      <c r="K19" s="727">
        <f>transport!J14</f>
        <v>0</v>
      </c>
      <c r="L19" s="727">
        <f>transport!K14</f>
        <v>0</v>
      </c>
      <c r="M19" s="727">
        <f>transport!L14</f>
        <v>0</v>
      </c>
      <c r="N19" s="727">
        <f>transport!M14</f>
        <v>10313.36353967885</v>
      </c>
      <c r="O19" s="727">
        <f>transport!N14</f>
        <v>0</v>
      </c>
      <c r="P19" s="727">
        <f>transport!O14</f>
        <v>0</v>
      </c>
      <c r="Q19" s="728">
        <f>transport!P14</f>
        <v>0</v>
      </c>
      <c r="R19" s="729">
        <f>SUM(C19:Q19)</f>
        <v>204697.98174334638</v>
      </c>
      <c r="S19" s="67"/>
    </row>
    <row r="20" spans="1:19" s="474" customFormat="1" ht="15.75" thickBot="1">
      <c r="A20" s="730" t="s">
        <v>230</v>
      </c>
      <c r="B20" s="878"/>
      <c r="C20" s="873">
        <f>SUM(C17:C19)</f>
        <v>79.088425621960909</v>
      </c>
      <c r="D20" s="731">
        <f t="shared" ref="D20:R20" si="1">SUM(D17:D19)</f>
        <v>0</v>
      </c>
      <c r="E20" s="731">
        <f t="shared" si="1"/>
        <v>306.68049150219133</v>
      </c>
      <c r="F20" s="731">
        <f t="shared" si="1"/>
        <v>422.15003467270543</v>
      </c>
      <c r="G20" s="731">
        <f t="shared" si="1"/>
        <v>0</v>
      </c>
      <c r="H20" s="731">
        <f t="shared" si="1"/>
        <v>159546.98307047653</v>
      </c>
      <c r="I20" s="731">
        <f t="shared" si="1"/>
        <v>34664.618660514767</v>
      </c>
      <c r="J20" s="731">
        <f t="shared" si="1"/>
        <v>0</v>
      </c>
      <c r="K20" s="731">
        <f t="shared" si="1"/>
        <v>0</v>
      </c>
      <c r="L20" s="731">
        <f t="shared" si="1"/>
        <v>0</v>
      </c>
      <c r="M20" s="731">
        <f t="shared" si="1"/>
        <v>0</v>
      </c>
      <c r="N20" s="731">
        <f t="shared" si="1"/>
        <v>10349.423197667411</v>
      </c>
      <c r="O20" s="731">
        <f t="shared" si="1"/>
        <v>0</v>
      </c>
      <c r="P20" s="731">
        <f t="shared" si="1"/>
        <v>0</v>
      </c>
      <c r="Q20" s="732">
        <f t="shared" si="1"/>
        <v>0</v>
      </c>
      <c r="R20" s="733">
        <f t="shared" si="1"/>
        <v>205368.94388045557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1912.7780930000001</v>
      </c>
      <c r="D22" s="727">
        <f>+landbouw!C8</f>
        <v>5361.4285714285716</v>
      </c>
      <c r="E22" s="727">
        <f>+landbouw!D8</f>
        <v>0</v>
      </c>
      <c r="F22" s="727">
        <f>+landbouw!E8</f>
        <v>56.222390451892892</v>
      </c>
      <c r="G22" s="727">
        <f>+landbouw!F8</f>
        <v>7968.5301743350374</v>
      </c>
      <c r="H22" s="727">
        <f>+landbouw!G8</f>
        <v>0</v>
      </c>
      <c r="I22" s="727">
        <f>+landbouw!H8</f>
        <v>0</v>
      </c>
      <c r="J22" s="727">
        <f>+landbouw!I8</f>
        <v>0</v>
      </c>
      <c r="K22" s="727">
        <f>+landbouw!J8</f>
        <v>277.1204682959447</v>
      </c>
      <c r="L22" s="727">
        <f>+landbouw!K8</f>
        <v>0</v>
      </c>
      <c r="M22" s="727">
        <f>+landbouw!L8</f>
        <v>0</v>
      </c>
      <c r="N22" s="727">
        <f>+landbouw!M8</f>
        <v>0</v>
      </c>
      <c r="O22" s="727">
        <f>+landbouw!N8</f>
        <v>0</v>
      </c>
      <c r="P22" s="727">
        <f>+landbouw!O8</f>
        <v>0</v>
      </c>
      <c r="Q22" s="728">
        <f>+landbouw!P8</f>
        <v>0</v>
      </c>
      <c r="R22" s="729">
        <f>SUM(C22:Q22)</f>
        <v>15576.079697511448</v>
      </c>
      <c r="S22" s="67"/>
    </row>
    <row r="23" spans="1:19" s="474" customFormat="1" ht="17.25" thickTop="1" thickBot="1">
      <c r="A23" s="734" t="s">
        <v>116</v>
      </c>
      <c r="B23" s="864"/>
      <c r="C23" s="735">
        <f ca="1">C20+C15+C22</f>
        <v>166363.07219280236</v>
      </c>
      <c r="D23" s="735">
        <f t="shared" ref="D23:Q23" ca="1" si="2">D20+D15+D22</f>
        <v>5361.4285714285716</v>
      </c>
      <c r="E23" s="735">
        <f t="shared" ca="1" si="2"/>
        <v>217582.41927821867</v>
      </c>
      <c r="F23" s="735">
        <f t="shared" si="2"/>
        <v>12412.366533604505</v>
      </c>
      <c r="G23" s="735">
        <f t="shared" ca="1" si="2"/>
        <v>31254.904396337595</v>
      </c>
      <c r="H23" s="735">
        <f t="shared" si="2"/>
        <v>159546.98307047653</v>
      </c>
      <c r="I23" s="735">
        <f t="shared" si="2"/>
        <v>34664.618660514767</v>
      </c>
      <c r="J23" s="735">
        <f t="shared" si="2"/>
        <v>0</v>
      </c>
      <c r="K23" s="735">
        <f t="shared" si="2"/>
        <v>277.56178754544027</v>
      </c>
      <c r="L23" s="735">
        <f t="shared" si="2"/>
        <v>0</v>
      </c>
      <c r="M23" s="735">
        <f t="shared" ca="1" si="2"/>
        <v>0</v>
      </c>
      <c r="N23" s="735">
        <f t="shared" si="2"/>
        <v>10349.423197667411</v>
      </c>
      <c r="O23" s="735">
        <f t="shared" ca="1" si="2"/>
        <v>44890.021424057377</v>
      </c>
      <c r="P23" s="735">
        <f t="shared" si="2"/>
        <v>590.94000000000005</v>
      </c>
      <c r="Q23" s="736">
        <f t="shared" si="2"/>
        <v>705.4666666666667</v>
      </c>
      <c r="R23" s="737">
        <f ca="1">R20+R15+R22</f>
        <v>683999.20577931986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6322.0012842384294</v>
      </c>
      <c r="D36" s="718">
        <f ca="1">tertiair!C20</f>
        <v>0</v>
      </c>
      <c r="E36" s="718">
        <f ca="1">tertiair!D20</f>
        <v>8428.8946220291182</v>
      </c>
      <c r="F36" s="718">
        <f>tertiair!E20</f>
        <v>144.49217382092974</v>
      </c>
      <c r="G36" s="718">
        <f ca="1">tertiair!F20</f>
        <v>1566.851094661092</v>
      </c>
      <c r="H36" s="718">
        <f>tertiair!G20</f>
        <v>0</v>
      </c>
      <c r="I36" s="718">
        <f>tertiair!H20</f>
        <v>0</v>
      </c>
      <c r="J36" s="718">
        <f>tertiair!I20</f>
        <v>0</v>
      </c>
      <c r="K36" s="718">
        <f>tertiair!J20</f>
        <v>2.2247042041075311E-2</v>
      </c>
      <c r="L36" s="718">
        <f>tertiair!K20</f>
        <v>0</v>
      </c>
      <c r="M36" s="718">
        <f ca="1">tertiair!L20</f>
        <v>0</v>
      </c>
      <c r="N36" s="718">
        <f>tertiair!M20</f>
        <v>0</v>
      </c>
      <c r="O36" s="718">
        <f ca="1">tertiair!N20</f>
        <v>0</v>
      </c>
      <c r="P36" s="718">
        <f>tertiair!O20</f>
        <v>0</v>
      </c>
      <c r="Q36" s="828">
        <f>tertiair!P20</f>
        <v>0</v>
      </c>
      <c r="R36" s="917">
        <f ca="1">SUM(C36:Q36)</f>
        <v>16462.261421791613</v>
      </c>
    </row>
    <row r="37" spans="1:18">
      <c r="A37" s="885" t="s">
        <v>225</v>
      </c>
      <c r="B37" s="892"/>
      <c r="C37" s="718">
        <f ca="1">huishoudens!B12</f>
        <v>7602.5477856537045</v>
      </c>
      <c r="D37" s="718">
        <f ca="1">huishoudens!C12</f>
        <v>0</v>
      </c>
      <c r="E37" s="718">
        <f>huishoudens!D12</f>
        <v>26029.781562280346</v>
      </c>
      <c r="F37" s="718">
        <f>huishoudens!E12</f>
        <v>1505.753383535462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35138.082731469513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16001.041364335832</v>
      </c>
      <c r="D39" s="718">
        <f ca="1">industrie!C22</f>
        <v>0</v>
      </c>
      <c r="E39" s="718">
        <f>industrie!D22</f>
        <v>9431.0230506072712</v>
      </c>
      <c r="F39" s="718">
        <f>industrie!E22</f>
        <v>1058.771105268547</v>
      </c>
      <c r="G39" s="718">
        <f>industrie!F22</f>
        <v>4650.6108226135921</v>
      </c>
      <c r="H39" s="718">
        <f>industrie!G22</f>
        <v>0</v>
      </c>
      <c r="I39" s="718">
        <f>industrie!H22</f>
        <v>0</v>
      </c>
      <c r="J39" s="718">
        <f>industrie!I22</f>
        <v>0</v>
      </c>
      <c r="K39" s="718">
        <f>industrie!J22</f>
        <v>0.13397997228035194</v>
      </c>
      <c r="L39" s="718">
        <f>industrie!K22</f>
        <v>0</v>
      </c>
      <c r="M39" s="718">
        <f>industrie!L22</f>
        <v>0</v>
      </c>
      <c r="N39" s="718">
        <f>industrie!M22</f>
        <v>0</v>
      </c>
      <c r="O39" s="718">
        <f>industrie!N22</f>
        <v>0</v>
      </c>
      <c r="P39" s="718">
        <f>industrie!O22</f>
        <v>0</v>
      </c>
      <c r="Q39" s="828">
        <f>industrie!P22</f>
        <v>0</v>
      </c>
      <c r="R39" s="918">
        <f ca="1">SUM(C39:Q39)</f>
        <v>31141.580322797523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29925.590434227968</v>
      </c>
      <c r="D41" s="763">
        <f t="shared" ref="D41:R41" ca="1" si="4">SUM(D35:D40)</f>
        <v>0</v>
      </c>
      <c r="E41" s="763">
        <f t="shared" ca="1" si="4"/>
        <v>43889.699234916734</v>
      </c>
      <c r="F41" s="763">
        <f t="shared" si="4"/>
        <v>2709.0166626249388</v>
      </c>
      <c r="G41" s="763">
        <f t="shared" ca="1" si="4"/>
        <v>6217.4619172746843</v>
      </c>
      <c r="H41" s="763">
        <f t="shared" si="4"/>
        <v>0</v>
      </c>
      <c r="I41" s="763">
        <f t="shared" si="4"/>
        <v>0</v>
      </c>
      <c r="J41" s="763">
        <f t="shared" si="4"/>
        <v>0</v>
      </c>
      <c r="K41" s="763">
        <f t="shared" si="4"/>
        <v>0.15622701432142724</v>
      </c>
      <c r="L41" s="763">
        <f t="shared" si="4"/>
        <v>0</v>
      </c>
      <c r="M41" s="763">
        <f t="shared" ca="1" si="4"/>
        <v>0</v>
      </c>
      <c r="N41" s="763">
        <f t="shared" si="4"/>
        <v>0</v>
      </c>
      <c r="O41" s="763">
        <f t="shared" ca="1" si="4"/>
        <v>0</v>
      </c>
      <c r="P41" s="763">
        <f t="shared" si="4"/>
        <v>0</v>
      </c>
      <c r="Q41" s="764">
        <f t="shared" si="4"/>
        <v>0</v>
      </c>
      <c r="R41" s="765">
        <f t="shared" ca="1" si="4"/>
        <v>82741.924476058644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169.51896192520891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169.51896192520891</v>
      </c>
    </row>
    <row r="45" spans="1:18" ht="15" thickBot="1">
      <c r="A45" s="888" t="s">
        <v>307</v>
      </c>
      <c r="B45" s="898"/>
      <c r="C45" s="727">
        <f ca="1">transport!B18</f>
        <v>14.398919954034735</v>
      </c>
      <c r="D45" s="727">
        <f>transport!C18</f>
        <v>0</v>
      </c>
      <c r="E45" s="727">
        <f>transport!D18</f>
        <v>61.94945928344265</v>
      </c>
      <c r="F45" s="727">
        <f>transport!E18</f>
        <v>95.828057870704143</v>
      </c>
      <c r="G45" s="727">
        <f>transport!F18</f>
        <v>0</v>
      </c>
      <c r="H45" s="727">
        <f>transport!G18</f>
        <v>42429.525517892027</v>
      </c>
      <c r="I45" s="727">
        <f>transport!H18</f>
        <v>8631.4900464681778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51233.192001468386</v>
      </c>
    </row>
    <row r="46" spans="1:18" ht="15.75" thickBot="1">
      <c r="A46" s="886" t="s">
        <v>230</v>
      </c>
      <c r="B46" s="899"/>
      <c r="C46" s="763">
        <f t="shared" ref="C46:R46" ca="1" si="5">SUM(C43:C45)</f>
        <v>14.398919954034735</v>
      </c>
      <c r="D46" s="763">
        <f t="shared" ca="1" si="5"/>
        <v>0</v>
      </c>
      <c r="E46" s="763">
        <f t="shared" si="5"/>
        <v>61.94945928344265</v>
      </c>
      <c r="F46" s="763">
        <f t="shared" si="5"/>
        <v>95.828057870704143</v>
      </c>
      <c r="G46" s="763">
        <f t="shared" si="5"/>
        <v>0</v>
      </c>
      <c r="H46" s="763">
        <f t="shared" si="5"/>
        <v>42599.044479817239</v>
      </c>
      <c r="I46" s="763">
        <f t="shared" si="5"/>
        <v>8631.4900464681778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51402.710963393598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348.24234310324277</v>
      </c>
      <c r="D48" s="718">
        <f ca="1">+landbouw!C12</f>
        <v>1274.127731092437</v>
      </c>
      <c r="E48" s="718">
        <f>+landbouw!D12</f>
        <v>0</v>
      </c>
      <c r="F48" s="718">
        <f>+landbouw!E12</f>
        <v>12.762482632579687</v>
      </c>
      <c r="G48" s="718">
        <f>+landbouw!F12</f>
        <v>2127.597556547455</v>
      </c>
      <c r="H48" s="718">
        <f>+landbouw!G12</f>
        <v>0</v>
      </c>
      <c r="I48" s="718">
        <f>+landbouw!H12</f>
        <v>0</v>
      </c>
      <c r="J48" s="718">
        <f>+landbouw!I12</f>
        <v>0</v>
      </c>
      <c r="K48" s="718">
        <f>+landbouw!J12</f>
        <v>98.100645776764424</v>
      </c>
      <c r="L48" s="718">
        <f>+landbouw!K12</f>
        <v>0</v>
      </c>
      <c r="M48" s="718">
        <f>+landbouw!L12</f>
        <v>0</v>
      </c>
      <c r="N48" s="718">
        <f>+landbouw!M12</f>
        <v>0</v>
      </c>
      <c r="O48" s="718">
        <f>+landbouw!N12</f>
        <v>0</v>
      </c>
      <c r="P48" s="718">
        <f>+landbouw!O12</f>
        <v>0</v>
      </c>
      <c r="Q48" s="719">
        <f>+landbouw!P12</f>
        <v>0</v>
      </c>
      <c r="R48" s="761">
        <f ca="1">SUM(C48:Q48)</f>
        <v>3860.830759152479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30288.231697285246</v>
      </c>
      <c r="D53" s="773">
        <f t="shared" ref="D53:Q53" ca="1" si="6">D41+D46+D48</f>
        <v>1274.127731092437</v>
      </c>
      <c r="E53" s="773">
        <f t="shared" ca="1" si="6"/>
        <v>43951.648694200179</v>
      </c>
      <c r="F53" s="773">
        <f t="shared" si="6"/>
        <v>2817.6072031282224</v>
      </c>
      <c r="G53" s="773">
        <f t="shared" ca="1" si="6"/>
        <v>8345.0594738221389</v>
      </c>
      <c r="H53" s="773">
        <f t="shared" si="6"/>
        <v>42599.044479817239</v>
      </c>
      <c r="I53" s="773">
        <f t="shared" si="6"/>
        <v>8631.4900464681778</v>
      </c>
      <c r="J53" s="773">
        <f t="shared" si="6"/>
        <v>0</v>
      </c>
      <c r="K53" s="773">
        <f t="shared" si="6"/>
        <v>98.256872791085854</v>
      </c>
      <c r="L53" s="773">
        <f t="shared" si="6"/>
        <v>0</v>
      </c>
      <c r="M53" s="773">
        <f t="shared" ca="1" si="6"/>
        <v>0</v>
      </c>
      <c r="N53" s="773">
        <f t="shared" si="6"/>
        <v>0</v>
      </c>
      <c r="O53" s="773">
        <f t="shared" ca="1" si="6"/>
        <v>0</v>
      </c>
      <c r="P53" s="773">
        <f>P41+P46+P48</f>
        <v>0</v>
      </c>
      <c r="Q53" s="774">
        <f t="shared" si="6"/>
        <v>0</v>
      </c>
      <c r="R53" s="775">
        <f ca="1">R41+R46+R48</f>
        <v>138005.46619860473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0.18206102651304401</v>
      </c>
      <c r="D55" s="836">
        <f t="shared" ca="1" si="7"/>
        <v>0.23764705882352941</v>
      </c>
      <c r="E55" s="836">
        <f t="shared" ca="1" si="7"/>
        <v>0.20200000000000004</v>
      </c>
      <c r="F55" s="836">
        <f t="shared" si="7"/>
        <v>0.22699999999999998</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21701.65468675677</v>
      </c>
      <c r="C64" s="795">
        <f>'lokale energieproductie'!B4</f>
        <v>21701.65468675677</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7893.2940421517505</v>
      </c>
      <c r="C66" s="795">
        <f>'lokale energieproductie'!B6</f>
        <v>7893.2940421517505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3753</v>
      </c>
      <c r="C67" s="794">
        <f>B67*IFERROR(SUM(J67:L67)/SUM(D67:M67),0)</f>
        <v>0</v>
      </c>
      <c r="D67" s="826">
        <f>'lokale energieproductie'!C7</f>
        <v>4415.2941176470586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891.88941176470587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33347.948728908523</v>
      </c>
      <c r="C69" s="803">
        <f>SUM(C64:C68)</f>
        <v>29594.948728908523</v>
      </c>
      <c r="D69" s="804">
        <f t="shared" ref="D69:M69" si="8">SUM(D67:D68)</f>
        <v>4415.2941176470586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891.88941176470587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5361.4285714285716</v>
      </c>
      <c r="C78" s="817">
        <f>B78*IFERROR(SUM(I78:L78)/SUM(D78:M78),0)</f>
        <v>0</v>
      </c>
      <c r="D78" s="832">
        <f>'lokale energieproductie'!C16</f>
        <v>6307.5630252100837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1274.127731092437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5361.4285714285716</v>
      </c>
      <c r="C81" s="803">
        <f>SUM(C78:C80)</f>
        <v>0</v>
      </c>
      <c r="D81" s="803">
        <f t="shared" ref="D81:P81" si="9">SUM(D78:D80)</f>
        <v>6307.5630252100837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1274.127731092437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41758.238604180391</v>
      </c>
      <c r="C4" s="478">
        <f>huishoudens!C8</f>
        <v>0</v>
      </c>
      <c r="D4" s="478">
        <f>huishoudens!D8</f>
        <v>128860.30476376408</v>
      </c>
      <c r="E4" s="478">
        <f>huishoudens!E8</f>
        <v>6633.2748173368373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32381.339065127027</v>
      </c>
      <c r="O4" s="478">
        <f>huishoudens!O8</f>
        <v>586.25</v>
      </c>
      <c r="P4" s="479">
        <f>huishoudens!P8</f>
        <v>629.20000000000005</v>
      </c>
      <c r="Q4" s="480">
        <f>SUM(B4:P4)</f>
        <v>210848.60725040836</v>
      </c>
    </row>
    <row r="5" spans="1:17">
      <c r="A5" s="477" t="s">
        <v>156</v>
      </c>
      <c r="B5" s="478">
        <f ca="1">tertiair!B16</f>
        <v>32792.508259999995</v>
      </c>
      <c r="C5" s="478">
        <f ca="1">tertiair!C16</f>
        <v>0</v>
      </c>
      <c r="D5" s="478">
        <f ca="1">tertiair!D16</f>
        <v>41727.201099154052</v>
      </c>
      <c r="E5" s="478">
        <f>tertiair!E16</f>
        <v>636.52940009220151</v>
      </c>
      <c r="F5" s="478">
        <f ca="1">tertiair!F16</f>
        <v>5868.3561597793705</v>
      </c>
      <c r="G5" s="478">
        <f>tertiair!G16</f>
        <v>0</v>
      </c>
      <c r="H5" s="478">
        <f>tertiair!H16</f>
        <v>0</v>
      </c>
      <c r="I5" s="478">
        <f>tertiair!I16</f>
        <v>0</v>
      </c>
      <c r="J5" s="478">
        <f>tertiair!J16</f>
        <v>6.2844751528461334E-2</v>
      </c>
      <c r="K5" s="478">
        <f>tertiair!K16</f>
        <v>0</v>
      </c>
      <c r="L5" s="478">
        <f ca="1">tertiair!L16</f>
        <v>0</v>
      </c>
      <c r="M5" s="478">
        <f>tertiair!M16</f>
        <v>0</v>
      </c>
      <c r="N5" s="478">
        <f ca="1">tertiair!N16</f>
        <v>2571.0110830778735</v>
      </c>
      <c r="O5" s="478">
        <f>tertiair!O16</f>
        <v>4.6900000000000004</v>
      </c>
      <c r="P5" s="479">
        <f>tertiair!P16</f>
        <v>76.266666666666666</v>
      </c>
      <c r="Q5" s="477">
        <f t="shared" ref="Q5:Q13" ca="1" si="0">SUM(B5:P5)</f>
        <v>83676.625513521692</v>
      </c>
    </row>
    <row r="6" spans="1:17">
      <c r="A6" s="477" t="s">
        <v>194</v>
      </c>
      <c r="B6" s="478">
        <f>'openbare verlichting'!B8</f>
        <v>1932.1189999999999</v>
      </c>
      <c r="C6" s="478"/>
      <c r="D6" s="478"/>
      <c r="E6" s="478"/>
      <c r="F6" s="478"/>
      <c r="G6" s="478"/>
      <c r="H6" s="478"/>
      <c r="I6" s="478"/>
      <c r="J6" s="478"/>
      <c r="K6" s="478"/>
      <c r="L6" s="478"/>
      <c r="M6" s="478"/>
      <c r="N6" s="478"/>
      <c r="O6" s="478"/>
      <c r="P6" s="479"/>
      <c r="Q6" s="477">
        <f t="shared" si="0"/>
        <v>1932.1189999999999</v>
      </c>
    </row>
    <row r="7" spans="1:17">
      <c r="A7" s="477" t="s">
        <v>112</v>
      </c>
      <c r="B7" s="478">
        <f>landbouw!B8</f>
        <v>1912.7780930000001</v>
      </c>
      <c r="C7" s="478">
        <f>landbouw!C8</f>
        <v>5361.4285714285716</v>
      </c>
      <c r="D7" s="478">
        <f>landbouw!D8</f>
        <v>0</v>
      </c>
      <c r="E7" s="478">
        <f>landbouw!E8</f>
        <v>56.222390451892892</v>
      </c>
      <c r="F7" s="478">
        <f>landbouw!F8</f>
        <v>7968.5301743350374</v>
      </c>
      <c r="G7" s="478">
        <f>landbouw!G8</f>
        <v>0</v>
      </c>
      <c r="H7" s="478">
        <f>landbouw!H8</f>
        <v>0</v>
      </c>
      <c r="I7" s="478">
        <f>landbouw!I8</f>
        <v>0</v>
      </c>
      <c r="J7" s="478">
        <f>landbouw!J8</f>
        <v>277.1204682959447</v>
      </c>
      <c r="K7" s="478">
        <f>landbouw!K8</f>
        <v>0</v>
      </c>
      <c r="L7" s="478">
        <f>landbouw!L8</f>
        <v>0</v>
      </c>
      <c r="M7" s="478">
        <f>landbouw!M8</f>
        <v>0</v>
      </c>
      <c r="N7" s="478">
        <f>landbouw!N8</f>
        <v>0</v>
      </c>
      <c r="O7" s="478">
        <f>landbouw!O8</f>
        <v>0</v>
      </c>
      <c r="P7" s="479">
        <f>landbouw!P8</f>
        <v>0</v>
      </c>
      <c r="Q7" s="477">
        <f t="shared" si="0"/>
        <v>15576.079697511448</v>
      </c>
    </row>
    <row r="8" spans="1:17">
      <c r="A8" s="477" t="s">
        <v>635</v>
      </c>
      <c r="B8" s="478">
        <f>industrie!B18</f>
        <v>87888.339810000005</v>
      </c>
      <c r="C8" s="478">
        <f>industrie!C18</f>
        <v>0</v>
      </c>
      <c r="D8" s="478">
        <f>industrie!D18</f>
        <v>46688.232923798365</v>
      </c>
      <c r="E8" s="478">
        <f>industrie!E18</f>
        <v>4664.189891050868</v>
      </c>
      <c r="F8" s="478">
        <f>industrie!F18</f>
        <v>17418.018062223189</v>
      </c>
      <c r="G8" s="478">
        <f>industrie!G18</f>
        <v>0</v>
      </c>
      <c r="H8" s="478">
        <f>industrie!H18</f>
        <v>0</v>
      </c>
      <c r="I8" s="478">
        <f>industrie!I18</f>
        <v>0</v>
      </c>
      <c r="J8" s="478">
        <f>industrie!J18</f>
        <v>0.37847449796709592</v>
      </c>
      <c r="K8" s="478">
        <f>industrie!K18</f>
        <v>0</v>
      </c>
      <c r="L8" s="478">
        <f>industrie!L18</f>
        <v>0</v>
      </c>
      <c r="M8" s="478">
        <f>industrie!M18</f>
        <v>0</v>
      </c>
      <c r="N8" s="478">
        <f>industrie!N18</f>
        <v>9937.6712758524718</v>
      </c>
      <c r="O8" s="478">
        <f>industrie!O18</f>
        <v>0</v>
      </c>
      <c r="P8" s="479">
        <f>industrie!P18</f>
        <v>0</v>
      </c>
      <c r="Q8" s="477">
        <f t="shared" si="0"/>
        <v>166596.83043742285</v>
      </c>
    </row>
    <row r="9" spans="1:17" s="483" customFormat="1">
      <c r="A9" s="481" t="s">
        <v>561</v>
      </c>
      <c r="B9" s="482">
        <f>transport!B14</f>
        <v>79.088425621960909</v>
      </c>
      <c r="C9" s="482"/>
      <c r="D9" s="482">
        <f>transport!D14</f>
        <v>306.68049150219133</v>
      </c>
      <c r="E9" s="482">
        <f>transport!E14</f>
        <v>422.15003467270543</v>
      </c>
      <c r="F9" s="482"/>
      <c r="G9" s="482">
        <f>transport!G14</f>
        <v>158912.08059135589</v>
      </c>
      <c r="H9" s="482">
        <f>transport!H14</f>
        <v>34664.618660514767</v>
      </c>
      <c r="I9" s="482"/>
      <c r="J9" s="482"/>
      <c r="K9" s="482"/>
      <c r="L9" s="482"/>
      <c r="M9" s="482">
        <f>transport!M14</f>
        <v>10313.36353967885</v>
      </c>
      <c r="N9" s="482"/>
      <c r="O9" s="482"/>
      <c r="P9" s="482"/>
      <c r="Q9" s="481">
        <f>SUM(B9:P9)</f>
        <v>204697.98174334638</v>
      </c>
    </row>
    <row r="10" spans="1:17">
      <c r="A10" s="477" t="s">
        <v>551</v>
      </c>
      <c r="B10" s="478">
        <f>transport!B54</f>
        <v>0</v>
      </c>
      <c r="C10" s="478"/>
      <c r="D10" s="478">
        <f>transport!D54</f>
        <v>0</v>
      </c>
      <c r="E10" s="478"/>
      <c r="F10" s="478"/>
      <c r="G10" s="478">
        <f>transport!G54</f>
        <v>634.90247912063262</v>
      </c>
      <c r="H10" s="478"/>
      <c r="I10" s="478"/>
      <c r="J10" s="478"/>
      <c r="K10" s="478"/>
      <c r="L10" s="478"/>
      <c r="M10" s="478">
        <f>transport!M54</f>
        <v>36.059657988561106</v>
      </c>
      <c r="N10" s="478"/>
      <c r="O10" s="478"/>
      <c r="P10" s="479"/>
      <c r="Q10" s="477">
        <f t="shared" si="0"/>
        <v>670.96213710919369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166363.07219280238</v>
      </c>
      <c r="C14" s="488">
        <f t="shared" ref="C14:Q14" ca="1" si="1">SUM(C4:C13)</f>
        <v>5361.4285714285716</v>
      </c>
      <c r="D14" s="488">
        <f t="shared" ca="1" si="1"/>
        <v>217582.41927821867</v>
      </c>
      <c r="E14" s="488">
        <f t="shared" si="1"/>
        <v>12412.366533604507</v>
      </c>
      <c r="F14" s="488">
        <f t="shared" ca="1" si="1"/>
        <v>31254.904396337595</v>
      </c>
      <c r="G14" s="488">
        <f t="shared" si="1"/>
        <v>159546.98307047653</v>
      </c>
      <c r="H14" s="488">
        <f t="shared" si="1"/>
        <v>34664.618660514767</v>
      </c>
      <c r="I14" s="488">
        <f t="shared" si="1"/>
        <v>0</v>
      </c>
      <c r="J14" s="488">
        <f t="shared" si="1"/>
        <v>277.56178754544027</v>
      </c>
      <c r="K14" s="488">
        <f t="shared" si="1"/>
        <v>0</v>
      </c>
      <c r="L14" s="488">
        <f t="shared" ca="1" si="1"/>
        <v>0</v>
      </c>
      <c r="M14" s="488">
        <f t="shared" si="1"/>
        <v>10349.423197667411</v>
      </c>
      <c r="N14" s="488">
        <f t="shared" ca="1" si="1"/>
        <v>44890.021424057377</v>
      </c>
      <c r="O14" s="488">
        <f t="shared" si="1"/>
        <v>590.94000000000005</v>
      </c>
      <c r="P14" s="489">
        <f t="shared" si="1"/>
        <v>705.4666666666667</v>
      </c>
      <c r="Q14" s="489">
        <f t="shared" ca="1" si="1"/>
        <v>683999.20577931998</v>
      </c>
    </row>
    <row r="16" spans="1:17">
      <c r="A16" s="491" t="s">
        <v>556</v>
      </c>
      <c r="B16" s="841">
        <f ca="1">huishoudens!B10</f>
        <v>0.18206102651304401</v>
      </c>
      <c r="C16" s="841">
        <f ca="1">huishoudens!C10</f>
        <v>0.23764705882352941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7602.5477856537045</v>
      </c>
      <c r="C21" s="478">
        <f t="shared" ref="C21:C28" ca="1" si="3">C4*$C$16</f>
        <v>0</v>
      </c>
      <c r="D21" s="478">
        <f t="shared" ref="D21:D30" si="4">D4*$D$16</f>
        <v>26029.781562280346</v>
      </c>
      <c r="E21" s="478">
        <f t="shared" ref="E21:E30" si="5">E4*$E$16</f>
        <v>1505.753383535462</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35138.082731469513</v>
      </c>
    </row>
    <row r="22" spans="1:17">
      <c r="A22" s="477" t="s">
        <v>156</v>
      </c>
      <c r="B22" s="478">
        <f t="shared" ca="1" si="2"/>
        <v>5970.2377157530736</v>
      </c>
      <c r="C22" s="478">
        <f t="shared" ca="1" si="3"/>
        <v>0</v>
      </c>
      <c r="D22" s="478">
        <f t="shared" ca="1" si="4"/>
        <v>8428.8946220291182</v>
      </c>
      <c r="E22" s="478">
        <f t="shared" si="5"/>
        <v>144.49217382092974</v>
      </c>
      <c r="F22" s="478">
        <f t="shared" ca="1" si="6"/>
        <v>1566.851094661092</v>
      </c>
      <c r="G22" s="478">
        <f t="shared" si="7"/>
        <v>0</v>
      </c>
      <c r="H22" s="478">
        <f t="shared" si="8"/>
        <v>0</v>
      </c>
      <c r="I22" s="478">
        <f t="shared" si="9"/>
        <v>0</v>
      </c>
      <c r="J22" s="478">
        <f t="shared" si="10"/>
        <v>2.2247042041075311E-2</v>
      </c>
      <c r="K22" s="478">
        <f t="shared" si="11"/>
        <v>0</v>
      </c>
      <c r="L22" s="478">
        <f t="shared" ca="1" si="12"/>
        <v>0</v>
      </c>
      <c r="M22" s="478">
        <f t="shared" si="13"/>
        <v>0</v>
      </c>
      <c r="N22" s="478">
        <f t="shared" ca="1" si="14"/>
        <v>0</v>
      </c>
      <c r="O22" s="478">
        <f t="shared" si="15"/>
        <v>0</v>
      </c>
      <c r="P22" s="479">
        <f t="shared" si="16"/>
        <v>0</v>
      </c>
      <c r="Q22" s="477">
        <f t="shared" ref="Q22:Q30" ca="1" si="17">SUM(B22:P22)</f>
        <v>16110.497853306255</v>
      </c>
    </row>
    <row r="23" spans="1:17">
      <c r="A23" s="477" t="s">
        <v>194</v>
      </c>
      <c r="B23" s="478">
        <f t="shared" ca="1" si="2"/>
        <v>351.76356848535607</v>
      </c>
      <c r="C23" s="478"/>
      <c r="D23" s="478"/>
      <c r="E23" s="478"/>
      <c r="F23" s="478"/>
      <c r="G23" s="478"/>
      <c r="H23" s="478"/>
      <c r="I23" s="478"/>
      <c r="J23" s="478"/>
      <c r="K23" s="478"/>
      <c r="L23" s="478"/>
      <c r="M23" s="478"/>
      <c r="N23" s="478"/>
      <c r="O23" s="478"/>
      <c r="P23" s="479"/>
      <c r="Q23" s="477">
        <f t="shared" ca="1" si="17"/>
        <v>351.76356848535607</v>
      </c>
    </row>
    <row r="24" spans="1:17">
      <c r="A24" s="477" t="s">
        <v>112</v>
      </c>
      <c r="B24" s="478">
        <f t="shared" ca="1" si="2"/>
        <v>348.24234310324277</v>
      </c>
      <c r="C24" s="478">
        <f t="shared" ca="1" si="3"/>
        <v>1274.127731092437</v>
      </c>
      <c r="D24" s="478">
        <f t="shared" si="4"/>
        <v>0</v>
      </c>
      <c r="E24" s="478">
        <f t="shared" si="5"/>
        <v>12.762482632579687</v>
      </c>
      <c r="F24" s="478">
        <f t="shared" si="6"/>
        <v>2127.597556547455</v>
      </c>
      <c r="G24" s="478">
        <f t="shared" si="7"/>
        <v>0</v>
      </c>
      <c r="H24" s="478">
        <f t="shared" si="8"/>
        <v>0</v>
      </c>
      <c r="I24" s="478">
        <f t="shared" si="9"/>
        <v>0</v>
      </c>
      <c r="J24" s="478">
        <f t="shared" si="10"/>
        <v>98.100645776764424</v>
      </c>
      <c r="K24" s="478">
        <f t="shared" si="11"/>
        <v>0</v>
      </c>
      <c r="L24" s="478">
        <f t="shared" si="12"/>
        <v>0</v>
      </c>
      <c r="M24" s="478">
        <f t="shared" si="13"/>
        <v>0</v>
      </c>
      <c r="N24" s="478">
        <f t="shared" si="14"/>
        <v>0</v>
      </c>
      <c r="O24" s="478">
        <f t="shared" si="15"/>
        <v>0</v>
      </c>
      <c r="P24" s="479">
        <f t="shared" si="16"/>
        <v>0</v>
      </c>
      <c r="Q24" s="477">
        <f t="shared" ca="1" si="17"/>
        <v>3860.830759152479</v>
      </c>
    </row>
    <row r="25" spans="1:17">
      <c r="A25" s="477" t="s">
        <v>635</v>
      </c>
      <c r="B25" s="478">
        <f t="shared" ca="1" si="2"/>
        <v>16001.041364335832</v>
      </c>
      <c r="C25" s="478">
        <f t="shared" ca="1" si="3"/>
        <v>0</v>
      </c>
      <c r="D25" s="478">
        <f t="shared" si="4"/>
        <v>9431.0230506072712</v>
      </c>
      <c r="E25" s="478">
        <f t="shared" si="5"/>
        <v>1058.771105268547</v>
      </c>
      <c r="F25" s="478">
        <f t="shared" si="6"/>
        <v>4650.6108226135921</v>
      </c>
      <c r="G25" s="478">
        <f t="shared" si="7"/>
        <v>0</v>
      </c>
      <c r="H25" s="478">
        <f t="shared" si="8"/>
        <v>0</v>
      </c>
      <c r="I25" s="478">
        <f t="shared" si="9"/>
        <v>0</v>
      </c>
      <c r="J25" s="478">
        <f t="shared" si="10"/>
        <v>0.13397997228035194</v>
      </c>
      <c r="K25" s="478">
        <f t="shared" si="11"/>
        <v>0</v>
      </c>
      <c r="L25" s="478">
        <f t="shared" si="12"/>
        <v>0</v>
      </c>
      <c r="M25" s="478">
        <f t="shared" si="13"/>
        <v>0</v>
      </c>
      <c r="N25" s="478">
        <f t="shared" si="14"/>
        <v>0</v>
      </c>
      <c r="O25" s="478">
        <f t="shared" si="15"/>
        <v>0</v>
      </c>
      <c r="P25" s="479">
        <f t="shared" si="16"/>
        <v>0</v>
      </c>
      <c r="Q25" s="477">
        <f t="shared" ca="1" si="17"/>
        <v>31141.580322797523</v>
      </c>
    </row>
    <row r="26" spans="1:17" s="483" customFormat="1">
      <c r="A26" s="481" t="s">
        <v>561</v>
      </c>
      <c r="B26" s="835">
        <f t="shared" ca="1" si="2"/>
        <v>14.398919954034735</v>
      </c>
      <c r="C26" s="482"/>
      <c r="D26" s="482">
        <f t="shared" si="4"/>
        <v>61.94945928344265</v>
      </c>
      <c r="E26" s="482">
        <f t="shared" si="5"/>
        <v>95.828057870704143</v>
      </c>
      <c r="F26" s="482"/>
      <c r="G26" s="482">
        <f t="shared" si="7"/>
        <v>42429.525517892027</v>
      </c>
      <c r="H26" s="482">
        <f t="shared" si="8"/>
        <v>8631.4900464681778</v>
      </c>
      <c r="I26" s="482"/>
      <c r="J26" s="482"/>
      <c r="K26" s="482"/>
      <c r="L26" s="482"/>
      <c r="M26" s="482">
        <f t="shared" si="13"/>
        <v>0</v>
      </c>
      <c r="N26" s="482"/>
      <c r="O26" s="482"/>
      <c r="P26" s="493"/>
      <c r="Q26" s="481">
        <f t="shared" ca="1" si="17"/>
        <v>51233.192001468386</v>
      </c>
    </row>
    <row r="27" spans="1:17">
      <c r="A27" s="477" t="s">
        <v>551</v>
      </c>
      <c r="B27" s="478">
        <f t="shared" ca="1" si="2"/>
        <v>0</v>
      </c>
      <c r="C27" s="478"/>
      <c r="D27" s="482">
        <f t="shared" si="4"/>
        <v>0</v>
      </c>
      <c r="E27" s="478"/>
      <c r="F27" s="478"/>
      <c r="G27" s="478">
        <f t="shared" si="7"/>
        <v>169.51896192520891</v>
      </c>
      <c r="H27" s="478"/>
      <c r="I27" s="478"/>
      <c r="J27" s="478"/>
      <c r="K27" s="478"/>
      <c r="L27" s="478"/>
      <c r="M27" s="478">
        <f t="shared" si="13"/>
        <v>0</v>
      </c>
      <c r="N27" s="478"/>
      <c r="O27" s="478"/>
      <c r="P27" s="479"/>
      <c r="Q27" s="477">
        <f t="shared" ca="1" si="17"/>
        <v>169.51896192520891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30288.231697285242</v>
      </c>
      <c r="C31" s="488">
        <f t="shared" ca="1" si="18"/>
        <v>1274.127731092437</v>
      </c>
      <c r="D31" s="488">
        <f t="shared" ca="1" si="18"/>
        <v>43951.648694200179</v>
      </c>
      <c r="E31" s="488">
        <f t="shared" si="18"/>
        <v>2817.6072031282224</v>
      </c>
      <c r="F31" s="488">
        <f t="shared" ca="1" si="18"/>
        <v>8345.0594738221389</v>
      </c>
      <c r="G31" s="488">
        <f t="shared" si="18"/>
        <v>42599.044479817239</v>
      </c>
      <c r="H31" s="488">
        <f t="shared" si="18"/>
        <v>8631.4900464681778</v>
      </c>
      <c r="I31" s="488">
        <f t="shared" si="18"/>
        <v>0</v>
      </c>
      <c r="J31" s="488">
        <f t="shared" si="18"/>
        <v>98.256872791085854</v>
      </c>
      <c r="K31" s="488">
        <f t="shared" si="18"/>
        <v>0</v>
      </c>
      <c r="L31" s="488">
        <f t="shared" ca="1" si="18"/>
        <v>0</v>
      </c>
      <c r="M31" s="488">
        <f t="shared" si="18"/>
        <v>0</v>
      </c>
      <c r="N31" s="488">
        <f t="shared" ca="1" si="18"/>
        <v>0</v>
      </c>
      <c r="O31" s="488">
        <f t="shared" si="18"/>
        <v>0</v>
      </c>
      <c r="P31" s="489">
        <f t="shared" si="18"/>
        <v>0</v>
      </c>
      <c r="Q31" s="489">
        <f t="shared" ca="1" si="18"/>
        <v>138005.4661986047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0.18206102651304401</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0.18206102651304401</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0.18206102651304401</v>
      </c>
      <c r="C29" s="529">
        <f ca="1">'EF ele_warmte'!B22</f>
        <v>0.23764705882352941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12038</v>
      </c>
      <c r="C9" s="342">
        <v>12171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886.05</v>
      </c>
    </row>
    <row r="15" spans="1:6">
      <c r="A15" s="348" t="s">
        <v>184</v>
      </c>
      <c r="B15" s="334">
        <v>4</v>
      </c>
    </row>
    <row r="16" spans="1:6">
      <c r="A16" s="348" t="s">
        <v>6</v>
      </c>
      <c r="B16" s="334">
        <v>58</v>
      </c>
    </row>
    <row r="17" spans="1:6">
      <c r="A17" s="348" t="s">
        <v>7</v>
      </c>
      <c r="B17" s="334">
        <v>172</v>
      </c>
    </row>
    <row r="18" spans="1:6">
      <c r="A18" s="348" t="s">
        <v>8</v>
      </c>
      <c r="B18" s="334">
        <v>171</v>
      </c>
    </row>
    <row r="19" spans="1:6">
      <c r="A19" s="348" t="s">
        <v>9</v>
      </c>
      <c r="B19" s="334">
        <v>149</v>
      </c>
    </row>
    <row r="20" spans="1:6">
      <c r="A20" s="348" t="s">
        <v>10</v>
      </c>
      <c r="B20" s="334">
        <v>125</v>
      </c>
    </row>
    <row r="21" spans="1:6">
      <c r="A21" s="348" t="s">
        <v>11</v>
      </c>
      <c r="B21" s="334">
        <v>2966</v>
      </c>
    </row>
    <row r="22" spans="1:6">
      <c r="A22" s="348" t="s">
        <v>12</v>
      </c>
      <c r="B22" s="334">
        <v>16417</v>
      </c>
    </row>
    <row r="23" spans="1:6">
      <c r="A23" s="348" t="s">
        <v>13</v>
      </c>
      <c r="B23" s="334">
        <v>105</v>
      </c>
    </row>
    <row r="24" spans="1:6">
      <c r="A24" s="348" t="s">
        <v>14</v>
      </c>
      <c r="B24" s="334">
        <v>4</v>
      </c>
    </row>
    <row r="25" spans="1:6">
      <c r="A25" s="348" t="s">
        <v>15</v>
      </c>
      <c r="B25" s="334">
        <v>667</v>
      </c>
    </row>
    <row r="26" spans="1:6">
      <c r="A26" s="348" t="s">
        <v>16</v>
      </c>
      <c r="B26" s="334">
        <v>201</v>
      </c>
    </row>
    <row r="27" spans="1:6">
      <c r="A27" s="348" t="s">
        <v>17</v>
      </c>
      <c r="B27" s="334">
        <v>3</v>
      </c>
    </row>
    <row r="28" spans="1:6" s="356" customFormat="1">
      <c r="A28" s="355" t="s">
        <v>18</v>
      </c>
      <c r="B28" s="355">
        <v>48300</v>
      </c>
    </row>
    <row r="29" spans="1:6">
      <c r="A29" s="355" t="s">
        <v>744</v>
      </c>
      <c r="B29" s="355">
        <v>42</v>
      </c>
      <c r="C29" s="356"/>
      <c r="D29" s="356"/>
      <c r="E29" s="356"/>
      <c r="F29" s="356"/>
    </row>
    <row r="30" spans="1:6">
      <c r="A30" s="341" t="s">
        <v>745</v>
      </c>
      <c r="B30" s="341">
        <v>26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12</v>
      </c>
      <c r="F36" s="334">
        <v>148954</v>
      </c>
    </row>
    <row r="37" spans="1:6">
      <c r="A37" s="348" t="s">
        <v>25</v>
      </c>
      <c r="B37" s="348" t="s">
        <v>28</v>
      </c>
      <c r="C37" s="334">
        <v>0</v>
      </c>
      <c r="D37" s="334">
        <v>0</v>
      </c>
      <c r="E37" s="334">
        <v>0</v>
      </c>
      <c r="F37" s="334">
        <v>0</v>
      </c>
    </row>
    <row r="38" spans="1:6">
      <c r="A38" s="348" t="s">
        <v>25</v>
      </c>
      <c r="B38" s="348" t="s">
        <v>29</v>
      </c>
      <c r="C38" s="334">
        <v>1</v>
      </c>
      <c r="D38" s="334">
        <v>116945.191746842</v>
      </c>
      <c r="E38" s="334">
        <v>0</v>
      </c>
      <c r="F38" s="334">
        <v>0</v>
      </c>
    </row>
    <row r="39" spans="1:6">
      <c r="A39" s="348" t="s">
        <v>30</v>
      </c>
      <c r="B39" s="348" t="s">
        <v>31</v>
      </c>
      <c r="C39" s="334">
        <v>9431</v>
      </c>
      <c r="D39" s="334">
        <v>142860648.29685599</v>
      </c>
      <c r="E39" s="334">
        <v>11802</v>
      </c>
      <c r="F39" s="334">
        <v>36687438.100000098</v>
      </c>
    </row>
    <row r="40" spans="1:6">
      <c r="A40" s="348" t="s">
        <v>30</v>
      </c>
      <c r="B40" s="348" t="s">
        <v>29</v>
      </c>
      <c r="C40" s="334">
        <v>0</v>
      </c>
      <c r="D40" s="334">
        <v>0</v>
      </c>
      <c r="E40" s="334">
        <v>1</v>
      </c>
      <c r="F40" s="334">
        <v>10407</v>
      </c>
    </row>
    <row r="41" spans="1:6">
      <c r="A41" s="348" t="s">
        <v>32</v>
      </c>
      <c r="B41" s="348" t="s">
        <v>33</v>
      </c>
      <c r="C41" s="334">
        <v>221</v>
      </c>
      <c r="D41" s="334">
        <v>9057113.0802529603</v>
      </c>
      <c r="E41" s="334">
        <v>444</v>
      </c>
      <c r="F41" s="334">
        <v>14992151.915999999</v>
      </c>
    </row>
    <row r="42" spans="1:6">
      <c r="A42" s="348" t="s">
        <v>32</v>
      </c>
      <c r="B42" s="348" t="s">
        <v>34</v>
      </c>
      <c r="C42" s="334">
        <v>0</v>
      </c>
      <c r="D42" s="334">
        <v>0</v>
      </c>
      <c r="E42" s="334">
        <v>0</v>
      </c>
      <c r="F42" s="334">
        <v>0</v>
      </c>
    </row>
    <row r="43" spans="1:6">
      <c r="A43" s="348" t="s">
        <v>32</v>
      </c>
      <c r="B43" s="348" t="s">
        <v>35</v>
      </c>
      <c r="C43" s="334">
        <v>0</v>
      </c>
      <c r="D43" s="334">
        <v>0</v>
      </c>
      <c r="E43" s="334">
        <v>5</v>
      </c>
      <c r="F43" s="334">
        <v>216337.524</v>
      </c>
    </row>
    <row r="44" spans="1:6">
      <c r="A44" s="348" t="s">
        <v>32</v>
      </c>
      <c r="B44" s="348" t="s">
        <v>36</v>
      </c>
      <c r="C44" s="334">
        <v>19</v>
      </c>
      <c r="D44" s="334">
        <v>1092636.8916551999</v>
      </c>
      <c r="E44" s="334">
        <v>91</v>
      </c>
      <c r="F44" s="334">
        <v>16690542.448999999</v>
      </c>
    </row>
    <row r="45" spans="1:6">
      <c r="A45" s="348" t="s">
        <v>32</v>
      </c>
      <c r="B45" s="348" t="s">
        <v>37</v>
      </c>
      <c r="C45" s="334">
        <v>0</v>
      </c>
      <c r="D45" s="334">
        <v>0</v>
      </c>
      <c r="E45" s="334">
        <v>7</v>
      </c>
      <c r="F45" s="334">
        <v>185674.96</v>
      </c>
    </row>
    <row r="46" spans="1:6">
      <c r="A46" s="348" t="s">
        <v>32</v>
      </c>
      <c r="B46" s="348" t="s">
        <v>38</v>
      </c>
      <c r="C46" s="334">
        <v>0</v>
      </c>
      <c r="D46" s="334">
        <v>0</v>
      </c>
      <c r="E46" s="334">
        <v>0</v>
      </c>
      <c r="F46" s="334">
        <v>0</v>
      </c>
    </row>
    <row r="47" spans="1:6">
      <c r="A47" s="348" t="s">
        <v>32</v>
      </c>
      <c r="B47" s="348" t="s">
        <v>39</v>
      </c>
      <c r="C47" s="334">
        <v>7</v>
      </c>
      <c r="D47" s="334">
        <v>431254.53253480501</v>
      </c>
      <c r="E47" s="334">
        <v>11</v>
      </c>
      <c r="F47" s="334">
        <v>327519.25</v>
      </c>
    </row>
    <row r="48" spans="1:6">
      <c r="A48" s="348" t="s">
        <v>32</v>
      </c>
      <c r="B48" s="348" t="s">
        <v>29</v>
      </c>
      <c r="C48" s="334">
        <v>58</v>
      </c>
      <c r="D48" s="334">
        <v>32564259.899619602</v>
      </c>
      <c r="E48" s="334">
        <v>1</v>
      </c>
      <c r="F48" s="334">
        <v>6341</v>
      </c>
    </row>
    <row r="49" spans="1:6">
      <c r="A49" s="348" t="s">
        <v>32</v>
      </c>
      <c r="B49" s="348" t="s">
        <v>40</v>
      </c>
      <c r="C49" s="334">
        <v>3</v>
      </c>
      <c r="D49" s="334">
        <v>93908.485885378497</v>
      </c>
      <c r="E49" s="334">
        <v>20</v>
      </c>
      <c r="F49" s="334">
        <v>5494731.7110000001</v>
      </c>
    </row>
    <row r="50" spans="1:6">
      <c r="A50" s="348" t="s">
        <v>32</v>
      </c>
      <c r="B50" s="348" t="s">
        <v>41</v>
      </c>
      <c r="C50" s="334">
        <v>17</v>
      </c>
      <c r="D50" s="334">
        <v>8521617.4912032299</v>
      </c>
      <c r="E50" s="334">
        <v>45</v>
      </c>
      <c r="F50" s="334">
        <v>49975041</v>
      </c>
    </row>
    <row r="51" spans="1:6">
      <c r="A51" s="348" t="s">
        <v>42</v>
      </c>
      <c r="B51" s="348" t="s">
        <v>43</v>
      </c>
      <c r="C51" s="334">
        <v>17</v>
      </c>
      <c r="D51" s="334">
        <v>7927245.6789244702</v>
      </c>
      <c r="E51" s="334">
        <v>88</v>
      </c>
      <c r="F51" s="334">
        <v>1912778.0930000001</v>
      </c>
    </row>
    <row r="52" spans="1:6">
      <c r="A52" s="348" t="s">
        <v>42</v>
      </c>
      <c r="B52" s="348" t="s">
        <v>29</v>
      </c>
      <c r="C52" s="334">
        <v>4</v>
      </c>
      <c r="D52" s="334">
        <v>232891.42208032301</v>
      </c>
      <c r="E52" s="334">
        <v>0</v>
      </c>
      <c r="F52" s="334">
        <v>0</v>
      </c>
    </row>
    <row r="53" spans="1:6">
      <c r="A53" s="348" t="s">
        <v>44</v>
      </c>
      <c r="B53" s="348" t="s">
        <v>45</v>
      </c>
      <c r="C53" s="334">
        <v>201</v>
      </c>
      <c r="D53" s="334">
        <v>3720211.2650787602</v>
      </c>
      <c r="E53" s="334">
        <v>233</v>
      </c>
      <c r="F53" s="334">
        <v>1217356.504</v>
      </c>
    </row>
    <row r="54" spans="1:6">
      <c r="A54" s="348" t="s">
        <v>46</v>
      </c>
      <c r="B54" s="348" t="s">
        <v>47</v>
      </c>
      <c r="C54" s="334">
        <v>0</v>
      </c>
      <c r="D54" s="334">
        <v>0</v>
      </c>
      <c r="E54" s="334">
        <v>1</v>
      </c>
      <c r="F54" s="334">
        <v>1932119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107</v>
      </c>
      <c r="D57" s="334">
        <v>5449009.7486013696</v>
      </c>
      <c r="E57" s="334">
        <v>178</v>
      </c>
      <c r="F57" s="334">
        <v>2895260.2779999999</v>
      </c>
    </row>
    <row r="58" spans="1:6">
      <c r="A58" s="348" t="s">
        <v>49</v>
      </c>
      <c r="B58" s="348" t="s">
        <v>51</v>
      </c>
      <c r="C58" s="334">
        <v>102</v>
      </c>
      <c r="D58" s="334">
        <v>12114285.2381637</v>
      </c>
      <c r="E58" s="334">
        <v>117</v>
      </c>
      <c r="F58" s="334">
        <v>5307822.6459999997</v>
      </c>
    </row>
    <row r="59" spans="1:6">
      <c r="A59" s="348" t="s">
        <v>49</v>
      </c>
      <c r="B59" s="348" t="s">
        <v>52</v>
      </c>
      <c r="C59" s="334">
        <v>230</v>
      </c>
      <c r="D59" s="334">
        <v>8737084.2424993794</v>
      </c>
      <c r="E59" s="334">
        <v>474</v>
      </c>
      <c r="F59" s="334">
        <v>15831566.984999999</v>
      </c>
    </row>
    <row r="60" spans="1:6">
      <c r="A60" s="348" t="s">
        <v>49</v>
      </c>
      <c r="B60" s="348" t="s">
        <v>53</v>
      </c>
      <c r="C60" s="334">
        <v>97</v>
      </c>
      <c r="D60" s="334">
        <v>4297580.7802553996</v>
      </c>
      <c r="E60" s="334">
        <v>124</v>
      </c>
      <c r="F60" s="334">
        <v>2954213.0649999999</v>
      </c>
    </row>
    <row r="61" spans="1:6">
      <c r="A61" s="348" t="s">
        <v>49</v>
      </c>
      <c r="B61" s="348" t="s">
        <v>54</v>
      </c>
      <c r="C61" s="334">
        <v>209</v>
      </c>
      <c r="D61" s="334">
        <v>6214935.2467242302</v>
      </c>
      <c r="E61" s="334">
        <v>436</v>
      </c>
      <c r="F61" s="334">
        <v>4729735.7309999997</v>
      </c>
    </row>
    <row r="62" spans="1:6">
      <c r="A62" s="348" t="s">
        <v>49</v>
      </c>
      <c r="B62" s="348" t="s">
        <v>55</v>
      </c>
      <c r="C62" s="334">
        <v>26</v>
      </c>
      <c r="D62" s="334">
        <v>4926341.7729856903</v>
      </c>
      <c r="E62" s="334">
        <v>29</v>
      </c>
      <c r="F62" s="334">
        <v>1073909.5549999999</v>
      </c>
    </row>
    <row r="63" spans="1:6">
      <c r="A63" s="348" t="s">
        <v>49</v>
      </c>
      <c r="B63" s="348" t="s">
        <v>29</v>
      </c>
      <c r="C63" s="334">
        <v>106</v>
      </c>
      <c r="D63" s="334">
        <v>4521518.0696106404</v>
      </c>
      <c r="E63" s="334">
        <v>0</v>
      </c>
      <c r="F63" s="334">
        <v>0</v>
      </c>
    </row>
    <row r="64" spans="1:6">
      <c r="A64" s="348" t="s">
        <v>56</v>
      </c>
      <c r="B64" s="348" t="s">
        <v>57</v>
      </c>
      <c r="C64" s="334">
        <v>0</v>
      </c>
      <c r="D64" s="334">
        <v>0</v>
      </c>
      <c r="E64" s="334">
        <v>0</v>
      </c>
      <c r="F64" s="334">
        <v>0</v>
      </c>
    </row>
    <row r="65" spans="1:6">
      <c r="A65" s="348" t="s">
        <v>56</v>
      </c>
      <c r="B65" s="348" t="s">
        <v>29</v>
      </c>
      <c r="C65" s="334">
        <v>5</v>
      </c>
      <c r="D65" s="334">
        <v>263933.99805680697</v>
      </c>
      <c r="E65" s="334">
        <v>0</v>
      </c>
      <c r="F65" s="334">
        <v>0</v>
      </c>
    </row>
    <row r="66" spans="1:6">
      <c r="A66" s="348" t="s">
        <v>56</v>
      </c>
      <c r="B66" s="348" t="s">
        <v>58</v>
      </c>
      <c r="C66" s="334">
        <v>0</v>
      </c>
      <c r="D66" s="334">
        <v>0</v>
      </c>
      <c r="E66" s="334">
        <v>11</v>
      </c>
      <c r="F66" s="334">
        <v>533455.98699999996</v>
      </c>
    </row>
    <row r="67" spans="1:6">
      <c r="A67" s="355" t="s">
        <v>56</v>
      </c>
      <c r="B67" s="355" t="s">
        <v>59</v>
      </c>
      <c r="C67" s="334">
        <v>17</v>
      </c>
      <c r="D67" s="334">
        <v>2852358.0509476601</v>
      </c>
      <c r="E67" s="334">
        <v>101</v>
      </c>
      <c r="F67" s="334">
        <v>1753364</v>
      </c>
    </row>
    <row r="68" spans="1:6">
      <c r="A68" s="341" t="s">
        <v>56</v>
      </c>
      <c r="B68" s="341" t="s">
        <v>60</v>
      </c>
      <c r="C68" s="334">
        <v>9</v>
      </c>
      <c r="D68" s="334">
        <v>898018.59969764599</v>
      </c>
      <c r="E68" s="334">
        <v>30</v>
      </c>
      <c r="F68" s="334">
        <v>657203.69200000004</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82993497</v>
      </c>
      <c r="E73" s="476">
        <v>47826191.951063886</v>
      </c>
    </row>
    <row r="74" spans="1:6">
      <c r="A74" s="348" t="s">
        <v>64</v>
      </c>
      <c r="B74" s="348" t="s">
        <v>657</v>
      </c>
      <c r="C74" s="1272" t="s">
        <v>659</v>
      </c>
      <c r="D74" s="476">
        <v>8241131.9273948679</v>
      </c>
      <c r="E74" s="476">
        <v>6593472.5585257467</v>
      </c>
    </row>
    <row r="75" spans="1:6">
      <c r="A75" s="348" t="s">
        <v>65</v>
      </c>
      <c r="B75" s="348" t="s">
        <v>656</v>
      </c>
      <c r="C75" s="1272" t="s">
        <v>660</v>
      </c>
      <c r="D75" s="476">
        <v>72995881</v>
      </c>
      <c r="E75" s="476">
        <v>43244483.073238611</v>
      </c>
    </row>
    <row r="76" spans="1:6">
      <c r="A76" s="348" t="s">
        <v>65</v>
      </c>
      <c r="B76" s="348" t="s">
        <v>657</v>
      </c>
      <c r="C76" s="1272" t="s">
        <v>661</v>
      </c>
      <c r="D76" s="476">
        <v>4696808.9273948679</v>
      </c>
      <c r="E76" s="476">
        <v>3803606.0859741108</v>
      </c>
    </row>
    <row r="77" spans="1:6">
      <c r="A77" s="348" t="s">
        <v>66</v>
      </c>
      <c r="B77" s="348" t="s">
        <v>656</v>
      </c>
      <c r="C77" s="1272" t="s">
        <v>662</v>
      </c>
      <c r="D77" s="476">
        <v>45047123</v>
      </c>
      <c r="E77" s="476">
        <v>47373994.179091685</v>
      </c>
    </row>
    <row r="78" spans="1:6">
      <c r="A78" s="341" t="s">
        <v>66</v>
      </c>
      <c r="B78" s="341" t="s">
        <v>657</v>
      </c>
      <c r="C78" s="341" t="s">
        <v>663</v>
      </c>
      <c r="D78" s="1273">
        <v>7506605</v>
      </c>
      <c r="E78" s="1273">
        <v>7890059.5638286248</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181976.14521026489</v>
      </c>
      <c r="C83" s="476">
        <v>181823.84362397899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21701.65468675677</v>
      </c>
    </row>
    <row r="91" spans="1:6">
      <c r="A91" s="348" t="s">
        <v>68</v>
      </c>
      <c r="B91" s="334">
        <v>5060.3935041802897</v>
      </c>
    </row>
    <row r="92" spans="1:6">
      <c r="A92" s="341" t="s">
        <v>69</v>
      </c>
      <c r="B92" s="342">
        <v>2832.9005379714613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6493</v>
      </c>
    </row>
    <row r="98" spans="1:6">
      <c r="A98" s="348" t="s">
        <v>72</v>
      </c>
      <c r="B98" s="334">
        <v>1</v>
      </c>
    </row>
    <row r="99" spans="1:6">
      <c r="A99" s="348" t="s">
        <v>73</v>
      </c>
      <c r="B99" s="334">
        <v>111</v>
      </c>
    </row>
    <row r="100" spans="1:6">
      <c r="A100" s="348" t="s">
        <v>74</v>
      </c>
      <c r="B100" s="334">
        <v>642</v>
      </c>
    </row>
    <row r="101" spans="1:6">
      <c r="A101" s="348" t="s">
        <v>75</v>
      </c>
      <c r="B101" s="334">
        <v>159</v>
      </c>
    </row>
    <row r="102" spans="1:6">
      <c r="A102" s="348" t="s">
        <v>76</v>
      </c>
      <c r="B102" s="334">
        <v>177</v>
      </c>
    </row>
    <row r="103" spans="1:6">
      <c r="A103" s="348" t="s">
        <v>77</v>
      </c>
      <c r="B103" s="334">
        <v>221</v>
      </c>
    </row>
    <row r="104" spans="1:6">
      <c r="A104" s="348" t="s">
        <v>78</v>
      </c>
      <c r="B104" s="334">
        <v>2623</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18</v>
      </c>
      <c r="C123" s="334">
        <v>50</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322</v>
      </c>
    </row>
    <row r="130" spans="1:6">
      <c r="A130" s="348" t="s">
        <v>295</v>
      </c>
      <c r="B130" s="334">
        <v>3</v>
      </c>
    </row>
    <row r="131" spans="1:6">
      <c r="A131" s="348" t="s">
        <v>296</v>
      </c>
      <c r="B131" s="334">
        <v>3</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166363.07219280236</v>
      </c>
      <c r="C3" s="43" t="s">
        <v>170</v>
      </c>
      <c r="D3" s="43"/>
      <c r="E3" s="154"/>
      <c r="F3" s="43"/>
      <c r="G3" s="43"/>
      <c r="H3" s="43"/>
      <c r="I3" s="43"/>
      <c r="J3" s="43"/>
      <c r="K3" s="96"/>
    </row>
    <row r="4" spans="1:11">
      <c r="A4" s="383" t="s">
        <v>171</v>
      </c>
      <c r="B4" s="49">
        <f>IF(ISERROR('SEAP template'!B69),0,'SEAP template'!B69)</f>
        <v>33347.948728908523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891.88941176470587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0.18206102651304401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1274.127731092437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5361.4285714285716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1932.1189999999999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1932.1189999999999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0.18206102651304401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351.76356848535607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36697.845100000101</v>
      </c>
      <c r="C5" s="17">
        <f>IF(ISERROR('Eigen informatie GS &amp; warmtenet'!B57),0,'Eigen informatie GS &amp; warmtenet'!B57)</f>
        <v>0</v>
      </c>
      <c r="D5" s="30">
        <f>(SUM(HH_hh_gas_kWh,HH_rest_gas_kWh)/1000)*0.902</f>
        <v>128860.30476376408</v>
      </c>
      <c r="E5" s="17">
        <f>B46*B57</f>
        <v>6633.2748173368373</v>
      </c>
      <c r="F5" s="17">
        <f>B51*B62</f>
        <v>0</v>
      </c>
      <c r="G5" s="18"/>
      <c r="H5" s="17"/>
      <c r="I5" s="17"/>
      <c r="J5" s="17">
        <f>B50*B61+C50*C61</f>
        <v>0</v>
      </c>
      <c r="K5" s="17"/>
      <c r="L5" s="17"/>
      <c r="M5" s="17"/>
      <c r="N5" s="17">
        <f>B48*B59+C48*C59</f>
        <v>32381.339065127027</v>
      </c>
      <c r="O5" s="17">
        <f>B69*B70*B71</f>
        <v>586.25</v>
      </c>
      <c r="P5" s="17">
        <f>B77*B78*B79/1000-B77*B78*B79/1000/B80</f>
        <v>629.20000000000005</v>
      </c>
    </row>
    <row r="6" spans="1:16">
      <c r="A6" s="16" t="s">
        <v>621</v>
      </c>
      <c r="B6" s="843">
        <f>kWh_PV_kleiner_dan_10kW</f>
        <v>5060.3935041802897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41758.238604180391</v>
      </c>
      <c r="C8" s="21">
        <f>C5</f>
        <v>0</v>
      </c>
      <c r="D8" s="21">
        <f>D5</f>
        <v>128860.30476376408</v>
      </c>
      <c r="E8" s="21">
        <f>E5</f>
        <v>6633.2748173368373</v>
      </c>
      <c r="F8" s="21">
        <f>F5</f>
        <v>0</v>
      </c>
      <c r="G8" s="21"/>
      <c r="H8" s="21"/>
      <c r="I8" s="21"/>
      <c r="J8" s="21">
        <f>J5</f>
        <v>0</v>
      </c>
      <c r="K8" s="21"/>
      <c r="L8" s="21">
        <f>L5</f>
        <v>0</v>
      </c>
      <c r="M8" s="21">
        <f>M5</f>
        <v>0</v>
      </c>
      <c r="N8" s="21">
        <f>N5</f>
        <v>32381.339065127027</v>
      </c>
      <c r="O8" s="21">
        <f>O5</f>
        <v>586.25</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0.18206102651304401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7602.5477856537045</v>
      </c>
      <c r="C12" s="23">
        <f ca="1">C10*C8</f>
        <v>0</v>
      </c>
      <c r="D12" s="23">
        <f>D8*D10</f>
        <v>26029.781562280346</v>
      </c>
      <c r="E12" s="23">
        <f>E10*E8</f>
        <v>1505.753383535462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6493</v>
      </c>
      <c r="C18" s="166" t="s">
        <v>111</v>
      </c>
      <c r="D18" s="228"/>
      <c r="E18" s="15"/>
    </row>
    <row r="19" spans="1:7">
      <c r="A19" s="171" t="s">
        <v>72</v>
      </c>
      <c r="B19" s="37">
        <f>aantalw2001_ander</f>
        <v>1</v>
      </c>
      <c r="C19" s="166" t="s">
        <v>111</v>
      </c>
      <c r="D19" s="229"/>
      <c r="E19" s="15"/>
    </row>
    <row r="20" spans="1:7">
      <c r="A20" s="171" t="s">
        <v>73</v>
      </c>
      <c r="B20" s="37">
        <f>aantalw2001_propaan</f>
        <v>111</v>
      </c>
      <c r="C20" s="167">
        <f>IF(ISERROR(B20/SUM($B$20,$B$21,$B$22)*100),0,B20/SUM($B$20,$B$21,$B$22)*100)</f>
        <v>12.171052631578947</v>
      </c>
      <c r="D20" s="229"/>
      <c r="E20" s="15"/>
    </row>
    <row r="21" spans="1:7">
      <c r="A21" s="171" t="s">
        <v>74</v>
      </c>
      <c r="B21" s="37">
        <f>aantalw2001_elektriciteit</f>
        <v>642</v>
      </c>
      <c r="C21" s="167">
        <f>IF(ISERROR(B21/SUM($B$20,$B$21,$B$22)*100),0,B21/SUM($B$20,$B$21,$B$22)*100)</f>
        <v>70.39473684210526</v>
      </c>
      <c r="D21" s="229"/>
      <c r="E21" s="15"/>
    </row>
    <row r="22" spans="1:7">
      <c r="A22" s="171" t="s">
        <v>75</v>
      </c>
      <c r="B22" s="37">
        <f>aantalw2001_hout</f>
        <v>159</v>
      </c>
      <c r="C22" s="167">
        <f>IF(ISERROR(B22/SUM($B$20,$B$21,$B$22)*100),0,B22/SUM($B$20,$B$21,$B$22)*100)</f>
        <v>17.434210526315788</v>
      </c>
      <c r="D22" s="229"/>
      <c r="E22" s="15"/>
    </row>
    <row r="23" spans="1:7">
      <c r="A23" s="171" t="s">
        <v>76</v>
      </c>
      <c r="B23" s="37">
        <f>aantalw2001_niet_gespec</f>
        <v>177</v>
      </c>
      <c r="C23" s="166" t="s">
        <v>111</v>
      </c>
      <c r="D23" s="228"/>
      <c r="E23" s="15"/>
    </row>
    <row r="24" spans="1:7">
      <c r="A24" s="171" t="s">
        <v>77</v>
      </c>
      <c r="B24" s="37">
        <f>aantalw2001_steenkool</f>
        <v>221</v>
      </c>
      <c r="C24" s="166" t="s">
        <v>111</v>
      </c>
      <c r="D24" s="229"/>
      <c r="E24" s="15"/>
    </row>
    <row r="25" spans="1:7">
      <c r="A25" s="171" t="s">
        <v>78</v>
      </c>
      <c r="B25" s="37">
        <f>aantalw2001_stookolie</f>
        <v>2623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12038</v>
      </c>
      <c r="C28" s="36"/>
      <c r="D28" s="228"/>
    </row>
    <row r="29" spans="1:7" s="15" customFormat="1">
      <c r="A29" s="230" t="s">
        <v>795</v>
      </c>
      <c r="B29" s="37">
        <f>SUM(HH_hh_gas_aantal,HH_rest_gas_aantal)</f>
        <v>9431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9431</v>
      </c>
      <c r="C32" s="167">
        <f>IF(ISERROR(B32/SUM($B$32,$B$34,$B$35,$B$36,$B$38,$B$39)*100),0,B32/SUM($B$32,$B$34,$B$35,$B$36,$B$38,$B$39)*100)</f>
        <v>78.558933777592671</v>
      </c>
      <c r="D32" s="233"/>
      <c r="G32" s="15"/>
    </row>
    <row r="33" spans="1:7">
      <c r="A33" s="171" t="s">
        <v>72</v>
      </c>
      <c r="B33" s="34" t="s">
        <v>111</v>
      </c>
      <c r="C33" s="167"/>
      <c r="D33" s="233"/>
      <c r="G33" s="15"/>
    </row>
    <row r="34" spans="1:7">
      <c r="A34" s="171" t="s">
        <v>73</v>
      </c>
      <c r="B34" s="33">
        <f>IF((($B$28-$B$32-$B$39-$B$77-$B$38)*C20/100)&lt;0,0,($B$28-$B$32-$B$39-$B$77-$B$38)*C20/100)</f>
        <v>313.28289473684208</v>
      </c>
      <c r="C34" s="167">
        <f>IF(ISERROR(B34/SUM($B$32,$B$34,$B$35,$B$36,$B$38,$B$39)*100),0,B34/SUM($B$32,$B$34,$B$35,$B$36,$B$38,$B$39)*100)</f>
        <v>2.6096034547008919</v>
      </c>
      <c r="D34" s="233"/>
      <c r="G34" s="15"/>
    </row>
    <row r="35" spans="1:7">
      <c r="A35" s="171" t="s">
        <v>74</v>
      </c>
      <c r="B35" s="33">
        <f>IF((($B$28-$B$32-$B$39-$B$77-$B$38)*C21/100)&lt;0,0,($B$28-$B$32-$B$39-$B$77-$B$38)*C21/100)</f>
        <v>1811.9605263157894</v>
      </c>
      <c r="C35" s="167">
        <f>IF(ISERROR(B35/SUM($B$32,$B$34,$B$35,$B$36,$B$38,$B$39)*100),0,B35/SUM($B$32,$B$34,$B$35,$B$36,$B$38,$B$39)*100)</f>
        <v>15.09338214340516</v>
      </c>
      <c r="D35" s="233"/>
      <c r="G35" s="15"/>
    </row>
    <row r="36" spans="1:7">
      <c r="A36" s="171" t="s">
        <v>75</v>
      </c>
      <c r="B36" s="33">
        <f>IF((($B$28-$B$32-$B$39-$B$77-$B$38)*C22/100)&lt;0,0,($B$28-$B$32-$B$39-$B$77-$B$38)*C22/100)</f>
        <v>448.75657894736838</v>
      </c>
      <c r="C36" s="167">
        <f>IF(ISERROR(B36/SUM($B$32,$B$34,$B$35,$B$36,$B$38,$B$39)*100),0,B36/SUM($B$32,$B$34,$B$35,$B$36,$B$38,$B$39)*100)</f>
        <v>3.7380806243012779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9431</v>
      </c>
      <c r="C44" s="34" t="s">
        <v>111</v>
      </c>
      <c r="D44" s="174"/>
    </row>
    <row r="45" spans="1:7">
      <c r="A45" s="171" t="s">
        <v>72</v>
      </c>
      <c r="B45" s="33" t="str">
        <f t="shared" si="0"/>
        <v>-</v>
      </c>
      <c r="C45" s="34" t="s">
        <v>111</v>
      </c>
      <c r="D45" s="174"/>
    </row>
    <row r="46" spans="1:7">
      <c r="A46" s="171" t="s">
        <v>73</v>
      </c>
      <c r="B46" s="33">
        <f t="shared" si="0"/>
        <v>313.28289473684208</v>
      </c>
      <c r="C46" s="34" t="s">
        <v>111</v>
      </c>
      <c r="D46" s="174"/>
    </row>
    <row r="47" spans="1:7">
      <c r="A47" s="171" t="s">
        <v>74</v>
      </c>
      <c r="B47" s="33">
        <f t="shared" si="0"/>
        <v>1811.9605263157894</v>
      </c>
      <c r="C47" s="34" t="s">
        <v>111</v>
      </c>
      <c r="D47" s="174"/>
    </row>
    <row r="48" spans="1:7">
      <c r="A48" s="171" t="s">
        <v>75</v>
      </c>
      <c r="B48" s="33">
        <f t="shared" si="0"/>
        <v>448.75657894736838</v>
      </c>
      <c r="C48" s="33">
        <f>B48*10</f>
        <v>4487.5657894736842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375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32792.508259999995</v>
      </c>
      <c r="C5" s="17">
        <f>IF(ISERROR('Eigen informatie GS &amp; warmtenet'!B58),0,'Eigen informatie GS &amp; warmtenet'!B58)</f>
        <v>0</v>
      </c>
      <c r="D5" s="30">
        <f>SUM(D6:D12)</f>
        <v>41727.201099154052</v>
      </c>
      <c r="E5" s="17">
        <f>SUM(E6:E12)</f>
        <v>636.52940009220151</v>
      </c>
      <c r="F5" s="17">
        <f>SUM(F6:F12)</f>
        <v>5868.3561597793705</v>
      </c>
      <c r="G5" s="18"/>
      <c r="H5" s="17"/>
      <c r="I5" s="17"/>
      <c r="J5" s="17">
        <f>SUM(J6:J12)</f>
        <v>6.2844751528461334E-2</v>
      </c>
      <c r="K5" s="17"/>
      <c r="L5" s="17"/>
      <c r="M5" s="17"/>
      <c r="N5" s="17">
        <f>SUM(N6:N12)</f>
        <v>2571.0110830778735</v>
      </c>
      <c r="O5" s="17">
        <f>B38*B39*B40</f>
        <v>4.6900000000000004</v>
      </c>
      <c r="P5" s="17">
        <f>B46*B47*B48/1000-B46*B47*B48/1000/B49</f>
        <v>76.266666666666666</v>
      </c>
      <c r="R5" s="32"/>
    </row>
    <row r="6" spans="1:18">
      <c r="A6" s="32" t="s">
        <v>54</v>
      </c>
      <c r="B6" s="37">
        <f>B26</f>
        <v>4729.7357309999998</v>
      </c>
      <c r="C6" s="33"/>
      <c r="D6" s="37">
        <f>IF(ISERROR(TER_kantoor_gas_kWh/1000),0,TER_kantoor_gas_kWh/1000)*0.902</f>
        <v>5605.8715925452561</v>
      </c>
      <c r="E6" s="33">
        <f>$C$26*'E Balans VL '!I12/100/3.6*1000000</f>
        <v>2.9644410476448464E-2</v>
      </c>
      <c r="F6" s="33">
        <f>$C$26*('E Balans VL '!L12+'E Balans VL '!N12)/100/3.6*1000000</f>
        <v>710.74711894824361</v>
      </c>
      <c r="G6" s="34"/>
      <c r="H6" s="33"/>
      <c r="I6" s="33"/>
      <c r="J6" s="33">
        <f>$C$26*('E Balans VL '!D12+'E Balans VL '!E12)/100/3.6*1000000</f>
        <v>0</v>
      </c>
      <c r="K6" s="33"/>
      <c r="L6" s="33"/>
      <c r="M6" s="33"/>
      <c r="N6" s="33">
        <f>$C$26*'E Balans VL '!Y12/100/3.6*1000000</f>
        <v>4.523290966420153</v>
      </c>
      <c r="O6" s="33"/>
      <c r="P6" s="33"/>
      <c r="R6" s="32"/>
    </row>
    <row r="7" spans="1:18">
      <c r="A7" s="32" t="s">
        <v>53</v>
      </c>
      <c r="B7" s="37">
        <f t="shared" ref="B7:B12" si="0">B27</f>
        <v>2954.2130649999999</v>
      </c>
      <c r="C7" s="33"/>
      <c r="D7" s="37">
        <f>IF(ISERROR(TER_horeca_gas_kWh/1000),0,TER_horeca_gas_kWh/1000)*0.902</f>
        <v>3876.417863790371</v>
      </c>
      <c r="E7" s="33">
        <f>$C$27*'E Balans VL '!I9/100/3.6*1000000</f>
        <v>42.303839012840115</v>
      </c>
      <c r="F7" s="33">
        <f>$C$27*('E Balans VL '!L9+'E Balans VL '!N9)/100/3.6*1000000</f>
        <v>374.10080772960123</v>
      </c>
      <c r="G7" s="34"/>
      <c r="H7" s="33"/>
      <c r="I7" s="33"/>
      <c r="J7" s="33">
        <f>$C$27*('E Balans VL '!D9+'E Balans VL '!E9)/100/3.6*1000000</f>
        <v>0</v>
      </c>
      <c r="K7" s="33"/>
      <c r="L7" s="33"/>
      <c r="M7" s="33"/>
      <c r="N7" s="33">
        <f>$C$27*'E Balans VL '!Y9/100/3.6*1000000</f>
        <v>0.84927112138056671</v>
      </c>
      <c r="O7" s="33"/>
      <c r="P7" s="33"/>
      <c r="R7" s="32"/>
    </row>
    <row r="8" spans="1:18">
      <c r="A8" s="6" t="s">
        <v>52</v>
      </c>
      <c r="B8" s="37">
        <f t="shared" si="0"/>
        <v>15831.566984999999</v>
      </c>
      <c r="C8" s="33"/>
      <c r="D8" s="37">
        <f>IF(ISERROR(TER_handel_gas_kWh/1000),0,TER_handel_gas_kWh/1000)*0.902</f>
        <v>7880.8499867344399</v>
      </c>
      <c r="E8" s="33">
        <f>$C$28*'E Balans VL '!I13/100/3.6*1000000</f>
        <v>574.20898228457372</v>
      </c>
      <c r="F8" s="33">
        <f>$C$28*('E Balans VL '!L13+'E Balans VL '!N13)/100/3.6*1000000</f>
        <v>3049.3201061185837</v>
      </c>
      <c r="G8" s="34"/>
      <c r="H8" s="33"/>
      <c r="I8" s="33"/>
      <c r="J8" s="33">
        <f>$C$28*('E Balans VL '!D13+'E Balans VL '!E13)/100/3.6*1000000</f>
        <v>0</v>
      </c>
      <c r="K8" s="33"/>
      <c r="L8" s="33"/>
      <c r="M8" s="33"/>
      <c r="N8" s="33">
        <f>$C$28*'E Balans VL '!Y13/100/3.6*1000000</f>
        <v>21.930362955329539</v>
      </c>
      <c r="O8" s="33"/>
      <c r="P8" s="33"/>
      <c r="R8" s="32"/>
    </row>
    <row r="9" spans="1:18">
      <c r="A9" s="32" t="s">
        <v>51</v>
      </c>
      <c r="B9" s="37">
        <f t="shared" si="0"/>
        <v>5307.8226459999996</v>
      </c>
      <c r="C9" s="33"/>
      <c r="D9" s="37">
        <f>IF(ISERROR(TER_gezond_gas_kWh/1000),0,TER_gezond_gas_kWh/1000)*0.902</f>
        <v>10927.085284823657</v>
      </c>
      <c r="E9" s="33">
        <f>$C$29*'E Balans VL '!I10/100/3.6*1000000</f>
        <v>0.33232210292066777</v>
      </c>
      <c r="F9" s="33">
        <f>$C$29*('E Balans VL '!L10+'E Balans VL '!N10)/100/3.6*1000000</f>
        <v>788.49321484418556</v>
      </c>
      <c r="G9" s="34"/>
      <c r="H9" s="33"/>
      <c r="I9" s="33"/>
      <c r="J9" s="33">
        <f>$C$29*('E Balans VL '!D10+'E Balans VL '!E10)/100/3.6*1000000</f>
        <v>0</v>
      </c>
      <c r="K9" s="33"/>
      <c r="L9" s="33"/>
      <c r="M9" s="33"/>
      <c r="N9" s="33">
        <f>$C$29*'E Balans VL '!Y10/100/3.6*1000000</f>
        <v>82.101912849433717</v>
      </c>
      <c r="O9" s="33"/>
      <c r="P9" s="33"/>
      <c r="R9" s="32"/>
    </row>
    <row r="10" spans="1:18">
      <c r="A10" s="32" t="s">
        <v>50</v>
      </c>
      <c r="B10" s="37">
        <f t="shared" si="0"/>
        <v>2895.2602779999997</v>
      </c>
      <c r="C10" s="33"/>
      <c r="D10" s="37">
        <f>IF(ISERROR(TER_ander_gas_kWh/1000),0,TER_ander_gas_kWh/1000)*0.902</f>
        <v>4915.0067932384354</v>
      </c>
      <c r="E10" s="33">
        <f>$C$30*'E Balans VL '!I14/100/3.6*1000000</f>
        <v>3.451046792255184</v>
      </c>
      <c r="F10" s="33">
        <f>$C$30*('E Balans VL '!L14+'E Balans VL '!N14)/100/3.6*1000000</f>
        <v>757.52880188722361</v>
      </c>
      <c r="G10" s="34"/>
      <c r="H10" s="33"/>
      <c r="I10" s="33"/>
      <c r="J10" s="33">
        <f>$C$30*('E Balans VL '!D14+'E Balans VL '!E14)/100/3.6*1000000</f>
        <v>6.2844751528461334E-2</v>
      </c>
      <c r="K10" s="33"/>
      <c r="L10" s="33"/>
      <c r="M10" s="33"/>
      <c r="N10" s="33">
        <f>$C$30*'E Balans VL '!Y14/100/3.6*1000000</f>
        <v>2458.5841820558262</v>
      </c>
      <c r="O10" s="33"/>
      <c r="P10" s="33"/>
      <c r="R10" s="32"/>
    </row>
    <row r="11" spans="1:18">
      <c r="A11" s="32" t="s">
        <v>55</v>
      </c>
      <c r="B11" s="37">
        <f t="shared" si="0"/>
        <v>1073.909555</v>
      </c>
      <c r="C11" s="33"/>
      <c r="D11" s="37">
        <f>IF(ISERROR(TER_onderwijs_gas_kWh/1000),0,TER_onderwijs_gas_kWh/1000)*0.902</f>
        <v>4443.5602792330928</v>
      </c>
      <c r="E11" s="33">
        <f>$C$31*'E Balans VL '!I11/100/3.6*1000000</f>
        <v>16.203565489135428</v>
      </c>
      <c r="F11" s="33">
        <f>$C$31*('E Balans VL '!L11+'E Balans VL '!N11)/100/3.6*1000000</f>
        <v>188.16611025153281</v>
      </c>
      <c r="G11" s="34"/>
      <c r="H11" s="33"/>
      <c r="I11" s="33"/>
      <c r="J11" s="33">
        <f>$C$31*('E Balans VL '!D11+'E Balans VL '!E11)/100/3.6*1000000</f>
        <v>0</v>
      </c>
      <c r="K11" s="33"/>
      <c r="L11" s="33"/>
      <c r="M11" s="33"/>
      <c r="N11" s="33">
        <f>$C$31*'E Balans VL '!Y11/100/3.6*1000000</f>
        <v>3.0220631294834406</v>
      </c>
      <c r="O11" s="33"/>
      <c r="P11" s="33"/>
      <c r="R11" s="32"/>
    </row>
    <row r="12" spans="1:18">
      <c r="A12" s="32" t="s">
        <v>260</v>
      </c>
      <c r="B12" s="37">
        <f t="shared" si="0"/>
        <v>0</v>
      </c>
      <c r="C12" s="33"/>
      <c r="D12" s="37">
        <f>IF(ISERROR(TER_rest_gas_kWh/1000),0,TER_rest_gas_kWh/1000)*0.902</f>
        <v>4078.409298788798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32792.508259999995</v>
      </c>
      <c r="C16" s="21">
        <f t="shared" ca="1" si="1"/>
        <v>0</v>
      </c>
      <c r="D16" s="21">
        <f t="shared" ca="1" si="1"/>
        <v>41727.201099154052</v>
      </c>
      <c r="E16" s="21">
        <f t="shared" si="1"/>
        <v>636.52940009220151</v>
      </c>
      <c r="F16" s="21">
        <f t="shared" ca="1" si="1"/>
        <v>5868.3561597793705</v>
      </c>
      <c r="G16" s="21">
        <f t="shared" si="1"/>
        <v>0</v>
      </c>
      <c r="H16" s="21">
        <f t="shared" si="1"/>
        <v>0</v>
      </c>
      <c r="I16" s="21">
        <f t="shared" si="1"/>
        <v>0</v>
      </c>
      <c r="J16" s="21">
        <f t="shared" si="1"/>
        <v>6.2844751528461334E-2</v>
      </c>
      <c r="K16" s="21">
        <f t="shared" si="1"/>
        <v>0</v>
      </c>
      <c r="L16" s="21">
        <f t="shared" ca="1" si="1"/>
        <v>0</v>
      </c>
      <c r="M16" s="21">
        <f t="shared" si="1"/>
        <v>0</v>
      </c>
      <c r="N16" s="21">
        <f t="shared" ca="1" si="1"/>
        <v>2571.0110830778735</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0.18206102651304401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5970.2377157530736</v>
      </c>
      <c r="C20" s="23">
        <f t="shared" ref="C20:P20" ca="1" si="2">C16*C18</f>
        <v>0</v>
      </c>
      <c r="D20" s="23">
        <f t="shared" ca="1" si="2"/>
        <v>8428.8946220291182</v>
      </c>
      <c r="E20" s="23">
        <f t="shared" si="2"/>
        <v>144.49217382092974</v>
      </c>
      <c r="F20" s="23">
        <f t="shared" ca="1" si="2"/>
        <v>1566.851094661092</v>
      </c>
      <c r="G20" s="23">
        <f t="shared" si="2"/>
        <v>0</v>
      </c>
      <c r="H20" s="23">
        <f t="shared" si="2"/>
        <v>0</v>
      </c>
      <c r="I20" s="23">
        <f t="shared" si="2"/>
        <v>0</v>
      </c>
      <c r="J20" s="23">
        <f t="shared" si="2"/>
        <v>2.2247042041075311E-2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4729.7357309999998</v>
      </c>
      <c r="C26" s="39">
        <f>IF(ISERROR(B26*3.6/1000000/'E Balans VL '!Z12*100),0,B26*3.6/1000000/'E Balans VL '!Z12*100)</f>
        <v>9.9979120846734326E-2</v>
      </c>
      <c r="D26" s="237" t="s">
        <v>754</v>
      </c>
      <c r="F26" s="6"/>
    </row>
    <row r="27" spans="1:18">
      <c r="A27" s="231" t="s">
        <v>53</v>
      </c>
      <c r="B27" s="33">
        <f>IF(ISERROR(TER_horeca_ele_kWh/1000),0,TER_horeca_ele_kWh/1000)</f>
        <v>2954.2130649999999</v>
      </c>
      <c r="C27" s="39">
        <f>IF(ISERROR(B27*3.6/1000000/'E Balans VL '!Z9*100),0,B27*3.6/1000000/'E Balans VL '!Z9*100)</f>
        <v>0.23287951482252792</v>
      </c>
      <c r="D27" s="237" t="s">
        <v>754</v>
      </c>
      <c r="F27" s="6"/>
    </row>
    <row r="28" spans="1:18">
      <c r="A28" s="171" t="s">
        <v>52</v>
      </c>
      <c r="B28" s="33">
        <f>IF(ISERROR(TER_handel_ele_kWh/1000),0,TER_handel_ele_kWh/1000)</f>
        <v>15831.566984999999</v>
      </c>
      <c r="C28" s="39">
        <f>IF(ISERROR(B28*3.6/1000000/'E Balans VL '!Z13*100),0,B28*3.6/1000000/'E Balans VL '!Z13*100)</f>
        <v>0.45949604060317839</v>
      </c>
      <c r="D28" s="237" t="s">
        <v>754</v>
      </c>
      <c r="F28" s="6"/>
    </row>
    <row r="29" spans="1:18">
      <c r="A29" s="231" t="s">
        <v>51</v>
      </c>
      <c r="B29" s="33">
        <f>IF(ISERROR(TER_gezond_ele_kWh/1000),0,TER_gezond_ele_kWh/1000)</f>
        <v>5307.8226459999996</v>
      </c>
      <c r="C29" s="39">
        <f>IF(ISERROR(B29*3.6/1000000/'E Balans VL '!Z10*100),0,B29*3.6/1000000/'E Balans VL '!Z10*100)</f>
        <v>0.55900088137224857</v>
      </c>
      <c r="D29" s="237" t="s">
        <v>754</v>
      </c>
      <c r="F29" s="6"/>
    </row>
    <row r="30" spans="1:18">
      <c r="A30" s="231" t="s">
        <v>50</v>
      </c>
      <c r="B30" s="33">
        <f>IF(ISERROR(TER_ander_ele_kWh/1000),0,TER_ander_ele_kWh/1000)</f>
        <v>2895.2602779999997</v>
      </c>
      <c r="C30" s="39">
        <f>IF(ISERROR(B30*3.6/1000000/'E Balans VL '!Z14*100),0,B30*3.6/1000000/'E Balans VL '!Z14*100)</f>
        <v>0.21355502695268427</v>
      </c>
      <c r="D30" s="237" t="s">
        <v>754</v>
      </c>
      <c r="F30" s="6"/>
    </row>
    <row r="31" spans="1:18">
      <c r="A31" s="231" t="s">
        <v>55</v>
      </c>
      <c r="B31" s="33">
        <f>IF(ISERROR(TER_onderwijs_ele_kWh/1000),0,TER_onderwijs_ele_kWh/1000)</f>
        <v>1073.909555</v>
      </c>
      <c r="C31" s="39">
        <f>IF(ISERROR(B31*3.6/1000000/'E Balans VL '!Z11*100),0,B31*3.6/1000000/'E Balans VL '!Z11*100)</f>
        <v>0.26670204739261455</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87888.339810000005</v>
      </c>
      <c r="C5" s="17">
        <f>IF(ISERROR('Eigen informatie GS &amp; warmtenet'!B59),0,'Eigen informatie GS &amp; warmtenet'!B59)</f>
        <v>0</v>
      </c>
      <c r="D5" s="30">
        <f>SUM(D6:D15)</f>
        <v>46688.232923798365</v>
      </c>
      <c r="E5" s="17">
        <f>SUM(E6:E15)</f>
        <v>4664.189891050868</v>
      </c>
      <c r="F5" s="17">
        <f>SUM(F6:F15)</f>
        <v>17418.018062223189</v>
      </c>
      <c r="G5" s="18"/>
      <c r="H5" s="17"/>
      <c r="I5" s="17"/>
      <c r="J5" s="17">
        <f>SUM(J6:J15)</f>
        <v>0.37847449796709592</v>
      </c>
      <c r="K5" s="17"/>
      <c r="L5" s="17"/>
      <c r="M5" s="17"/>
      <c r="N5" s="17">
        <f>SUM(N6:N15)</f>
        <v>9937.6712758524718</v>
      </c>
      <c r="O5" s="17">
        <f>B43*B44*B45</f>
        <v>0</v>
      </c>
      <c r="P5" s="17">
        <f>B51*B52*B53/1000-B51*B52*B53/1000/B54</f>
        <v>0</v>
      </c>
      <c r="R5" s="32"/>
    </row>
    <row r="6" spans="1:18">
      <c r="A6" s="6" t="s">
        <v>35</v>
      </c>
      <c r="B6" s="37">
        <f>IF( ISERROR(IND_ijzer_ele_kWh/1000),0,IND_ijzer_ele_kWh/1000)</f>
        <v>216.337524</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16690.542449</v>
      </c>
      <c r="C8" s="33"/>
      <c r="D8" s="37">
        <f>IF( ISERROR(IND_metaal_Gas_kWH/1000),0,IND_metaal_Gas_kWH/1000)*0.902</f>
        <v>985.55847627299033</v>
      </c>
      <c r="E8" s="33">
        <f>C30*'E Balans VL '!I18/100/3.6*1000000</f>
        <v>153.45341793935725</v>
      </c>
      <c r="F8" s="33">
        <f>C30*'E Balans VL '!L18/100/3.6*1000000+C30*'E Balans VL '!N18/100/3.6*1000000</f>
        <v>1565.0171973091497</v>
      </c>
      <c r="G8" s="34"/>
      <c r="H8" s="33"/>
      <c r="I8" s="33"/>
      <c r="J8" s="40">
        <f>C30*'E Balans VL '!D18/100/3.6*1000000+C30*'E Balans VL '!E18/100/3.6*1000000</f>
        <v>0</v>
      </c>
      <c r="K8" s="33"/>
      <c r="L8" s="33"/>
      <c r="M8" s="33"/>
      <c r="N8" s="33">
        <f>C30*'E Balans VL '!Y18/100/3.6*1000000</f>
        <v>238.11817031790079</v>
      </c>
      <c r="O8" s="33"/>
      <c r="P8" s="33"/>
      <c r="R8" s="32"/>
    </row>
    <row r="9" spans="1:18">
      <c r="A9" s="6" t="s">
        <v>33</v>
      </c>
      <c r="B9" s="37">
        <f t="shared" si="0"/>
        <v>14992.151915999999</v>
      </c>
      <c r="C9" s="33"/>
      <c r="D9" s="37">
        <f>IF( ISERROR(IND_andere_gas_kWh/1000),0,IND_andere_gas_kWh/1000)*0.902</f>
        <v>8169.5159983881704</v>
      </c>
      <c r="E9" s="33">
        <f>C31*'E Balans VL '!I19/100/3.6*1000000</f>
        <v>4382.4978678195885</v>
      </c>
      <c r="F9" s="33">
        <f>C31*'E Balans VL '!L19/100/3.6*1000000+C31*'E Balans VL '!N19/100/3.6*1000000</f>
        <v>12047.328866133745</v>
      </c>
      <c r="G9" s="34"/>
      <c r="H9" s="33"/>
      <c r="I9" s="33"/>
      <c r="J9" s="40">
        <f>C31*'E Balans VL '!D19/100/3.6*1000000+C31*'E Balans VL '!E19/100/3.6*1000000</f>
        <v>0</v>
      </c>
      <c r="K9" s="33"/>
      <c r="L9" s="33"/>
      <c r="M9" s="33"/>
      <c r="N9" s="33">
        <f>C31*'E Balans VL '!Y19/100/3.6*1000000</f>
        <v>4953.6395048375171</v>
      </c>
      <c r="O9" s="33"/>
      <c r="P9" s="33"/>
      <c r="R9" s="32"/>
    </row>
    <row r="10" spans="1:18">
      <c r="A10" s="6" t="s">
        <v>41</v>
      </c>
      <c r="B10" s="37">
        <f t="shared" si="0"/>
        <v>49975.040999999997</v>
      </c>
      <c r="C10" s="33"/>
      <c r="D10" s="37">
        <f>IF( ISERROR(IND_voed_gas_kWh/1000),0,IND_voed_gas_kWh/1000)*0.902</f>
        <v>7686.4989770653128</v>
      </c>
      <c r="E10" s="33">
        <f>C32*'E Balans VL '!I20/100/3.6*1000000</f>
        <v>105.72297410768817</v>
      </c>
      <c r="F10" s="33">
        <f>C32*'E Balans VL '!L20/100/3.6*1000000+C32*'E Balans VL '!N20/100/3.6*1000000</f>
        <v>3177.4641547874216</v>
      </c>
      <c r="G10" s="34"/>
      <c r="H10" s="33"/>
      <c r="I10" s="33"/>
      <c r="J10" s="40">
        <f>C32*'E Balans VL '!D20/100/3.6*1000000+C32*'E Balans VL '!E20/100/3.6*1000000</f>
        <v>0</v>
      </c>
      <c r="K10" s="33"/>
      <c r="L10" s="33"/>
      <c r="M10" s="33"/>
      <c r="N10" s="33">
        <f>C32*'E Balans VL '!Y20/100/3.6*1000000</f>
        <v>3448.7709947548869</v>
      </c>
      <c r="O10" s="33"/>
      <c r="P10" s="33"/>
      <c r="R10" s="32"/>
    </row>
    <row r="11" spans="1:18">
      <c r="A11" s="6" t="s">
        <v>40</v>
      </c>
      <c r="B11" s="37">
        <f t="shared" si="0"/>
        <v>5494.7317110000004</v>
      </c>
      <c r="C11" s="33"/>
      <c r="D11" s="37">
        <f>IF( ISERROR(IND_textiel_gas_kWh/1000),0,IND_textiel_gas_kWh/1000)*0.902</f>
        <v>84.705454268611405</v>
      </c>
      <c r="E11" s="33">
        <f>C33*'E Balans VL '!I21/100/3.6*1000000</f>
        <v>16.3188794447241</v>
      </c>
      <c r="F11" s="33">
        <f>C33*'E Balans VL '!L21/100/3.6*1000000+C33*'E Balans VL '!N21/100/3.6*1000000</f>
        <v>555.11875581615061</v>
      </c>
      <c r="G11" s="34"/>
      <c r="H11" s="33"/>
      <c r="I11" s="33"/>
      <c r="J11" s="40">
        <f>C33*'E Balans VL '!D21/100/3.6*1000000+C33*'E Balans VL '!E21/100/3.6*1000000</f>
        <v>0</v>
      </c>
      <c r="K11" s="33"/>
      <c r="L11" s="33"/>
      <c r="M11" s="33"/>
      <c r="N11" s="33">
        <f>C33*'E Balans VL '!Y21/100/3.6*1000000</f>
        <v>303.05198949705556</v>
      </c>
      <c r="O11" s="33"/>
      <c r="P11" s="33"/>
      <c r="R11" s="32"/>
    </row>
    <row r="12" spans="1:18">
      <c r="A12" s="6" t="s">
        <v>37</v>
      </c>
      <c r="B12" s="37">
        <f t="shared" si="0"/>
        <v>185.67496</v>
      </c>
      <c r="C12" s="33"/>
      <c r="D12" s="37">
        <f>IF( ISERROR(IND_min_gas_kWh/1000),0,IND_min_gas_kWh/1000)*0.902</f>
        <v>0</v>
      </c>
      <c r="E12" s="33">
        <f>C34*'E Balans VL '!I22/100/3.6*1000000</f>
        <v>5.381952543277178</v>
      </c>
      <c r="F12" s="33">
        <f>C34*'E Balans VL '!L22/100/3.6*1000000+C34*'E Balans VL '!N22/100/3.6*1000000</f>
        <v>63.837149421810203</v>
      </c>
      <c r="G12" s="34"/>
      <c r="H12" s="33"/>
      <c r="I12" s="33"/>
      <c r="J12" s="40">
        <f>C34*'E Balans VL '!D22/100/3.6*1000000+C34*'E Balans VL '!E22/100/3.6*1000000</f>
        <v>0.30511991159459367</v>
      </c>
      <c r="K12" s="33"/>
      <c r="L12" s="33"/>
      <c r="M12" s="33"/>
      <c r="N12" s="33">
        <f>C34*'E Balans VL '!Y22/100/3.6*1000000</f>
        <v>40.647299994701939</v>
      </c>
      <c r="O12" s="33"/>
      <c r="P12" s="33"/>
      <c r="R12" s="32"/>
    </row>
    <row r="13" spans="1:18">
      <c r="A13" s="6" t="s">
        <v>39</v>
      </c>
      <c r="B13" s="37">
        <f t="shared" si="0"/>
        <v>327.51925</v>
      </c>
      <c r="C13" s="33"/>
      <c r="D13" s="37">
        <f>IF( ISERROR(IND_papier_gas_kWh/1000),0,IND_papier_gas_kWh/1000)*0.902</f>
        <v>388.99158834639417</v>
      </c>
      <c r="E13" s="33">
        <f>C35*'E Balans VL '!I23/100/3.6*1000000</f>
        <v>0.46467491267899608</v>
      </c>
      <c r="F13" s="33">
        <f>C35*'E Balans VL '!L23/100/3.6*1000000+C35*'E Balans VL '!N23/100/3.6*1000000</f>
        <v>7.9959764442835759</v>
      </c>
      <c r="G13" s="34"/>
      <c r="H13" s="33"/>
      <c r="I13" s="33"/>
      <c r="J13" s="40">
        <f>C35*'E Balans VL '!D23/100/3.6*1000000+C35*'E Balans VL '!E23/100/3.6*1000000</f>
        <v>5.0653926950597908E-2</v>
      </c>
      <c r="K13" s="33"/>
      <c r="L13" s="33"/>
      <c r="M13" s="33"/>
      <c r="N13" s="33">
        <f>C35*'E Balans VL '!Y23/100/3.6*1000000</f>
        <v>952.02093061831579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6.3410000000000002</v>
      </c>
      <c r="C15" s="33"/>
      <c r="D15" s="37">
        <f>IF( ISERROR(IND_rest_gas_kWh/1000),0,IND_rest_gas_kWh/1000)*0.902</f>
        <v>29372.962429456882</v>
      </c>
      <c r="E15" s="33">
        <f>C37*'E Balans VL '!I15/100/3.6*1000000</f>
        <v>0.35012428355349368</v>
      </c>
      <c r="F15" s="33">
        <f>C37*'E Balans VL '!L15/100/3.6*1000000+C37*'E Balans VL '!N15/100/3.6*1000000</f>
        <v>1.2559623106289322</v>
      </c>
      <c r="G15" s="34"/>
      <c r="H15" s="33"/>
      <c r="I15" s="33"/>
      <c r="J15" s="40">
        <f>C37*'E Balans VL '!D15/100/3.6*1000000+C37*'E Balans VL '!E15/100/3.6*1000000</f>
        <v>2.2700659421904343E-2</v>
      </c>
      <c r="K15" s="33"/>
      <c r="L15" s="33"/>
      <c r="M15" s="33"/>
      <c r="N15" s="33">
        <f>C37*'E Balans VL '!Y15/100/3.6*1000000</f>
        <v>1.4223858320950198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87888.339810000005</v>
      </c>
      <c r="C18" s="21">
        <f>C5+C16</f>
        <v>0</v>
      </c>
      <c r="D18" s="21">
        <f>MAX((D5+D16),0)</f>
        <v>46688.232923798365</v>
      </c>
      <c r="E18" s="21">
        <f>MAX((E5+E16),0)</f>
        <v>4664.189891050868</v>
      </c>
      <c r="F18" s="21">
        <f>MAX((F5+F16),0)</f>
        <v>17418.018062223189</v>
      </c>
      <c r="G18" s="21"/>
      <c r="H18" s="21"/>
      <c r="I18" s="21"/>
      <c r="J18" s="21">
        <f>MAX((J5+J16),0)</f>
        <v>0.37847449796709592</v>
      </c>
      <c r="K18" s="21"/>
      <c r="L18" s="21">
        <f>MAX((L5+L16),0)</f>
        <v>0</v>
      </c>
      <c r="M18" s="21"/>
      <c r="N18" s="21">
        <f>MAX((N5+N16),0)</f>
        <v>9937.6712758524718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0.18206102651304401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16001.041364335832</v>
      </c>
      <c r="C22" s="23">
        <f ca="1">C18*C20</f>
        <v>0</v>
      </c>
      <c r="D22" s="23">
        <f>D18*D20</f>
        <v>9431.0230506072712</v>
      </c>
      <c r="E22" s="23">
        <f>E18*E20</f>
        <v>1058.771105268547</v>
      </c>
      <c r="F22" s="23">
        <f>F18*F20</f>
        <v>4650.6108226135921</v>
      </c>
      <c r="G22" s="23"/>
      <c r="H22" s="23"/>
      <c r="I22" s="23"/>
      <c r="J22" s="23">
        <f>J18*J20</f>
        <v>0.13397997228035194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16690.542449</v>
      </c>
      <c r="C30" s="39">
        <f>IF(ISERROR(B30*3.6/1000000/'E Balans VL '!Z18*100),0,B30*3.6/1000000/'E Balans VL '!Z18*100)</f>
        <v>0.94589583793482301</v>
      </c>
      <c r="D30" s="237" t="s">
        <v>754</v>
      </c>
    </row>
    <row r="31" spans="1:18">
      <c r="A31" s="6" t="s">
        <v>33</v>
      </c>
      <c r="B31" s="37">
        <f>IF( ISERROR(IND_ander_ele_kWh/1000),0,IND_ander_ele_kWh/1000)</f>
        <v>14992.151915999999</v>
      </c>
      <c r="C31" s="39">
        <f>IF(ISERROR(B31*3.6/1000000/'E Balans VL '!Z19*100),0,B31*3.6/1000000/'E Balans VL '!Z19*100)</f>
        <v>0.67998158467569114</v>
      </c>
      <c r="D31" s="237" t="s">
        <v>754</v>
      </c>
    </row>
    <row r="32" spans="1:18">
      <c r="A32" s="171" t="s">
        <v>41</v>
      </c>
      <c r="B32" s="37">
        <f>IF( ISERROR(IND_voed_ele_kWh/1000),0,IND_voed_ele_kWh/1000)</f>
        <v>49975.040999999997</v>
      </c>
      <c r="C32" s="39">
        <f>IF(ISERROR(B32*3.6/1000000/'E Balans VL '!Z20*100),0,B32*3.6/1000000/'E Balans VL '!Z20*100)</f>
        <v>1.5459548856604679</v>
      </c>
      <c r="D32" s="237" t="s">
        <v>754</v>
      </c>
    </row>
    <row r="33" spans="1:5">
      <c r="A33" s="171" t="s">
        <v>40</v>
      </c>
      <c r="B33" s="37">
        <f>IF( ISERROR(IND_textiel_ele_kWh/1000),0,IND_textiel_ele_kWh/1000)</f>
        <v>5494.7317110000004</v>
      </c>
      <c r="C33" s="39">
        <f>IF(ISERROR(B33*3.6/1000000/'E Balans VL '!Z21*100),0,B33*3.6/1000000/'E Balans VL '!Z21*100)</f>
        <v>0.71645193806138041</v>
      </c>
      <c r="D33" s="237" t="s">
        <v>754</v>
      </c>
    </row>
    <row r="34" spans="1:5">
      <c r="A34" s="171" t="s">
        <v>37</v>
      </c>
      <c r="B34" s="37">
        <f>IF( ISERROR(IND_min_ele_kWh/1000),0,IND_min_ele_kWh/1000)</f>
        <v>185.67496</v>
      </c>
      <c r="C34" s="39">
        <f>IF(ISERROR(B34*3.6/1000000/'E Balans VL '!Z22*100),0,B34*3.6/1000000/'E Balans VL '!Z22*100)</f>
        <v>3.3397132311965401E-2</v>
      </c>
      <c r="D34" s="237" t="s">
        <v>754</v>
      </c>
    </row>
    <row r="35" spans="1:5">
      <c r="A35" s="171" t="s">
        <v>39</v>
      </c>
      <c r="B35" s="37">
        <f>IF( ISERROR(IND_papier_ele_kWh/1000),0,IND_papier_ele_kWh/1000)</f>
        <v>327.51925</v>
      </c>
      <c r="C35" s="39">
        <f>IF(ISERROR(B35*3.6/1000000/'E Balans VL '!Z22*100),0,B35*3.6/1000000/'E Balans VL '!Z22*100)</f>
        <v>5.8910494592085416E-2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6.3410000000000002</v>
      </c>
      <c r="C37" s="39">
        <f>IF(ISERROR(B37*3.6/1000000/'E Balans VL '!Z15*100),0,B37*3.6/1000000/'E Balans VL '!Z15*100)</f>
        <v>5.0260212488627656E-5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1912.7780930000001</v>
      </c>
      <c r="C5" s="17">
        <f>'Eigen informatie GS &amp; warmtenet'!B60</f>
        <v>0</v>
      </c>
      <c r="D5" s="30">
        <f>IF(ISERROR(SUM(LB_lb_gas_kWh,LB_rest_gas_kWh,onbekend_gas_kWh)/1000),0,SUM(LB_lb_gas_kWh,LB_rest_gas_kWh,onbekend_gas_kWh)/1000)*0.902</f>
        <v>10716.074226207365</v>
      </c>
      <c r="E5" s="17">
        <f>B17*'E Balans VL '!I25/3.6*1000000/100</f>
        <v>56.222390451892892</v>
      </c>
      <c r="F5" s="17">
        <f>B17*('E Balans VL '!L25/3.6*1000000+'E Balans VL '!N25/3.6*1000000)/100</f>
        <v>7968.5301743350374</v>
      </c>
      <c r="G5" s="18"/>
      <c r="H5" s="17"/>
      <c r="I5" s="17"/>
      <c r="J5" s="17">
        <f>('E Balans VL '!D25+'E Balans VL '!E25)/3.6*1000000*landbouw!B17/100</f>
        <v>277.1204682959447</v>
      </c>
      <c r="K5" s="17"/>
      <c r="L5" s="17">
        <f>L6*(-1)</f>
        <v>0</v>
      </c>
      <c r="M5" s="17"/>
      <c r="N5" s="17">
        <f>N6*(-1)</f>
        <v>0</v>
      </c>
      <c r="O5" s="17"/>
      <c r="P5" s="17"/>
      <c r="R5" s="32"/>
    </row>
    <row r="6" spans="1:18">
      <c r="A6" s="16" t="s">
        <v>488</v>
      </c>
      <c r="B6" s="17" t="s">
        <v>211</v>
      </c>
      <c r="C6" s="17">
        <f>'lokale energieproductie'!O91+'lokale energieproductie'!O60</f>
        <v>5361.4285714285716</v>
      </c>
      <c r="D6" s="310">
        <f>('lokale energieproductie'!P60+'lokale energieproductie'!P91)*(-1)</f>
        <v>-10722.857142857143</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1912.7780930000001</v>
      </c>
      <c r="C8" s="21">
        <f>C5+C6</f>
        <v>5361.4285714285716</v>
      </c>
      <c r="D8" s="21">
        <f>MAX((D5+D6),0)</f>
        <v>0</v>
      </c>
      <c r="E8" s="21">
        <f>MAX((E5+E6),0)</f>
        <v>56.222390451892892</v>
      </c>
      <c r="F8" s="21">
        <f>MAX((F5+F6),0)</f>
        <v>7968.5301743350374</v>
      </c>
      <c r="G8" s="21"/>
      <c r="H8" s="21"/>
      <c r="I8" s="21"/>
      <c r="J8" s="21">
        <f>MAX((J5+J6),0)</f>
        <v>277.1204682959447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0.18206102651304401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348.24234310324277</v>
      </c>
      <c r="C12" s="23">
        <f ca="1">C8*C10</f>
        <v>1274.127731092437</v>
      </c>
      <c r="D12" s="23">
        <f>D8*D10</f>
        <v>0</v>
      </c>
      <c r="E12" s="23">
        <f>E8*E10</f>
        <v>12.762482632579687</v>
      </c>
      <c r="F12" s="23">
        <f>F8*F10</f>
        <v>2127.597556547455</v>
      </c>
      <c r="G12" s="23"/>
      <c r="H12" s="23"/>
      <c r="I12" s="23"/>
      <c r="J12" s="23">
        <f>J8*J10</f>
        <v>98.100645776764424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0.27142921255495012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76.319823690374008</v>
      </c>
      <c r="C26" s="247">
        <f>B26*'GWP N2O_CH4'!B5</f>
        <v>1602.7162974978542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98.188673083844066</v>
      </c>
      <c r="C27" s="247">
        <f>B27*'GWP N2O_CH4'!B5</f>
        <v>2061.9621347607253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1.2770141253467944</v>
      </c>
      <c r="C28" s="247">
        <f>B28*'GWP N2O_CH4'!B4</f>
        <v>395.87437885750626</v>
      </c>
      <c r="D28" s="50"/>
    </row>
    <row r="29" spans="1:4">
      <c r="A29" s="41" t="s">
        <v>277</v>
      </c>
      <c r="B29" s="247">
        <f>B34*'ha_N2O bodem landbouw'!B4</f>
        <v>5.7648542931463069</v>
      </c>
      <c r="C29" s="247">
        <f>B29*'GWP N2O_CH4'!B4</f>
        <v>1787.1048308753552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1.3155198831242873E-3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2.8471833223905928E-4</v>
      </c>
      <c r="C5" s="463" t="s">
        <v>211</v>
      </c>
      <c r="D5" s="448">
        <f>SUM(D6:D11)</f>
        <v>1.1040497694078889E-3</v>
      </c>
      <c r="E5" s="448">
        <f>SUM(E6:E11)</f>
        <v>1.5197401248217394E-3</v>
      </c>
      <c r="F5" s="461" t="s">
        <v>211</v>
      </c>
      <c r="G5" s="448">
        <f>SUM(G6:G11)</f>
        <v>0.57208349012888127</v>
      </c>
      <c r="H5" s="448">
        <f>SUM(H6:H11)</f>
        <v>0.12479262717785317</v>
      </c>
      <c r="I5" s="463" t="s">
        <v>211</v>
      </c>
      <c r="J5" s="463" t="s">
        <v>211</v>
      </c>
      <c r="K5" s="463" t="s">
        <v>211</v>
      </c>
      <c r="L5" s="463" t="s">
        <v>211</v>
      </c>
      <c r="M5" s="448">
        <f>SUM(M6:M11)</f>
        <v>3.7128108742843856E-2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1.1753970017876192E-4</v>
      </c>
      <c r="C6" s="449"/>
      <c r="D6" s="962">
        <f>vkm_2011_GW_PW*SUMIFS(TableVerdeelsleutelVkm[CNG],TableVerdeelsleutelVkm[Voertuigtype],"Lichte voertuigen")*SUMIFS(TableECFTransport[EnergieConsumptieFactor (PJ per km)],TableECFTransport[Index],CONCATENATE($A6,"_CNG_CNG"))</f>
        <v>3.525516388847616E-4</v>
      </c>
      <c r="E6" s="962">
        <f>vkm_2011_GW_PW*SUMIFS(TableVerdeelsleutelVkm[LPG],TableVerdeelsleutelVkm[Voertuigtype],"Lichte voertuigen")*SUMIFS(TableECFTransport[EnergieConsumptieFactor (PJ per km)],TableECFTransport[Index],CONCATENATE($A6,"_LPG_LPG"))</f>
        <v>4.8163618026378049E-4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0.12452903767055046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4.0091678760816214E-2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8.4654654776950746E-3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7.7335186543933856E-2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2.3566070824081237E-5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4.5192115100935138E-3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1.0338055723841332E-4</v>
      </c>
      <c r="C8" s="449"/>
      <c r="D8" s="451">
        <f>vkm_2011_NGW_PW*SUMIFS(TableVerdeelsleutelVkm[CNG],TableVerdeelsleutelVkm[Voertuigtype],"Lichte voertuigen")*SUMIFS(TableECFTransport[EnergieConsumptieFactor (PJ per km)],TableECFTransport[Index],CONCATENATE($A8,"_CNG_CNG"))</f>
        <v>5.5132986825760669E-4</v>
      </c>
      <c r="E8" s="451">
        <f>vkm_2011_NGW_PW*SUMIFS(TableVerdeelsleutelVkm[LPG],TableVerdeelsleutelVkm[Voertuigtype],"Lichte voertuigen")*SUMIFS(TableECFTransport[EnergieConsumptieFactor (PJ per km)],TableECFTransport[Index],CONCATENATE($A8,"_LPG_LPG"))</f>
        <v>6.9754477387744718E-4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0.16807000868980349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6.0927227483959935E-2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1.1627656368792075E-2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5.6515000689877845E-2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1.6212658322303985E-5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3.3025190463961138E-3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6.3798074821884055E-5</v>
      </c>
      <c r="C10" s="449"/>
      <c r="D10" s="451">
        <f>vkm_2011_SW_PW*SUMIFS(TableVerdeelsleutelVkm[CNG],TableVerdeelsleutelVkm[Voertuigtype],"Lichte voertuigen")*SUMIFS(TableECFTransport[EnergieConsumptieFactor (PJ per km)],TableECFTransport[Index],CONCATENATE($A10,"_CNG_CNG"))</f>
        <v>2.0016826226552061E-4</v>
      </c>
      <c r="E10" s="451">
        <f>vkm_2011_SW_PW*SUMIFS(TableVerdeelsleutelVkm[LPG],TableVerdeelsleutelVkm[Voertuigtype],"Lichte voertuigen")*SUMIFS(TableECFTransport[EnergieConsumptieFactor (PJ per km)],TableECFTransport[Index],CONCATENATE($A10,"_LPG_LPG"))</f>
        <v>3.4055917068051192E-4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7.849966044594936E-2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2.3711850157439571E-2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5.2900849729910484E-3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6.7134596088766221E-2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2.2092046491069266E-5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3.9231713668760335E-3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79.088425621960909</v>
      </c>
      <c r="C14" s="21"/>
      <c r="D14" s="21">
        <f t="shared" ref="D14:M14" si="0">((D5)*10^9/3600)+D12</f>
        <v>306.68049150219133</v>
      </c>
      <c r="E14" s="21">
        <f t="shared" si="0"/>
        <v>422.15003467270543</v>
      </c>
      <c r="F14" s="21"/>
      <c r="G14" s="21">
        <f t="shared" si="0"/>
        <v>158912.08059135589</v>
      </c>
      <c r="H14" s="21">
        <f t="shared" si="0"/>
        <v>34664.618660514767</v>
      </c>
      <c r="I14" s="21"/>
      <c r="J14" s="21"/>
      <c r="K14" s="21"/>
      <c r="L14" s="21"/>
      <c r="M14" s="21">
        <f t="shared" si="0"/>
        <v>10313.36353967885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0.18206102651304401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14.398919954034735</v>
      </c>
      <c r="C18" s="23"/>
      <c r="D18" s="23">
        <f t="shared" ref="D18:M18" si="1">D14*D16</f>
        <v>61.94945928344265</v>
      </c>
      <c r="E18" s="23">
        <f t="shared" si="1"/>
        <v>95.828057870704143</v>
      </c>
      <c r="F18" s="23"/>
      <c r="G18" s="23">
        <f t="shared" si="1"/>
        <v>42429.525517892027</v>
      </c>
      <c r="H18" s="23">
        <f t="shared" si="1"/>
        <v>8631.4900464681778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2.2856489248342777E-3</v>
      </c>
      <c r="H50" s="321">
        <f t="shared" si="2"/>
        <v>0</v>
      </c>
      <c r="I50" s="321">
        <f t="shared" si="2"/>
        <v>0</v>
      </c>
      <c r="J50" s="321">
        <f t="shared" si="2"/>
        <v>0</v>
      </c>
      <c r="K50" s="321">
        <f t="shared" si="2"/>
        <v>0</v>
      </c>
      <c r="L50" s="321">
        <f t="shared" si="2"/>
        <v>0</v>
      </c>
      <c r="M50" s="321">
        <f t="shared" si="2"/>
        <v>1.2981476875881999E-4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2.2856489248342777E-3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1.2981476875881999E-4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634.90247912063262</v>
      </c>
      <c r="H54" s="21">
        <f t="shared" si="3"/>
        <v>0</v>
      </c>
      <c r="I54" s="21">
        <f t="shared" si="3"/>
        <v>0</v>
      </c>
      <c r="J54" s="21">
        <f t="shared" si="3"/>
        <v>0</v>
      </c>
      <c r="K54" s="21">
        <f t="shared" si="3"/>
        <v>0</v>
      </c>
      <c r="L54" s="21">
        <f t="shared" si="3"/>
        <v>0</v>
      </c>
      <c r="M54" s="21">
        <f t="shared" si="3"/>
        <v>36.059657988561106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0.18206102651304401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169.51896192520891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21701.65468675677</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7893.2940421517505</v>
      </c>
      <c r="C6" s="1263"/>
      <c r="D6" s="1248"/>
      <c r="E6" s="1248"/>
      <c r="F6" s="1266"/>
      <c r="G6" s="1269"/>
      <c r="H6" s="1260"/>
      <c r="I6" s="1248"/>
      <c r="J6" s="1248"/>
      <c r="K6" s="1248"/>
      <c r="L6" s="1252"/>
      <c r="M6" s="575"/>
      <c r="N6" s="1226"/>
      <c r="O6" s="1227"/>
      <c r="Q6" s="573"/>
      <c r="R6" s="1214"/>
      <c r="S6" s="1214"/>
    </row>
    <row r="7" spans="1:19" s="563" customFormat="1">
      <c r="A7" s="576" t="s">
        <v>252</v>
      </c>
      <c r="B7" s="577">
        <f>N57</f>
        <v>3753</v>
      </c>
      <c r="C7" s="578">
        <f>B100</f>
        <v>4415.2941176470586</v>
      </c>
      <c r="D7" s="579"/>
      <c r="E7" s="579">
        <f>E100</f>
        <v>0</v>
      </c>
      <c r="F7" s="580"/>
      <c r="G7" s="581"/>
      <c r="H7" s="579">
        <f>I100</f>
        <v>0</v>
      </c>
      <c r="I7" s="579">
        <f>G100+F100</f>
        <v>0</v>
      </c>
      <c r="J7" s="579">
        <f>H100+D100+C100</f>
        <v>0</v>
      </c>
      <c r="K7" s="579"/>
      <c r="L7" s="582"/>
      <c r="M7" s="583">
        <f>C7*$C$11+D7*$D$11+E7*$E$11+F7*$F$11+G7*$G$11+H7*$H$11+I7*$I$11+J7*$J$11</f>
        <v>891.88941176470587</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33347.948728908523</v>
      </c>
      <c r="C9" s="594">
        <f t="shared" ref="C9:L9" si="0">SUM(C7:C8)</f>
        <v>4415.2941176470586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891.88941176470587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5361.4285714285716</v>
      </c>
      <c r="C16" s="610">
        <f>B101</f>
        <v>6307.5630252100837</v>
      </c>
      <c r="D16" s="611"/>
      <c r="E16" s="611">
        <f>E101</f>
        <v>0</v>
      </c>
      <c r="F16" s="612"/>
      <c r="G16" s="613"/>
      <c r="H16" s="610">
        <f>I101</f>
        <v>0</v>
      </c>
      <c r="I16" s="611">
        <f>G101+F101</f>
        <v>0</v>
      </c>
      <c r="J16" s="611">
        <f>H101+D101+C101</f>
        <v>0</v>
      </c>
      <c r="K16" s="611"/>
      <c r="L16" s="614"/>
      <c r="M16" s="615">
        <f>C16*$C$21+E16*$E$21+H16*$H$21+I16*$I$21+J16*$J$21+D16*$D$21+F16*$F$21+G16*$G$21+K16*$K$21+L16*$L$21</f>
        <v>1274.127731092437</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5361.4285714285716</v>
      </c>
      <c r="C19" s="593">
        <f>SUM(C16:C18)</f>
        <v>6307.5630252100837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1274.127731092437</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36008</v>
      </c>
      <c r="C27" s="851">
        <v>8870</v>
      </c>
      <c r="D27" s="672" t="s">
        <v>844</v>
      </c>
      <c r="E27" s="671" t="s">
        <v>845</v>
      </c>
      <c r="F27" s="671" t="s">
        <v>846</v>
      </c>
      <c r="G27" s="671" t="s">
        <v>847</v>
      </c>
      <c r="H27" s="671" t="s">
        <v>848</v>
      </c>
      <c r="I27" s="671" t="s">
        <v>849</v>
      </c>
      <c r="J27" s="850">
        <v>41264</v>
      </c>
      <c r="K27" s="850">
        <v>41689</v>
      </c>
      <c r="L27" s="671" t="s">
        <v>850</v>
      </c>
      <c r="M27" s="671">
        <v>834</v>
      </c>
      <c r="N27" s="671">
        <v>3753</v>
      </c>
      <c r="O27" s="671">
        <v>5361.4285714285716</v>
      </c>
      <c r="P27" s="671">
        <v>10722.857142857143</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834</v>
      </c>
      <c r="N57" s="629">
        <f>SUM(N27:N56)</f>
        <v>3753</v>
      </c>
      <c r="O57" s="629">
        <f t="shared" ref="O57:W57" si="2">SUM(O27:O56)</f>
        <v>5361.4285714285716</v>
      </c>
      <c r="P57" s="629">
        <f t="shared" si="2"/>
        <v>10722.857142857143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834</v>
      </c>
      <c r="N60" s="634">
        <f t="shared" ref="N60:W60" si="4">SUMIF($Z$27:$Z$56,"landbouw",N27:N56)</f>
        <v>3753</v>
      </c>
      <c r="O60" s="634">
        <f t="shared" si="4"/>
        <v>5361.4285714285716</v>
      </c>
      <c r="P60" s="634">
        <f t="shared" si="4"/>
        <v>10722.857142857143</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4415.2941176470586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6307.5630252100837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2019-01-01T21:19:52Z</dcterms:modified>
</cp:coreProperties>
</file>