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D28" i="48"/>
  <c r="D30"/>
  <c r="K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<sst xmlns="http://schemas.openxmlformats.org/spreadsheetml/2006/main" count="2099" uniqueCount="844">
  <si>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</si>
  <si>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</si>
  <si>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</si>
  <si>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</si>
  <si>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</si>
  <si>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</si>
  <si>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</si>
  <si>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</si>
  <si>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</si>
  <si>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</si>
  <si>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</si>
  <si>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</si>
  <si>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</si>
  <si>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</si>
  <si>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</si>
  <si>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</si>
  <si>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</si>
  <si>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</si>
  <si>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</si>
  <si>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</si>
  <si>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</si>
  <si>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</si>
  <si>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</si>
  <si>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</si>
  <si>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</si>
  <si>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</si>
  <si>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</si>
  <si>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</si>
  <si>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</si>
  <si>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</si>
  <si>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</si>
  <si>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</si>
  <si>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</si>
  <si>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</si>
  <si>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</si>
  <si>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</si>
  <si>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</si>
  <si>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</si>
  <si>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</si>
  <si>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</si>
  <si>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</si>
  <si>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</si>
  <si>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</si>
  <si>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</si>
  <si>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</si>
  <si>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</si>
  <si>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</si>
  <si>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</si>
  <si>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</si>
  <si>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</si>
  <si>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</si>
  <si>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</si>
  <si>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</si>
  <si>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</si>
  <si>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</si>
  <si>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</si>
  <si>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</si>
  <si>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</si>
  <si>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</si>
  <si>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</si>
  <si>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</si>
  <si>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</si>
  <si>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</si>
  <si>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</si>
  <si>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</si>
  <si>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</si>
  <si>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</si>
  <si>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</si>
  <si>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</si>
  <si>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</si>
  <si>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</si>
  <si>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</si>
  <si>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</si>
  <si>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</si>
  <si>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</si>
  <si>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</si>
  <si>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</si>
  <si>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</si>
  <si>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</si>
  <si>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</si>
  <si>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</si>
  <si>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</si>
  <si>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</si>
  <si>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</si>
  <si>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</si>
  <si>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</si>
  <si>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</si>
  <si>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</si>
  <si>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</si>
  <si>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</si>
  <si>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</si>
  <si>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</si>
  <si>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</si>
  <si>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</si>
  <si>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</si>
  <si>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</si>
  <si>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</si>
  <si>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</si>
  <si>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</si>
  <si>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</si>
  <si>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</si>
  <si>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</si>
  <si>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</si>
  <si>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</si>
  <si>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</si>
  <si>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</si>
  <si>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</si>
  <si>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</si>
  <si>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</si>
  <si>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</si>
  <si>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</si>
  <si>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</si>
  <si>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</si>
  <si>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</si>
  <si>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</si>
  <si>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</si>
  <si>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</si>
  <si>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</si>
  <si>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</si>
  <si>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</si>
  <si>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</si>
  <si>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</si>
  <si>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</si>
  <si>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</si>
  <si>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</si>
  <si>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</si>
  <si>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</si>
  <si>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</si>
  <si>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</si>
  <si>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</si>
  <si>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</si>
  <si>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</si>
  <si>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</si>
  <si>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</si>
  <si>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</si>
  <si>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</si>
  <si>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</si>
  <si>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</si>
  <si>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</si>
  <si>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</si>
  <si>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</si>
  <si>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</si>
  <si>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</si>
  <si>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</si>
  <si>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</si>
  <si>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</si>
  <si>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</si>
  <si>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</si>
  <si>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</si>
  <si>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</si>
  <si>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</si>
  <si>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</si>
  <si>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</si>
  <si>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</si>
  <si>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</si>
  <si>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</si>
  <si>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</si>
  <si>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</si>
  <si>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</si>
  <si>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</si>
  <si>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</si>
  <si>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</si>
  <si>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</si>
  <si>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</si>
  <si>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</si>
  <si>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</si>
  <si>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</si>
  <si>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</si>
  <si>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</si>
  <si>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</si>
  <si>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</si>
  <si>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</si>
  <si>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</si>
  <si>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</si>
  <si>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</si>
  <si>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</si>
  <si>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</si>
  <si>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</si>
  <si>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</si>
  <si>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</si>
  <si>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</si>
  <si>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</si>
  <si>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</si>
  <si>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</si>
  <si>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</si>
  <si>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</si>
  <si>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</si>
  <si>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</si>
  <si>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</si>
  <si>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</si>
  <si>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</si>
  <si>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</si>
  <si>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</si>
  <si>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</si>
  <si>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</si>
  <si>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</si>
  <si>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</si>
  <si>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</si>
  <si>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</si>
  <si>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</si>
  <si>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</si>
  <si>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</si>
  <si>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</si>
  <si>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</si>
  <si>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</si>
  <si>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</si>
  <si>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</si>
  <si>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</si>
  <si>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</si>
  <si>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</si>
  <si>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</si>
  <si>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</si>
  <si>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</si>
  <si>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</si>
  <si>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</si>
  <si>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</si>
  <si>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</si>
  <si>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</si>
  <si>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</si>
  <si>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</si>
  <si>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</si>
  <si>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</si>
  <si>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</si>
  <si>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</si>
  <si>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</si>
  <si>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</si>
  <si>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</si>
  <si>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</si>
  <si>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</si>
  <si>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</si>
  <si>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</si>
  <si>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</si>
  <si>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</si>
  <si>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</si>
  <si>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</si>
  <si>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</si>
  <si>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</si>
  <si>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</si>
  <si>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</si>
  <si>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</si>
  <si>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</si>
  <si>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</si>
  <si>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</si>
  <si>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</si>
  <si>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</si>
  <si>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</si>
  <si>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</si>
  <si>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</si>
  <si>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</si>
  <si>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</si>
  <si>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</si>
  <si>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</si>
  <si>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</si>
  <si>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</si>
  <si>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</si>
  <si>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</si>
  <si>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</si>
  <si>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</si>
  <si>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</si>
  <si>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</si>
  <si>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</si>
  <si>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</si>
  <si>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</si>
  <si>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</si>
  <si>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</si>
  <si>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</si>
  <si>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</si>
  <si>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</si>
  <si>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</si>
  <si>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</si>
  <si>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</si>
  <si>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</si>
  <si>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</si>
  <si>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</si>
  <si>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</si>
  <si>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</si>
  <si>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</si>
  <si>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</si>
  <si>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</si>
  <si>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</si>
  <si>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</si>
  <si>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</si>
  <si>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</si>
  <si>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</si>
  <si>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</si>
  <si>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</si>
  <si>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</si>
  <si>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</si>
  <si>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</si>
  <si>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</si>
  <si>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</si>
  <si>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</si>
  <si>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</si>
  <si>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</si>
  <si>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</si>
  <si>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</si>
  <si>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</si>
  <si>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</si>
  <si>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</si>
  <si>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</si>
  <si>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</si>
  <si>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</si>
  <si>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</si>
  <si>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</si>
  <si>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</si>
  <si>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</si>
  <si>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</si>
  <si>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</si>
  <si>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</si>
  <si>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</si>
  <si>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</si>
  <si>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</si>
  <si>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</si>
  <si>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</si>
  <si>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</si>
  <si>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</si>
  <si>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</si>
  <si>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</si>
  <si>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</si>
  <si>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</si>
  <si>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</si>
  <si>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</si>
  <si>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</si>
  <si>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</si>
  <si>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</si>
  <si>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</si>
  <si>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</si>
  <si>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</si>
  <si>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</si>
  <si>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</si>
  <si>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</si>
  <si>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</si>
  <si>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</si>
  <si>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</si>
  <si>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</si>
  <si>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</si>
  <si>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</si>
  <si>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</si>
  <si>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</si>
  <si>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</si>
  <si>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</si>
  <si>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</si>
  <si>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</si>
  <si>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</si>
  <si>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</si>
  <si>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</si>
  <si>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</si>
  <si>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</si>
  <si>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</si>
  <si>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</si>
  <si>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</si>
  <si>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</si>
  <si>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</si>
  <si>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</si>
  <si>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</si>
  <si>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</si>
  <si>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</si>
  <si>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</si>
  <si>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</si>
  <si>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</si>
  <si>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</si>
  <si>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</si>
  <si>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</si>
  <si>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</si>
  <si>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</si>
  <si>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</si>
  <si>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</si>
  <si>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</si>
  <si>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</si>
  <si>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</si>
  <si>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</si>
  <si>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</si>
  <si>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</si>
  <si>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</si>
  <si>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</si>
  <si>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</si>
  <si>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</si>
  <si>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</si>
  <si>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</si>
  <si>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</si>
  <si>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</si>
  <si>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</si>
  <si>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</si>
  <si>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</si>
  <si>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</si>
  <si>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</si>
  <si>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</si>
  <si>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</si>
  <si>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</si>
  <si>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</si>
  <si>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</si>
  <si>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</si>
  <si>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</si>
  <si>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</si>
  <si>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</si>
  <si>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</si>
  <si>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</si>
  <si>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</si>
  <si>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</si>
  <si>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</si>
  <si>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</si>
  <si>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</si>
  <si>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</si>
  <si>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</si>
  <si>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</si>
  <si>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</si>
  <si>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</si>
  <si>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</si>
  <si>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</si>
  <si>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</si>
  <si>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</si>
  <si>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</si>
  <si>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</si>
  <si>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</si>
  <si>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</si>
  <si>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</si>
  <si>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</si>
  <si>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</si>
  <si>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</si>
  <si>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</si>
  <si>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</si>
  <si>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</si>
  <si>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</si>
  <si>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</si>
  <si>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</si>
  <si>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</si>
  <si>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</si>
  <si>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</si>
  <si>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</si>
  <si>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</si>
  <si>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</si>
  <si>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</si>
  <si>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</si>
  <si>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</si>
  <si>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</si>
  <si>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</si>
  <si>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</si>
  <si>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</si>
  <si>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</si>
  <si>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</si>
  <si>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</si>
  <si>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</si>
  <si>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</si>
  <si>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</si>
  <si>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</si>
  <si>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</si>
  <si>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</si>
  <si>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</si>
  <si>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</si>
  <si>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</si>
  <si>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</si>
  <si>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</si>
  <si>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</si>
  <si>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</si>
  <si>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</si>
  <si>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</si>
  <si>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</si>
  <si>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</si>
  <si>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</si>
  <si>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</si>
  <si>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</si>
  <si>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</si>
  <si>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</si>
  <si>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</si>
  <si>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</si>
  <si>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</si>
  <si>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</si>
  <si>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</si>
  <si>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</si>
  <si>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</si>
  <si>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</si>
  <si>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</si>
  <si>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</si>
  <si>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</si>
  <si>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</si>
  <si>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</si>
  <si>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</si>
  <si>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</si>
  <si>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</si>
  <si>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</si>
  <si>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</si>
  <si>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</si>
  <si>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</si>
  <si>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</si>
  <si>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</si>
  <si>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</si>
  <si>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</si>
  <si>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</si>
  <si>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</si>
  <si>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</si>
  <si>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</si>
  <si>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</si>
  <si>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</si>
  <si>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</si>
  <si>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</si>
  <si>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</si>
  <si>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</si>
  <si>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</si>
  <si>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</si>
  <si>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</si>
  <si>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</si>
  <si>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</si>
  <si>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</si>
  <si>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</si>
  <si>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</si>
  <si>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</si>
  <si>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</si>
  <si>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</si>
  <si>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</si>
  <si>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</si>
  <si>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</si>
  <si>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</si>
  <si>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</si>
  <si>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</si>
  <si>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</si>
  <si>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</si>
  <si>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</si>
  <si>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</si>
  <si>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</si>
  <si>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</si>
  <si>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</si>
  <si>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</si>
  <si>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</si>
  <si>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</si>
  <si>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</si>
  <si>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</si>
  <si>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</si>
  <si>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</si>
  <si>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</si>
  <si>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</si>
  <si>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</si>
  <si>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</si>
  <si>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</si>
  <si>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</si>
  <si>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</si>
  <si>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</si>
  <si>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</si>
  <si>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</si>
  <si>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</si>
  <si>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</si>
  <si>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</si>
  <si>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</si>
  <si>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</si>
  <si>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</si>
  <si>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</si>
  <si>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</si>
  <si>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</si>
  <si>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</si>
  <si>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</si>
  <si>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</si>
  <si>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</si>
  <si>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</si>
  <si>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</si>
  <si>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</si>
  <si>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</si>
  <si>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</si>
  <si>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</si>
  <si>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</si>
  <si>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</si>
  <si>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</si>
  <si>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</si>
  <si>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</si>
  <si>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</si>
  <si>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</si>
  <si>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</si>
  <si>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</si>
  <si>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</si>
  <si>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</si>
  <si>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</si>
  <si>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</si>
  <si>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</si>
  <si>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</si>
  <si>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</si>
  <si>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</si>
  <si>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</si>
  <si>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</si>
  <si>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</si>
  <si>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</si>
  <si>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</si>
  <si>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</si>
  <si>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</si>
  <si>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</si>
  <si>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</si>
  <si>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</si>
  <si>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</si>
  <si>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</si>
  <si>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</si>
  <si>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</si>
  <si>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</si>
  <si>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</si>
  <si>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</si>
  <si>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</si>
  <si>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</si>
  <si>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</si>
  <si>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</si>
  <si>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</si>
  <si>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</si>
  <si>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</si>
  <si>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</si>
  <si>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</si>
  <si>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</si>
  <si>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</si>
  <si>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</si>
  <si>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</si>
  <si>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</si>
  <si>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</si>
  <si>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</si>
  <si>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</si>
  <si>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</si>
  <si>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</si>
  <si>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</si>
  <si>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</si>
  <si>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</si>
  <si>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</si>
  <si>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</si>
  <si>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</si>
  <si>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</si>
  <si>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</si>
  <si>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</si>
  <si>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</si>
  <si>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</si>
  <si>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</si>
  <si>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</si>
  <si>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</si>
  <si>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</si>
  <si>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</si>
  <si>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</si>
  <si>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</si>
  <si>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</si>
  <si>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</si>
  <si>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</si>
  <si>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</si>
  <si>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</si>
  <si>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</si>
  <si>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</si>
  <si>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</si>
  <si>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</si>
  <si>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</si>
  <si>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</si>
  <si>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</si>
  <si>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</si>
  <si>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</si>
  <si>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</si>
  <si>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</si>
  <si>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</si>
  <si>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</si>
  <si>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</si>
  <si>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</si>
  <si>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</si>
  <si>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</si>
  <si>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</si>
  <si>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</si>
  <si>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</si>
  <si>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</si>
  <si>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</si>
  <si>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</si>
  <si>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</si>
  <si>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</si>
  <si>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</si>
  <si>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</si>
  <si>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</si>
  <si>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</si>
  <si>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</si>
  <si>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</si>
  <si>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</si>
  <si>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</si>
  <si>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</si>
  <si>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</si>
  <si>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</si>
  <si>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</si>
  <si>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</si>
  <si>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</si>
  <si>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</si>
  <si>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</si>
  <si>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</si>
  <si>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</si>
  <si>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</si>
  <si>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</si>
  <si>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</si>
  <si>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</si>
  <si>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</si>
  <si>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</si>
  <si>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</si>
  <si>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</si>
  <si>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</si>
  <si>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</si>
  <si>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</si>
  <si>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</si>
  <si>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</si>
  <si>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</si>
  <si>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</si>
  <si>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</si>
  <si>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</si>
  <si>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</si>
  <si>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</si>
  <si>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</si>
  <si>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</si>
  <si>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</si>
  <si>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</si>
  <si>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</si>
  <si>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</si>
  <si>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</si>
  <si>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</si>
  <si>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</si>
  <si>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</si>
  <si>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</si>
  <si>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</si>
  <si>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</si>
  <si>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</si>
  <si>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</si>
  <si>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</si>
  <si>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</si>
  <si>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</si>
  <si>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</si>
  <si>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</si>
  <si>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</si>
  <si>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</si>
  <si>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</si>
  <si>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</si>
  <si>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</si>
  <si>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</si>
  <si>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</si>
  <si>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</si>
  <si>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</si>
  <si>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</si>
  <si>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</si>
  <si>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</si>
  <si>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</si>
  <si>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</si>
  <si>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</si>
  <si>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</si>
  <si>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</si>
  <si>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</si>
  <si>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</si>
  <si>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</si>
  <si>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</si>
  <si>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</si>
  <si>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</si>
  <si>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</si>
  <si>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</si>
  <si>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</si>
  <si>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</si>
  <si>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</si>
  <si>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</si>
  <si>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</si>
  <si>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</si>
  <si>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</si>
  <si>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</si>
  <si>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</si>
  <si>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</si>
  <si>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</si>
  <si>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</si>
  <si>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</si>
  <si>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</si>
  <si>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</si>
  <si>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</si>
  <si>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</si>
  <si>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</si>
  <si>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</si>
  <si>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</si>
  <si>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</si>
  <si>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</si>
  <si>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</si>
  <si>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</si>
  <si>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</si>
  <si>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</si>
  <si>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</si>
  <si>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</si>
  <si>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</si>
  <si>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</si>
  <si>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</si>
  <si>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</si>
  <si>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</si>
  <si>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</si>
  <si>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</si>
  <si>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</si>
  <si>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</si>
  <si>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</si>
  <si>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</si>
  <si>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</si>
  <si>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</si>
  <si>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</si>
  <si>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</si>
  <si>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</si>
  <si>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</si>
  <si>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</si>
  <si>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</si>
  <si>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</si>
  <si>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</si>
  <si>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</si>
  <si>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</si>
  <si>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</si>
  <si>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</si>
  <si>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</si>
  <si>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</si>
  <si>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</si>
  <si>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</si>
  <si>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</si>
  <si>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</si>
  <si>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</si>
  <si>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</si>
  <si>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</si>
  <si>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</si>
  <si>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</si>
  <si>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</si>
  <si>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</si>
  <si>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</si>
  <si>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</si>
  <si>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</si>
  <si>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</si>
  <si>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</si>
  <si>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</si>
  <si>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</si>
  <si>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</si>
  <si>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</si>
  <si>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</si>
  <si>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</si>
  <si>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</si>
  <si>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</si>
  <si>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</si>
  <si>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</si>
  <si>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</si>
  <si>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</si>
  <si>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</si>
  <si>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</si>
  <si>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</si>
  <si>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</si>
  <si>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</si>
  <si>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</si>
  <si>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</si>
  <si>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</si>
  <si>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</si>
  <si>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</si>
  <si>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</si>
  <si>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</si>
  <si>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</si>
  <si>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35029</t>
  </si>
  <si>
    <t>DE_HAAN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</si>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</sst>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99992.765553960591</c:v>
                </c:pt>
                <c:pt idx="1">
                  <c:v>82901.241817643939</c:v>
                </c:pt>
                <c:pt idx="2">
                  <c:v>1317.817</c:v>
                </c:pt>
                <c:pt idx="3">
                  <c:v>17349.542281083628</c:v>
                </c:pt>
                <c:pt idx="4">
                  <c:v>5139.1321004087449</c:v>
                </c:pt>
                <c:pt idx="5">
                  <c:v>77804.870276888294</c:v>
                </c:pt>
                <c:pt idx="6">
                  <c:v>1623.8556708476237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99992.765553960591</c:v>
                </c:pt>
                <c:pt idx="1">
                  <c:v>82901.241817643939</c:v>
                </c:pt>
                <c:pt idx="2">
                  <c:v>1317.817</c:v>
                </c:pt>
                <c:pt idx="3">
                  <c:v>17349.542281083628</c:v>
                </c:pt>
                <c:pt idx="4">
                  <c:v>5139.1321004087449</c:v>
                </c:pt>
                <c:pt idx="5">
                  <c:v>77804.870276888294</c:v>
                </c:pt>
                <c:pt idx="6">
                  <c:v>1623.8556708476237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20110.106673932933</c:v>
                </c:pt>
                <c:pt idx="1">
                  <c:v>16968.056647856236</c:v>
                </c:pt>
                <c:pt idx="2">
                  <c:v>280.41481313847987</c:v>
                </c:pt>
                <c:pt idx="3">
                  <c:v>3792.1903520770165</c:v>
                </c:pt>
                <c:pt idx="4">
                  <c:v>1022.8277216258011</c:v>
                </c:pt>
                <c:pt idx="5">
                  <c:v>19485.058696056287</c:v>
                </c:pt>
                <c:pt idx="6">
                  <c:v>357.75398031821589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20110.106673932933</c:v>
                </c:pt>
                <c:pt idx="1">
                  <c:v>16968.056647856236</c:v>
                </c:pt>
                <c:pt idx="2">
                  <c:v>280.41481313847987</c:v>
                </c:pt>
                <c:pt idx="3">
                  <c:v>3792.1903520770165</c:v>
                </c:pt>
                <c:pt idx="4">
                  <c:v>1022.8277216258011</c:v>
                </c:pt>
                <c:pt idx="5">
                  <c:v>19485.058696056287</c:v>
                </c:pt>
                <c:pt idx="6">
                  <c:v>357.75398031821589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35029</v>
      </c>
      <c r="B6" s="415"/>
      <c r="C6" s="416"/>
    </row>
    <row r="7" spans="1:7" s="413" customFormat="1" ht="15.75" customHeight="1">
      <c r="A7" s="417" t="str">
        <f>txtMunicipality</f>
        <v>DE_HAAN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29287.65328356218</v>
      </c>
      <c r="D10" s="718">
        <f ca="1">tertiair!C16</f>
        <v>0</v>
      </c>
      <c r="E10" s="718">
        <f ca="1">tertiair!D16</f>
        <v>48559.953307785356</v>
      </c>
      <c r="F10" s="718">
        <f>tertiair!E16</f>
        <v>303.92696814080131</v>
      </c>
      <c r="G10" s="718">
        <f ca="1">tertiair!F16</f>
        <v>4263.3393200729743</v>
      </c>
      <c r="H10" s="718">
        <f>tertiair!G16</f>
        <v>0</v>
      </c>
      <c r="I10" s="718">
        <f>tertiair!H16</f>
        <v>0</v>
      </c>
      <c r="J10" s="718">
        <f>tertiair!I16</f>
        <v>0</v>
      </c>
      <c r="K10" s="718">
        <f>tertiair!J16</f>
        <v>4.2843312145878672E-2</v>
      </c>
      <c r="L10" s="718">
        <f>tertiair!K16</f>
        <v>0</v>
      </c>
      <c r="M10" s="718">
        <f ca="1">tertiair!L16</f>
        <v>0</v>
      </c>
      <c r="N10" s="718">
        <f>tertiair!M16</f>
        <v>0</v>
      </c>
      <c r="O10" s="718">
        <f ca="1">tertiair!N16</f>
        <v>1737.563094770481</v>
      </c>
      <c r="P10" s="718">
        <f>tertiair!O16</f>
        <v>9.3800000000000008</v>
      </c>
      <c r="Q10" s="719">
        <f>tertiair!P16</f>
        <v>57.2</v>
      </c>
      <c r="R10" s="721">
        <f ca="1">SUM(C10:Q10)</f>
        <v>84219.058817643934</v>
      </c>
      <c r="S10" s="67"/>
    </row>
    <row r="11" spans="1:19" s="474" customFormat="1">
      <c r="A11" s="870" t="s">
        <v>225</v>
      </c>
      <c r="B11" s="875"/>
      <c r="C11" s="718">
        <f>huishoudens!B8</f>
        <v>30312.092245501186</v>
      </c>
      <c r="D11" s="718">
        <f>huishoudens!C8</f>
        <v>0</v>
      </c>
      <c r="E11" s="718">
        <f>huishoudens!D8</f>
        <v>66312.459576898764</v>
      </c>
      <c r="F11" s="718">
        <f>huishoudens!E8</f>
        <v>1167.2222961990215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1606.4314353616164</v>
      </c>
      <c r="P11" s="718">
        <f>huishoudens!O8</f>
        <v>175.09333333333336</v>
      </c>
      <c r="Q11" s="719">
        <f>huishoudens!P8</f>
        <v>419.4666666666667</v>
      </c>
      <c r="R11" s="721">
        <f>SUM(C11:Q11)</f>
        <v>99992.765553960591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1242.1088181786545</v>
      </c>
      <c r="D13" s="718">
        <f>industrie!C18</f>
        <v>0</v>
      </c>
      <c r="E13" s="718">
        <f>industrie!D18</f>
        <v>2820.2504410480346</v>
      </c>
      <c r="F13" s="718">
        <f>industrie!E18</f>
        <v>186.65335553274463</v>
      </c>
      <c r="G13" s="718">
        <f>industrie!F18</f>
        <v>547.17731658926095</v>
      </c>
      <c r="H13" s="718">
        <f>industrie!G18</f>
        <v>0</v>
      </c>
      <c r="I13" s="718">
        <f>industrie!H18</f>
        <v>0</v>
      </c>
      <c r="J13" s="718">
        <f>industrie!I18</f>
        <v>0</v>
      </c>
      <c r="K13" s="718">
        <f>industrie!J18</f>
        <v>1.0322289060273042</v>
      </c>
      <c r="L13" s="718">
        <f>industrie!K18</f>
        <v>0</v>
      </c>
      <c r="M13" s="718">
        <f>industrie!L18</f>
        <v>0</v>
      </c>
      <c r="N13" s="718">
        <f>industrie!M18</f>
        <v>0</v>
      </c>
      <c r="O13" s="718">
        <f>industrie!N18</f>
        <v>341.90994015402254</v>
      </c>
      <c r="P13" s="718">
        <f>industrie!O18</f>
        <v>0</v>
      </c>
      <c r="Q13" s="719">
        <f>industrie!P18</f>
        <v>0</v>
      </c>
      <c r="R13" s="721">
        <f>SUM(C13:Q13)</f>
        <v>5139.1321004087449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60841.854347242021</v>
      </c>
      <c r="D15" s="723">
        <f t="shared" ref="D15:Q15" ca="1" si="0">SUM(D9:D14)</f>
        <v>0</v>
      </c>
      <c r="E15" s="723">
        <f t="shared" ca="1" si="0"/>
        <v>117692.66332573215</v>
      </c>
      <c r="F15" s="723">
        <f t="shared" si="0"/>
        <v>1657.8026198725674</v>
      </c>
      <c r="G15" s="723">
        <f t="shared" ca="1" si="0"/>
        <v>4810.5166366622352</v>
      </c>
      <c r="H15" s="723">
        <f t="shared" si="0"/>
        <v>0</v>
      </c>
      <c r="I15" s="723">
        <f t="shared" si="0"/>
        <v>0</v>
      </c>
      <c r="J15" s="723">
        <f t="shared" si="0"/>
        <v>0</v>
      </c>
      <c r="K15" s="723">
        <f t="shared" si="0"/>
        <v>1.0750722181731829</v>
      </c>
      <c r="L15" s="723">
        <f t="shared" si="0"/>
        <v>0</v>
      </c>
      <c r="M15" s="723">
        <f t="shared" ca="1" si="0"/>
        <v>0</v>
      </c>
      <c r="N15" s="723">
        <f t="shared" si="0"/>
        <v>0</v>
      </c>
      <c r="O15" s="723">
        <f t="shared" ca="1" si="0"/>
        <v>3685.9044702861202</v>
      </c>
      <c r="P15" s="723">
        <f t="shared" si="0"/>
        <v>184.47333333333336</v>
      </c>
      <c r="Q15" s="724">
        <f t="shared" si="0"/>
        <v>476.66666666666669</v>
      </c>
      <c r="R15" s="725">
        <f ca="1">SUM(R9:R14)</f>
        <v>189350.95647201329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1317.3573131962596</v>
      </c>
      <c r="D18" s="718">
        <f>transport!C54</f>
        <v>0</v>
      </c>
      <c r="E18" s="718">
        <f>transport!D54</f>
        <v>0</v>
      </c>
      <c r="F18" s="718">
        <f>transport!E54</f>
        <v>0</v>
      </c>
      <c r="G18" s="718">
        <f>transport!F54</f>
        <v>0</v>
      </c>
      <c r="H18" s="718">
        <f>transport!G54</f>
        <v>290.02615253024982</v>
      </c>
      <c r="I18" s="718">
        <f>transport!H54</f>
        <v>0</v>
      </c>
      <c r="J18" s="718">
        <f>transport!I54</f>
        <v>0</v>
      </c>
      <c r="K18" s="718">
        <f>transport!J54</f>
        <v>0</v>
      </c>
      <c r="L18" s="718">
        <f>transport!K54</f>
        <v>0</v>
      </c>
      <c r="M18" s="718">
        <f>transport!L54</f>
        <v>0</v>
      </c>
      <c r="N18" s="718">
        <f>transport!M54</f>
        <v>16.472205121114321</v>
      </c>
      <c r="O18" s="718">
        <f>transport!N54</f>
        <v>0</v>
      </c>
      <c r="P18" s="718">
        <f>transport!O54</f>
        <v>0</v>
      </c>
      <c r="Q18" s="719">
        <f>transport!P54</f>
        <v>0</v>
      </c>
      <c r="R18" s="721">
        <f>SUM(C18:Q18)</f>
        <v>1623.8556708476237</v>
      </c>
      <c r="S18" s="67"/>
    </row>
    <row r="19" spans="1:19" s="474" customFormat="1" ht="15" thickBot="1">
      <c r="A19" s="870" t="s">
        <v>307</v>
      </c>
      <c r="B19" s="875"/>
      <c r="C19" s="727">
        <f>transport!B14</f>
        <v>32.882589991831942</v>
      </c>
      <c r="D19" s="727">
        <f>transport!C14</f>
        <v>0</v>
      </c>
      <c r="E19" s="727">
        <f>transport!D14</f>
        <v>108.29681869833065</v>
      </c>
      <c r="F19" s="727">
        <f>transport!E14</f>
        <v>145.71881264428114</v>
      </c>
      <c r="G19" s="727">
        <f>transport!F14</f>
        <v>0</v>
      </c>
      <c r="H19" s="727">
        <f>transport!G14</f>
        <v>61319.941837744773</v>
      </c>
      <c r="I19" s="727">
        <f>transport!H14</f>
        <v>12251.739348187813</v>
      </c>
      <c r="J19" s="727">
        <f>transport!I14</f>
        <v>0</v>
      </c>
      <c r="K19" s="727">
        <f>transport!J14</f>
        <v>0</v>
      </c>
      <c r="L19" s="727">
        <f>transport!K14</f>
        <v>0</v>
      </c>
      <c r="M19" s="727">
        <f>transport!L14</f>
        <v>0</v>
      </c>
      <c r="N19" s="727">
        <f>transport!M14</f>
        <v>3946.2908696212739</v>
      </c>
      <c r="O19" s="727">
        <f>transport!N14</f>
        <v>0</v>
      </c>
      <c r="P19" s="727">
        <f>transport!O14</f>
        <v>0</v>
      </c>
      <c r="Q19" s="728">
        <f>transport!P14</f>
        <v>0</v>
      </c>
      <c r="R19" s="729">
        <f>SUM(C19:Q19)</f>
        <v>77804.870276888294</v>
      </c>
      <c r="S19" s="67"/>
    </row>
    <row r="20" spans="1:19" s="474" customFormat="1" ht="15.75" thickBot="1">
      <c r="A20" s="730" t="s">
        <v>230</v>
      </c>
      <c r="B20" s="878"/>
      <c r="C20" s="873">
        <f>SUM(C17:C19)</f>
        <v>1350.2399031880916</v>
      </c>
      <c r="D20" s="731">
        <f t="shared" ref="D20:R20" si="1">SUM(D17:D19)</f>
        <v>0</v>
      </c>
      <c r="E20" s="731">
        <f t="shared" si="1"/>
        <v>108.29681869833065</v>
      </c>
      <c r="F20" s="731">
        <f t="shared" si="1"/>
        <v>145.71881264428114</v>
      </c>
      <c r="G20" s="731">
        <f t="shared" si="1"/>
        <v>0</v>
      </c>
      <c r="H20" s="731">
        <f t="shared" si="1"/>
        <v>61609.967990275021</v>
      </c>
      <c r="I20" s="731">
        <f t="shared" si="1"/>
        <v>12251.739348187813</v>
      </c>
      <c r="J20" s="731">
        <f t="shared" si="1"/>
        <v>0</v>
      </c>
      <c r="K20" s="731">
        <f t="shared" si="1"/>
        <v>0</v>
      </c>
      <c r="L20" s="731">
        <f t="shared" si="1"/>
        <v>0</v>
      </c>
      <c r="M20" s="731">
        <f t="shared" si="1"/>
        <v>0</v>
      </c>
      <c r="N20" s="731">
        <f t="shared" si="1"/>
        <v>3962.7630747423882</v>
      </c>
      <c r="O20" s="731">
        <f t="shared" si="1"/>
        <v>0</v>
      </c>
      <c r="P20" s="731">
        <f t="shared" si="1"/>
        <v>0</v>
      </c>
      <c r="Q20" s="732">
        <f t="shared" si="1"/>
        <v>0</v>
      </c>
      <c r="R20" s="733">
        <f t="shared" si="1"/>
        <v>79428.725947735918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944.96961848377703</v>
      </c>
      <c r="D22" s="727">
        <f>+landbouw!C8</f>
        <v>0</v>
      </c>
      <c r="E22" s="727">
        <f>+landbouw!D8</f>
        <v>12303.198947853376</v>
      </c>
      <c r="F22" s="727">
        <f>+landbouw!E8</f>
        <v>27.77554335759071</v>
      </c>
      <c r="G22" s="727">
        <f>+landbouw!F8</f>
        <v>3936.6923671254353</v>
      </c>
      <c r="H22" s="727">
        <f>+landbouw!G8</f>
        <v>0</v>
      </c>
      <c r="I22" s="727">
        <f>+landbouw!H8</f>
        <v>0</v>
      </c>
      <c r="J22" s="727">
        <f>+landbouw!I8</f>
        <v>0</v>
      </c>
      <c r="K22" s="727">
        <f>+landbouw!J8</f>
        <v>136.90580426344548</v>
      </c>
      <c r="L22" s="727">
        <f>+landbouw!K8</f>
        <v>0</v>
      </c>
      <c r="M22" s="727">
        <f>+landbouw!L8</f>
        <v>0</v>
      </c>
      <c r="N22" s="727">
        <f>+landbouw!M8</f>
        <v>0</v>
      </c>
      <c r="O22" s="727">
        <f>+landbouw!N8</f>
        <v>0</v>
      </c>
      <c r="P22" s="727">
        <f>+landbouw!O8</f>
        <v>0</v>
      </c>
      <c r="Q22" s="728">
        <f>+landbouw!P8</f>
        <v>0</v>
      </c>
      <c r="R22" s="729">
        <f>SUM(C22:Q22)</f>
        <v>17349.542281083628</v>
      </c>
      <c r="S22" s="67"/>
    </row>
    <row r="23" spans="1:19" s="474" customFormat="1" ht="17.25" thickTop="1" thickBot="1">
      <c r="A23" s="734" t="s">
        <v>116</v>
      </c>
      <c r="B23" s="864"/>
      <c r="C23" s="735">
        <f ca="1">C20+C15+C22</f>
        <v>63137.063868913887</v>
      </c>
      <c r="D23" s="735">
        <f t="shared" ref="D23:Q23" ca="1" si="2">D20+D15+D22</f>
        <v>0</v>
      </c>
      <c r="E23" s="735">
        <f t="shared" ca="1" si="2"/>
        <v>130104.15909228387</v>
      </c>
      <c r="F23" s="735">
        <f t="shared" si="2"/>
        <v>1831.2969758744393</v>
      </c>
      <c r="G23" s="735">
        <f t="shared" ca="1" si="2"/>
        <v>8747.2090037876696</v>
      </c>
      <c r="H23" s="735">
        <f t="shared" si="2"/>
        <v>61609.967990275021</v>
      </c>
      <c r="I23" s="735">
        <f t="shared" si="2"/>
        <v>12251.739348187813</v>
      </c>
      <c r="J23" s="735">
        <f t="shared" si="2"/>
        <v>0</v>
      </c>
      <c r="K23" s="735">
        <f t="shared" si="2"/>
        <v>137.98087648161865</v>
      </c>
      <c r="L23" s="735">
        <f t="shared" si="2"/>
        <v>0</v>
      </c>
      <c r="M23" s="735">
        <f t="shared" ca="1" si="2"/>
        <v>0</v>
      </c>
      <c r="N23" s="735">
        <f t="shared" si="2"/>
        <v>3962.7630747423882</v>
      </c>
      <c r="O23" s="735">
        <f t="shared" ca="1" si="2"/>
        <v>3685.9044702861202</v>
      </c>
      <c r="P23" s="735">
        <f t="shared" si="2"/>
        <v>184.47333333333336</v>
      </c>
      <c r="Q23" s="736">
        <f t="shared" si="2"/>
        <v>476.66666666666669</v>
      </c>
      <c r="R23" s="737">
        <f ca="1">R20+R15+R22</f>
        <v>286129.22470083286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6232.0427060621278</v>
      </c>
      <c r="D36" s="718">
        <f ca="1">tertiair!C20</f>
        <v>0</v>
      </c>
      <c r="E36" s="718">
        <f ca="1">tertiair!D20</f>
        <v>9809.1105681726422</v>
      </c>
      <c r="F36" s="718">
        <f>tertiair!E20</f>
        <v>68.991421767961896</v>
      </c>
      <c r="G36" s="718">
        <f ca="1">tertiair!F20</f>
        <v>1138.3115984594842</v>
      </c>
      <c r="H36" s="718">
        <f>tertiair!G20</f>
        <v>0</v>
      </c>
      <c r="I36" s="718">
        <f>tertiair!H20</f>
        <v>0</v>
      </c>
      <c r="J36" s="718">
        <f>tertiair!I20</f>
        <v>0</v>
      </c>
      <c r="K36" s="718">
        <f>tertiair!J20</f>
        <v>1.5166532499641049E-2</v>
      </c>
      <c r="L36" s="718">
        <f>tertiair!K20</f>
        <v>0</v>
      </c>
      <c r="M36" s="718">
        <f ca="1">tertiair!L20</f>
        <v>0</v>
      </c>
      <c r="N36" s="718">
        <f>tertiair!M20</f>
        <v>0</v>
      </c>
      <c r="O36" s="718">
        <f ca="1">tertiair!N20</f>
        <v>0</v>
      </c>
      <c r="P36" s="718">
        <f>tertiair!O20</f>
        <v>0</v>
      </c>
      <c r="Q36" s="828">
        <f>tertiair!P20</f>
        <v>0</v>
      </c>
      <c r="R36" s="917">
        <f ca="1">SUM(C36:Q36)</f>
        <v>17248.471460994715</v>
      </c>
    </row>
    <row r="37" spans="1:18">
      <c r="A37" s="885" t="s">
        <v>225</v>
      </c>
      <c r="B37" s="892"/>
      <c r="C37" s="718">
        <f ca="1">huishoudens!B12</f>
        <v>6450.0303781622033</v>
      </c>
      <c r="D37" s="718">
        <f ca="1">huishoudens!C12</f>
        <v>0</v>
      </c>
      <c r="E37" s="718">
        <f>huishoudens!D12</f>
        <v>13395.116834533552</v>
      </c>
      <c r="F37" s="718">
        <f>huishoudens!E12</f>
        <v>264.95946123717789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20110.106673932933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264.30506826609877</v>
      </c>
      <c r="D39" s="718">
        <f ca="1">industrie!C22</f>
        <v>0</v>
      </c>
      <c r="E39" s="718">
        <f>industrie!D22</f>
        <v>569.69058909170303</v>
      </c>
      <c r="F39" s="718">
        <f>industrie!E22</f>
        <v>42.370311705933034</v>
      </c>
      <c r="G39" s="718">
        <f>industrie!F22</f>
        <v>146.09634352933267</v>
      </c>
      <c r="H39" s="718">
        <f>industrie!G22</f>
        <v>0</v>
      </c>
      <c r="I39" s="718">
        <f>industrie!H22</f>
        <v>0</v>
      </c>
      <c r="J39" s="718">
        <f>industrie!I22</f>
        <v>0</v>
      </c>
      <c r="K39" s="718">
        <f>industrie!J22</f>
        <v>0.36540903273366565</v>
      </c>
      <c r="L39" s="718">
        <f>industrie!K22</f>
        <v>0</v>
      </c>
      <c r="M39" s="718">
        <f>industrie!L22</f>
        <v>0</v>
      </c>
      <c r="N39" s="718">
        <f>industrie!M22</f>
        <v>0</v>
      </c>
      <c r="O39" s="718">
        <f>industrie!N22</f>
        <v>0</v>
      </c>
      <c r="P39" s="718">
        <f>industrie!O22</f>
        <v>0</v>
      </c>
      <c r="Q39" s="828">
        <f>industrie!P22</f>
        <v>0</v>
      </c>
      <c r="R39" s="918">
        <f ca="1">SUM(C39:Q39)</f>
        <v>1022.8277216258011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12946.378152490432</v>
      </c>
      <c r="D41" s="763">
        <f t="shared" ref="D41:R41" ca="1" si="4">SUM(D35:D40)</f>
        <v>0</v>
      </c>
      <c r="E41" s="763">
        <f t="shared" ca="1" si="4"/>
        <v>23773.917991797898</v>
      </c>
      <c r="F41" s="763">
        <f t="shared" si="4"/>
        <v>376.32119471107279</v>
      </c>
      <c r="G41" s="763">
        <f t="shared" ca="1" si="4"/>
        <v>1284.4079419888169</v>
      </c>
      <c r="H41" s="763">
        <f t="shared" si="4"/>
        <v>0</v>
      </c>
      <c r="I41" s="763">
        <f t="shared" si="4"/>
        <v>0</v>
      </c>
      <c r="J41" s="763">
        <f t="shared" si="4"/>
        <v>0</v>
      </c>
      <c r="K41" s="763">
        <f t="shared" si="4"/>
        <v>0.38057556523330671</v>
      </c>
      <c r="L41" s="763">
        <f t="shared" si="4"/>
        <v>0</v>
      </c>
      <c r="M41" s="763">
        <f t="shared" ca="1" si="4"/>
        <v>0</v>
      </c>
      <c r="N41" s="763">
        <f t="shared" si="4"/>
        <v>0</v>
      </c>
      <c r="O41" s="763">
        <f t="shared" ca="1" si="4"/>
        <v>0</v>
      </c>
      <c r="P41" s="763">
        <f t="shared" si="4"/>
        <v>0</v>
      </c>
      <c r="Q41" s="764">
        <f t="shared" si="4"/>
        <v>0</v>
      </c>
      <c r="R41" s="765">
        <f t="shared" ca="1" si="4"/>
        <v>38381.405856553451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280.31699759263921</v>
      </c>
      <c r="D44" s="718">
        <f ca="1">transport!C58</f>
        <v>0</v>
      </c>
      <c r="E44" s="718">
        <f>transport!D58</f>
        <v>0</v>
      </c>
      <c r="F44" s="718">
        <f>transport!E58</f>
        <v>0</v>
      </c>
      <c r="G44" s="718">
        <f>transport!F58</f>
        <v>0</v>
      </c>
      <c r="H44" s="718">
        <f>transport!G58</f>
        <v>77.436982725576712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357.75398031821589</v>
      </c>
    </row>
    <row r="45" spans="1:18" ht="15" thickBot="1">
      <c r="A45" s="888" t="s">
        <v>307</v>
      </c>
      <c r="B45" s="898"/>
      <c r="C45" s="727">
        <f ca="1">transport!B18</f>
        <v>6.9969998323506237</v>
      </c>
      <c r="D45" s="727">
        <f>transport!C18</f>
        <v>0</v>
      </c>
      <c r="E45" s="727">
        <f>transport!D18</f>
        <v>21.875957377062793</v>
      </c>
      <c r="F45" s="727">
        <f>transport!E18</f>
        <v>33.07817047025182</v>
      </c>
      <c r="G45" s="727">
        <f>transport!F18</f>
        <v>0</v>
      </c>
      <c r="H45" s="727">
        <f>transport!G18</f>
        <v>16372.424470677855</v>
      </c>
      <c r="I45" s="727">
        <f>transport!H18</f>
        <v>3050.6830976987653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19485.058696056287</v>
      </c>
    </row>
    <row r="46" spans="1:18" ht="15.75" thickBot="1">
      <c r="A46" s="886" t="s">
        <v>230</v>
      </c>
      <c r="B46" s="899"/>
      <c r="C46" s="763">
        <f t="shared" ref="C46:R46" ca="1" si="5">SUM(C43:C45)</f>
        <v>287.31399742498985</v>
      </c>
      <c r="D46" s="763">
        <f t="shared" ca="1" si="5"/>
        <v>0</v>
      </c>
      <c r="E46" s="763">
        <f t="shared" si="5"/>
        <v>21.875957377062793</v>
      </c>
      <c r="F46" s="763">
        <f t="shared" si="5"/>
        <v>33.07817047025182</v>
      </c>
      <c r="G46" s="763">
        <f t="shared" si="5"/>
        <v>0</v>
      </c>
      <c r="H46" s="763">
        <f t="shared" si="5"/>
        <v>16449.861453403431</v>
      </c>
      <c r="I46" s="763">
        <f t="shared" si="5"/>
        <v>3050.6830976987653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19842.812676374502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201.0775995367103</v>
      </c>
      <c r="D48" s="718">
        <f ca="1">+landbouw!C12</f>
        <v>0</v>
      </c>
      <c r="E48" s="718">
        <f>+landbouw!D12</f>
        <v>2485.2461874663823</v>
      </c>
      <c r="F48" s="718">
        <f>+landbouw!E12</f>
        <v>6.305048342173091</v>
      </c>
      <c r="G48" s="718">
        <f>+landbouw!F12</f>
        <v>1051.0968620224912</v>
      </c>
      <c r="H48" s="718">
        <f>+landbouw!G12</f>
        <v>0</v>
      </c>
      <c r="I48" s="718">
        <f>+landbouw!H12</f>
        <v>0</v>
      </c>
      <c r="J48" s="718">
        <f>+landbouw!I12</f>
        <v>0</v>
      </c>
      <c r="K48" s="718">
        <f>+landbouw!J12</f>
        <v>48.464654709259698</v>
      </c>
      <c r="L48" s="718">
        <f>+landbouw!K12</f>
        <v>0</v>
      </c>
      <c r="M48" s="718">
        <f>+landbouw!L12</f>
        <v>0</v>
      </c>
      <c r="N48" s="718">
        <f>+landbouw!M12</f>
        <v>0</v>
      </c>
      <c r="O48" s="718">
        <f>+landbouw!N12</f>
        <v>0</v>
      </c>
      <c r="P48" s="718">
        <f>+landbouw!O12</f>
        <v>0</v>
      </c>
      <c r="Q48" s="719">
        <f>+landbouw!P12</f>
        <v>0</v>
      </c>
      <c r="R48" s="761">
        <f ca="1">SUM(C48:Q48)</f>
        <v>3792.1903520770165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13434.769749452131</v>
      </c>
      <c r="D53" s="773">
        <f t="shared" ref="D53:Q53" ca="1" si="6">D41+D46+D48</f>
        <v>0</v>
      </c>
      <c r="E53" s="773">
        <f t="shared" ca="1" si="6"/>
        <v>26281.040136641343</v>
      </c>
      <c r="F53" s="773">
        <f t="shared" si="6"/>
        <v>415.70441352349769</v>
      </c>
      <c r="G53" s="773">
        <f t="shared" ca="1" si="6"/>
        <v>2335.5048040113079</v>
      </c>
      <c r="H53" s="773">
        <f t="shared" si="6"/>
        <v>16449.861453403431</v>
      </c>
      <c r="I53" s="773">
        <f t="shared" si="6"/>
        <v>3050.6830976987653</v>
      </c>
      <c r="J53" s="773">
        <f t="shared" si="6"/>
        <v>0</v>
      </c>
      <c r="K53" s="773">
        <f t="shared" si="6"/>
        <v>48.845230274493005</v>
      </c>
      <c r="L53" s="773">
        <f t="shared" si="6"/>
        <v>0</v>
      </c>
      <c r="M53" s="773">
        <f t="shared" ca="1" si="6"/>
        <v>0</v>
      </c>
      <c r="N53" s="773">
        <f t="shared" si="6"/>
        <v>0</v>
      </c>
      <c r="O53" s="773">
        <f t="shared" ca="1" si="6"/>
        <v>0</v>
      </c>
      <c r="P53" s="773">
        <f>P41+P46+P48</f>
        <v>0</v>
      </c>
      <c r="Q53" s="774">
        <f t="shared" si="6"/>
        <v>0</v>
      </c>
      <c r="R53" s="775">
        <f ca="1">R41+R46+R48</f>
        <v>62016.408885004967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0.21278736967157041</v>
      </c>
      <c r="D55" s="836">
        <f t="shared" ca="1" si="7"/>
        <v>0</v>
      </c>
      <c r="E55" s="836">
        <f t="shared" ca="1" si="7"/>
        <v>0.20200000000000001</v>
      </c>
      <c r="F55" s="836">
        <f t="shared" si="7"/>
        <v>0.22699999999999998</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2346.2505229766566</v>
      </c>
      <c r="C66" s="795">
        <f>'lokale energieproductie'!B6</f>
        <v>2346.2505229766566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2346.2505229766566</v>
      </c>
      <c r="C69" s="803">
        <f>SUM(C64:C68)</f>
        <v>2346.2505229766566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30312.092245501186</v>
      </c>
      <c r="C4" s="478">
        <f>huishoudens!C8</f>
        <v>0</v>
      </c>
      <c r="D4" s="478">
        <f>huishoudens!D8</f>
        <v>66312.459576898764</v>
      </c>
      <c r="E4" s="478">
        <f>huishoudens!E8</f>
        <v>1167.2222961990215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1606.4314353616164</v>
      </c>
      <c r="O4" s="478">
        <f>huishoudens!O8</f>
        <v>175.09333333333336</v>
      </c>
      <c r="P4" s="479">
        <f>huishoudens!P8</f>
        <v>419.4666666666667</v>
      </c>
      <c r="Q4" s="480">
        <f>SUM(B4:P4)</f>
        <v>99992.765553960591</v>
      </c>
    </row>
    <row r="5" spans="1:17">
      <c r="A5" s="477" t="s">
        <v>156</v>
      </c>
      <c r="B5" s="478">
        <f ca="1">tertiair!B16</f>
        <v>27969.836283562181</v>
      </c>
      <c r="C5" s="478">
        <f ca="1">tertiair!C16</f>
        <v>0</v>
      </c>
      <c r="D5" s="478">
        <f ca="1">tertiair!D16</f>
        <v>48559.953307785356</v>
      </c>
      <c r="E5" s="478">
        <f>tertiair!E16</f>
        <v>303.92696814080131</v>
      </c>
      <c r="F5" s="478">
        <f ca="1">tertiair!F16</f>
        <v>4263.3393200729743</v>
      </c>
      <c r="G5" s="478">
        <f>tertiair!G16</f>
        <v>0</v>
      </c>
      <c r="H5" s="478">
        <f>tertiair!H16</f>
        <v>0</v>
      </c>
      <c r="I5" s="478">
        <f>tertiair!I16</f>
        <v>0</v>
      </c>
      <c r="J5" s="478">
        <f>tertiair!J16</f>
        <v>4.2843312145878672E-2</v>
      </c>
      <c r="K5" s="478">
        <f>tertiair!K16</f>
        <v>0</v>
      </c>
      <c r="L5" s="478">
        <f ca="1">tertiair!L16</f>
        <v>0</v>
      </c>
      <c r="M5" s="478">
        <f>tertiair!M16</f>
        <v>0</v>
      </c>
      <c r="N5" s="478">
        <f ca="1">tertiair!N16</f>
        <v>1737.563094770481</v>
      </c>
      <c r="O5" s="478">
        <f>tertiair!O16</f>
        <v>9.3800000000000008</v>
      </c>
      <c r="P5" s="479">
        <f>tertiair!P16</f>
        <v>57.2</v>
      </c>
      <c r="Q5" s="477">
        <f t="shared" ref="Q5:Q13" ca="1" si="0">SUM(B5:P5)</f>
        <v>82901.241817643939</v>
      </c>
    </row>
    <row r="6" spans="1:17">
      <c r="A6" s="477" t="s">
        <v>194</v>
      </c>
      <c r="B6" s="478">
        <f>'openbare verlichting'!B8</f>
        <v>1317.817</v>
      </c>
      <c r="C6" s="478"/>
      <c r="D6" s="478"/>
      <c r="E6" s="478"/>
      <c r="F6" s="478"/>
      <c r="G6" s="478"/>
      <c r="H6" s="478"/>
      <c r="I6" s="478"/>
      <c r="J6" s="478"/>
      <c r="K6" s="478"/>
      <c r="L6" s="478"/>
      <c r="M6" s="478"/>
      <c r="N6" s="478"/>
      <c r="O6" s="478"/>
      <c r="P6" s="479"/>
      <c r="Q6" s="477">
        <f t="shared" si="0"/>
        <v>1317.817</v>
      </c>
    </row>
    <row r="7" spans="1:17">
      <c r="A7" s="477" t="s">
        <v>112</v>
      </c>
      <c r="B7" s="478">
        <f>landbouw!B8</f>
        <v>944.96961848377703</v>
      </c>
      <c r="C7" s="478">
        <f>landbouw!C8</f>
        <v>0</v>
      </c>
      <c r="D7" s="478">
        <f>landbouw!D8</f>
        <v>12303.198947853376</v>
      </c>
      <c r="E7" s="478">
        <f>landbouw!E8</f>
        <v>27.77554335759071</v>
      </c>
      <c r="F7" s="478">
        <f>landbouw!F8</f>
        <v>3936.6923671254353</v>
      </c>
      <c r="G7" s="478">
        <f>landbouw!G8</f>
        <v>0</v>
      </c>
      <c r="H7" s="478">
        <f>landbouw!H8</f>
        <v>0</v>
      </c>
      <c r="I7" s="478">
        <f>landbouw!I8</f>
        <v>0</v>
      </c>
      <c r="J7" s="478">
        <f>landbouw!J8</f>
        <v>136.90580426344548</v>
      </c>
      <c r="K7" s="478">
        <f>landbouw!K8</f>
        <v>0</v>
      </c>
      <c r="L7" s="478">
        <f>landbouw!L8</f>
        <v>0</v>
      </c>
      <c r="M7" s="478">
        <f>landbouw!M8</f>
        <v>0</v>
      </c>
      <c r="N7" s="478">
        <f>landbouw!N8</f>
        <v>0</v>
      </c>
      <c r="O7" s="478">
        <f>landbouw!O8</f>
        <v>0</v>
      </c>
      <c r="P7" s="479">
        <f>landbouw!P8</f>
        <v>0</v>
      </c>
      <c r="Q7" s="477">
        <f t="shared" si="0"/>
        <v>17349.542281083628</v>
      </c>
    </row>
    <row r="8" spans="1:17">
      <c r="A8" s="477" t="s">
        <v>635</v>
      </c>
      <c r="B8" s="478">
        <f>industrie!B18</f>
        <v>1242.1088181786545</v>
      </c>
      <c r="C8" s="478">
        <f>industrie!C18</f>
        <v>0</v>
      </c>
      <c r="D8" s="478">
        <f>industrie!D18</f>
        <v>2820.2504410480346</v>
      </c>
      <c r="E8" s="478">
        <f>industrie!E18</f>
        <v>186.65335553274463</v>
      </c>
      <c r="F8" s="478">
        <f>industrie!F18</f>
        <v>547.17731658926095</v>
      </c>
      <c r="G8" s="478">
        <f>industrie!G18</f>
        <v>0</v>
      </c>
      <c r="H8" s="478">
        <f>industrie!H18</f>
        <v>0</v>
      </c>
      <c r="I8" s="478">
        <f>industrie!I18</f>
        <v>0</v>
      </c>
      <c r="J8" s="478">
        <f>industrie!J18</f>
        <v>1.0322289060273042</v>
      </c>
      <c r="K8" s="478">
        <f>industrie!K18</f>
        <v>0</v>
      </c>
      <c r="L8" s="478">
        <f>industrie!L18</f>
        <v>0</v>
      </c>
      <c r="M8" s="478">
        <f>industrie!M18</f>
        <v>0</v>
      </c>
      <c r="N8" s="478">
        <f>industrie!N18</f>
        <v>341.90994015402254</v>
      </c>
      <c r="O8" s="478">
        <f>industrie!O18</f>
        <v>0</v>
      </c>
      <c r="P8" s="479">
        <f>industrie!P18</f>
        <v>0</v>
      </c>
      <c r="Q8" s="477">
        <f t="shared" si="0"/>
        <v>5139.1321004087449</v>
      </c>
    </row>
    <row r="9" spans="1:17" s="483" customFormat="1">
      <c r="A9" s="481" t="s">
        <v>561</v>
      </c>
      <c r="B9" s="482">
        <f>transport!B14</f>
        <v>32.882589991831942</v>
      </c>
      <c r="C9" s="482"/>
      <c r="D9" s="482">
        <f>transport!D14</f>
        <v>108.29681869833065</v>
      </c>
      <c r="E9" s="482">
        <f>transport!E14</f>
        <v>145.71881264428114</v>
      </c>
      <c r="F9" s="482"/>
      <c r="G9" s="482">
        <f>transport!G14</f>
        <v>61319.941837744773</v>
      </c>
      <c r="H9" s="482">
        <f>transport!H14</f>
        <v>12251.739348187813</v>
      </c>
      <c r="I9" s="482"/>
      <c r="J9" s="482"/>
      <c r="K9" s="482"/>
      <c r="L9" s="482"/>
      <c r="M9" s="482">
        <f>transport!M14</f>
        <v>3946.2908696212739</v>
      </c>
      <c r="N9" s="482"/>
      <c r="O9" s="482"/>
      <c r="P9" s="482"/>
      <c r="Q9" s="481">
        <f>SUM(B9:P9)</f>
        <v>77804.870276888294</v>
      </c>
    </row>
    <row r="10" spans="1:17">
      <c r="A10" s="477" t="s">
        <v>551</v>
      </c>
      <c r="B10" s="478">
        <f>transport!B54</f>
        <v>1317.3573131962596</v>
      </c>
      <c r="C10" s="478"/>
      <c r="D10" s="478">
        <f>transport!D54</f>
        <v>0</v>
      </c>
      <c r="E10" s="478"/>
      <c r="F10" s="478"/>
      <c r="G10" s="478">
        <f>transport!G54</f>
        <v>290.02615253024982</v>
      </c>
      <c r="H10" s="478"/>
      <c r="I10" s="478"/>
      <c r="J10" s="478"/>
      <c r="K10" s="478"/>
      <c r="L10" s="478"/>
      <c r="M10" s="478">
        <f>transport!M54</f>
        <v>16.472205121114321</v>
      </c>
      <c r="N10" s="478"/>
      <c r="O10" s="478"/>
      <c r="P10" s="479"/>
      <c r="Q10" s="477">
        <f t="shared" si="0"/>
        <v>1623.8556708476237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63137.063868913894</v>
      </c>
      <c r="C14" s="488">
        <f t="shared" ref="C14:Q14" ca="1" si="1">SUM(C4:C13)</f>
        <v>0</v>
      </c>
      <c r="D14" s="488">
        <f t="shared" ca="1" si="1"/>
        <v>130104.15909228387</v>
      </c>
      <c r="E14" s="488">
        <f t="shared" si="1"/>
        <v>1831.2969758744393</v>
      </c>
      <c r="F14" s="488">
        <f t="shared" ca="1" si="1"/>
        <v>8747.2090037876715</v>
      </c>
      <c r="G14" s="488">
        <f t="shared" si="1"/>
        <v>61609.967990275021</v>
      </c>
      <c r="H14" s="488">
        <f t="shared" si="1"/>
        <v>12251.739348187813</v>
      </c>
      <c r="I14" s="488">
        <f t="shared" si="1"/>
        <v>0</v>
      </c>
      <c r="J14" s="488">
        <f t="shared" si="1"/>
        <v>137.98087648161868</v>
      </c>
      <c r="K14" s="488">
        <f t="shared" si="1"/>
        <v>0</v>
      </c>
      <c r="L14" s="488">
        <f t="shared" ca="1" si="1"/>
        <v>0</v>
      </c>
      <c r="M14" s="488">
        <f t="shared" si="1"/>
        <v>3962.7630747423882</v>
      </c>
      <c r="N14" s="488">
        <f t="shared" ca="1" si="1"/>
        <v>3685.9044702861202</v>
      </c>
      <c r="O14" s="488">
        <f t="shared" si="1"/>
        <v>184.47333333333336</v>
      </c>
      <c r="P14" s="489">
        <f t="shared" si="1"/>
        <v>476.66666666666669</v>
      </c>
      <c r="Q14" s="489">
        <f t="shared" ca="1" si="1"/>
        <v>286129.22470083286</v>
      </c>
    </row>
    <row r="16" spans="1:17">
      <c r="A16" s="491" t="s">
        <v>556</v>
      </c>
      <c r="B16" s="841">
        <f ca="1">huishoudens!B10</f>
        <v>0.21278736967157039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6450.0303781622033</v>
      </c>
      <c r="C21" s="478">
        <f t="shared" ref="C21:C28" ca="1" si="3">C4*$C$16</f>
        <v>0</v>
      </c>
      <c r="D21" s="478">
        <f t="shared" ref="D21:D30" si="4">D4*$D$16</f>
        <v>13395.116834533552</v>
      </c>
      <c r="E21" s="478">
        <f t="shared" ref="E21:E30" si="5">E4*$E$16</f>
        <v>264.95946123717789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20110.106673932933</v>
      </c>
    </row>
    <row r="22" spans="1:17">
      <c r="A22" s="477" t="s">
        <v>156</v>
      </c>
      <c r="B22" s="478">
        <f t="shared" ca="1" si="2"/>
        <v>5951.6278929236478</v>
      </c>
      <c r="C22" s="478">
        <f t="shared" ca="1" si="3"/>
        <v>0</v>
      </c>
      <c r="D22" s="478">
        <f t="shared" ca="1" si="4"/>
        <v>9809.1105681726422</v>
      </c>
      <c r="E22" s="478">
        <f t="shared" si="5"/>
        <v>68.991421767961896</v>
      </c>
      <c r="F22" s="478">
        <f t="shared" ca="1" si="6"/>
        <v>1138.3115984594842</v>
      </c>
      <c r="G22" s="478">
        <f t="shared" si="7"/>
        <v>0</v>
      </c>
      <c r="H22" s="478">
        <f t="shared" si="8"/>
        <v>0</v>
      </c>
      <c r="I22" s="478">
        <f t="shared" si="9"/>
        <v>0</v>
      </c>
      <c r="J22" s="478">
        <f t="shared" si="10"/>
        <v>1.5166532499641049E-2</v>
      </c>
      <c r="K22" s="478">
        <f t="shared" si="11"/>
        <v>0</v>
      </c>
      <c r="L22" s="478">
        <f t="shared" ca="1" si="12"/>
        <v>0</v>
      </c>
      <c r="M22" s="478">
        <f t="shared" si="13"/>
        <v>0</v>
      </c>
      <c r="N22" s="478">
        <f t="shared" ca="1" si="14"/>
        <v>0</v>
      </c>
      <c r="O22" s="478">
        <f t="shared" si="15"/>
        <v>0</v>
      </c>
      <c r="P22" s="479">
        <f t="shared" si="16"/>
        <v>0</v>
      </c>
      <c r="Q22" s="477">
        <f t="shared" ref="Q22:Q30" ca="1" si="17">SUM(B22:P22)</f>
        <v>16968.056647856236</v>
      </c>
    </row>
    <row r="23" spans="1:17">
      <c r="A23" s="477" t="s">
        <v>194</v>
      </c>
      <c r="B23" s="478">
        <f t="shared" ca="1" si="2"/>
        <v>280.41481313847987</v>
      </c>
      <c r="C23" s="478"/>
      <c r="D23" s="478"/>
      <c r="E23" s="478"/>
      <c r="F23" s="478"/>
      <c r="G23" s="478"/>
      <c r="H23" s="478"/>
      <c r="I23" s="478"/>
      <c r="J23" s="478"/>
      <c r="K23" s="478"/>
      <c r="L23" s="478"/>
      <c r="M23" s="478"/>
      <c r="N23" s="478"/>
      <c r="O23" s="478"/>
      <c r="P23" s="479"/>
      <c r="Q23" s="477">
        <f t="shared" ca="1" si="17"/>
        <v>280.41481313847987</v>
      </c>
    </row>
    <row r="24" spans="1:17">
      <c r="A24" s="477" t="s">
        <v>112</v>
      </c>
      <c r="B24" s="478">
        <f t="shared" ca="1" si="2"/>
        <v>201.0775995367103</v>
      </c>
      <c r="C24" s="478">
        <f t="shared" ca="1" si="3"/>
        <v>0</v>
      </c>
      <c r="D24" s="478">
        <f t="shared" si="4"/>
        <v>2485.2461874663823</v>
      </c>
      <c r="E24" s="478">
        <f t="shared" si="5"/>
        <v>6.305048342173091</v>
      </c>
      <c r="F24" s="478">
        <f t="shared" si="6"/>
        <v>1051.0968620224912</v>
      </c>
      <c r="G24" s="478">
        <f t="shared" si="7"/>
        <v>0</v>
      </c>
      <c r="H24" s="478">
        <f t="shared" si="8"/>
        <v>0</v>
      </c>
      <c r="I24" s="478">
        <f t="shared" si="9"/>
        <v>0</v>
      </c>
      <c r="J24" s="478">
        <f t="shared" si="10"/>
        <v>48.464654709259698</v>
      </c>
      <c r="K24" s="478">
        <f t="shared" si="11"/>
        <v>0</v>
      </c>
      <c r="L24" s="478">
        <f t="shared" si="12"/>
        <v>0</v>
      </c>
      <c r="M24" s="478">
        <f t="shared" si="13"/>
        <v>0</v>
      </c>
      <c r="N24" s="478">
        <f t="shared" si="14"/>
        <v>0</v>
      </c>
      <c r="O24" s="478">
        <f t="shared" si="15"/>
        <v>0</v>
      </c>
      <c r="P24" s="479">
        <f t="shared" si="16"/>
        <v>0</v>
      </c>
      <c r="Q24" s="477">
        <f t="shared" ca="1" si="17"/>
        <v>3792.1903520770165</v>
      </c>
    </row>
    <row r="25" spans="1:17">
      <c r="A25" s="477" t="s">
        <v>635</v>
      </c>
      <c r="B25" s="478">
        <f t="shared" ca="1" si="2"/>
        <v>264.30506826609877</v>
      </c>
      <c r="C25" s="478">
        <f t="shared" ca="1" si="3"/>
        <v>0</v>
      </c>
      <c r="D25" s="478">
        <f t="shared" si="4"/>
        <v>569.69058909170303</v>
      </c>
      <c r="E25" s="478">
        <f t="shared" si="5"/>
        <v>42.370311705933034</v>
      </c>
      <c r="F25" s="478">
        <f t="shared" si="6"/>
        <v>146.09634352933267</v>
      </c>
      <c r="G25" s="478">
        <f t="shared" si="7"/>
        <v>0</v>
      </c>
      <c r="H25" s="478">
        <f t="shared" si="8"/>
        <v>0</v>
      </c>
      <c r="I25" s="478">
        <f t="shared" si="9"/>
        <v>0</v>
      </c>
      <c r="J25" s="478">
        <f t="shared" si="10"/>
        <v>0.36540903273366565</v>
      </c>
      <c r="K25" s="478">
        <f t="shared" si="11"/>
        <v>0</v>
      </c>
      <c r="L25" s="478">
        <f t="shared" si="12"/>
        <v>0</v>
      </c>
      <c r="M25" s="478">
        <f t="shared" si="13"/>
        <v>0</v>
      </c>
      <c r="N25" s="478">
        <f t="shared" si="14"/>
        <v>0</v>
      </c>
      <c r="O25" s="478">
        <f t="shared" si="15"/>
        <v>0</v>
      </c>
      <c r="P25" s="479">
        <f t="shared" si="16"/>
        <v>0</v>
      </c>
      <c r="Q25" s="477">
        <f t="shared" ca="1" si="17"/>
        <v>1022.8277216258011</v>
      </c>
    </row>
    <row r="26" spans="1:17" s="483" customFormat="1">
      <c r="A26" s="481" t="s">
        <v>561</v>
      </c>
      <c r="B26" s="835">
        <f t="shared" ca="1" si="2"/>
        <v>6.9969998323506237</v>
      </c>
      <c r="C26" s="482"/>
      <c r="D26" s="482">
        <f t="shared" si="4"/>
        <v>21.875957377062793</v>
      </c>
      <c r="E26" s="482">
        <f t="shared" si="5"/>
        <v>33.07817047025182</v>
      </c>
      <c r="F26" s="482"/>
      <c r="G26" s="482">
        <f t="shared" si="7"/>
        <v>16372.424470677855</v>
      </c>
      <c r="H26" s="482">
        <f t="shared" si="8"/>
        <v>3050.6830976987653</v>
      </c>
      <c r="I26" s="482"/>
      <c r="J26" s="482"/>
      <c r="K26" s="482"/>
      <c r="L26" s="482"/>
      <c r="M26" s="482">
        <f t="shared" si="13"/>
        <v>0</v>
      </c>
      <c r="N26" s="482"/>
      <c r="O26" s="482"/>
      <c r="P26" s="493"/>
      <c r="Q26" s="481">
        <f t="shared" ca="1" si="17"/>
        <v>19485.058696056287</v>
      </c>
    </row>
    <row r="27" spans="1:17">
      <c r="A27" s="477" t="s">
        <v>551</v>
      </c>
      <c r="B27" s="478">
        <f t="shared" ca="1" si="2"/>
        <v>280.31699759263921</v>
      </c>
      <c r="C27" s="478"/>
      <c r="D27" s="482">
        <f t="shared" si="4"/>
        <v>0</v>
      </c>
      <c r="E27" s="478"/>
      <c r="F27" s="478"/>
      <c r="G27" s="478">
        <f t="shared" si="7"/>
        <v>77.436982725576712</v>
      </c>
      <c r="H27" s="478"/>
      <c r="I27" s="478"/>
      <c r="J27" s="478"/>
      <c r="K27" s="478"/>
      <c r="L27" s="478"/>
      <c r="M27" s="478">
        <f t="shared" si="13"/>
        <v>0</v>
      </c>
      <c r="N27" s="478"/>
      <c r="O27" s="478"/>
      <c r="P27" s="479"/>
      <c r="Q27" s="477">
        <f t="shared" ca="1" si="17"/>
        <v>357.75398031821589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13434.769749452129</v>
      </c>
      <c r="C31" s="488">
        <f t="shared" ca="1" si="18"/>
        <v>0</v>
      </c>
      <c r="D31" s="488">
        <f t="shared" ca="1" si="18"/>
        <v>26281.040136641343</v>
      </c>
      <c r="E31" s="488">
        <f t="shared" si="18"/>
        <v>415.70441352349769</v>
      </c>
      <c r="F31" s="488">
        <f t="shared" ca="1" si="18"/>
        <v>2335.5048040113079</v>
      </c>
      <c r="G31" s="488">
        <f t="shared" si="18"/>
        <v>16449.861453403431</v>
      </c>
      <c r="H31" s="488">
        <f t="shared" si="18"/>
        <v>3050.6830976987653</v>
      </c>
      <c r="I31" s="488">
        <f t="shared" si="18"/>
        <v>0</v>
      </c>
      <c r="J31" s="488">
        <f t="shared" si="18"/>
        <v>48.845230274493005</v>
      </c>
      <c r="K31" s="488">
        <f t="shared" si="18"/>
        <v>0</v>
      </c>
      <c r="L31" s="488">
        <f t="shared" ca="1" si="18"/>
        <v>0</v>
      </c>
      <c r="M31" s="488">
        <f t="shared" si="18"/>
        <v>0</v>
      </c>
      <c r="N31" s="488">
        <f t="shared" ca="1" si="18"/>
        <v>0</v>
      </c>
      <c r="O31" s="488">
        <f t="shared" si="18"/>
        <v>0</v>
      </c>
      <c r="P31" s="489">
        <f t="shared" si="18"/>
        <v>0</v>
      </c>
      <c r="Q31" s="489">
        <f t="shared" ca="1" si="18"/>
        <v>62016.408885004959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0.21278736967157039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0.21278736967157039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0.21278736967157039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6295</v>
      </c>
      <c r="C9" s="342">
        <v>6588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2681.06</v>
      </c>
    </row>
    <row r="15" spans="1:6">
      <c r="A15" s="348" t="s">
        <v>184</v>
      </c>
      <c r="B15" s="334">
        <v>482</v>
      </c>
    </row>
    <row r="16" spans="1:6">
      <c r="A16" s="348" t="s">
        <v>6</v>
      </c>
      <c r="B16" s="334">
        <v>881</v>
      </c>
    </row>
    <row r="17" spans="1:6">
      <c r="A17" s="348" t="s">
        <v>7</v>
      </c>
      <c r="B17" s="334">
        <v>453</v>
      </c>
    </row>
    <row r="18" spans="1:6">
      <c r="A18" s="348" t="s">
        <v>8</v>
      </c>
      <c r="B18" s="334">
        <v>788</v>
      </c>
    </row>
    <row r="19" spans="1:6">
      <c r="A19" s="348" t="s">
        <v>9</v>
      </c>
      <c r="B19" s="334">
        <v>704</v>
      </c>
    </row>
    <row r="20" spans="1:6">
      <c r="A20" s="348" t="s">
        <v>10</v>
      </c>
      <c r="B20" s="334">
        <v>489</v>
      </c>
    </row>
    <row r="21" spans="1:6">
      <c r="A21" s="348" t="s">
        <v>11</v>
      </c>
      <c r="B21" s="334">
        <v>1671</v>
      </c>
    </row>
    <row r="22" spans="1:6">
      <c r="A22" s="348" t="s">
        <v>12</v>
      </c>
      <c r="B22" s="334">
        <v>4435</v>
      </c>
    </row>
    <row r="23" spans="1:6">
      <c r="A23" s="348" t="s">
        <v>13</v>
      </c>
      <c r="B23" s="334">
        <v>143</v>
      </c>
    </row>
    <row r="24" spans="1:6">
      <c r="A24" s="348" t="s">
        <v>14</v>
      </c>
      <c r="B24" s="334">
        <v>4</v>
      </c>
    </row>
    <row r="25" spans="1:6">
      <c r="A25" s="348" t="s">
        <v>15</v>
      </c>
      <c r="B25" s="334">
        <v>424</v>
      </c>
    </row>
    <row r="26" spans="1:6">
      <c r="A26" s="348" t="s">
        <v>16</v>
      </c>
      <c r="B26" s="334">
        <v>517</v>
      </c>
    </row>
    <row r="27" spans="1:6">
      <c r="A27" s="348" t="s">
        <v>17</v>
      </c>
      <c r="B27" s="334">
        <v>408</v>
      </c>
    </row>
    <row r="28" spans="1:6" s="356" customFormat="1">
      <c r="A28" s="355" t="s">
        <v>18</v>
      </c>
      <c r="B28" s="355">
        <v>21582</v>
      </c>
    </row>
    <row r="29" spans="1:6">
      <c r="A29" s="355" t="s">
        <v>744</v>
      </c>
      <c r="B29" s="355">
        <v>179</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32073.166401949999</v>
      </c>
      <c r="E38" s="334">
        <v>5</v>
      </c>
      <c r="F38" s="334">
        <v>26469.018276128401</v>
      </c>
    </row>
    <row r="39" spans="1:6">
      <c r="A39" s="348" t="s">
        <v>30</v>
      </c>
      <c r="B39" s="348" t="s">
        <v>31</v>
      </c>
      <c r="C39" s="334">
        <v>5700</v>
      </c>
      <c r="D39" s="334">
        <v>73517139.220508605</v>
      </c>
      <c r="E39" s="334">
        <v>9598</v>
      </c>
      <c r="F39" s="334">
        <v>28281794.093871899</v>
      </c>
    </row>
    <row r="40" spans="1:6">
      <c r="A40" s="348" t="s">
        <v>30</v>
      </c>
      <c r="B40" s="348" t="s">
        <v>29</v>
      </c>
      <c r="C40" s="334">
        <v>0</v>
      </c>
      <c r="D40" s="334">
        <v>0</v>
      </c>
      <c r="E40" s="334">
        <v>0</v>
      </c>
      <c r="F40" s="334">
        <v>0</v>
      </c>
    </row>
    <row r="41" spans="1:6">
      <c r="A41" s="348" t="s">
        <v>32</v>
      </c>
      <c r="B41" s="348" t="s">
        <v>33</v>
      </c>
      <c r="C41" s="334">
        <v>79</v>
      </c>
      <c r="D41" s="334">
        <v>1556593.5980710899</v>
      </c>
      <c r="E41" s="334">
        <v>138</v>
      </c>
      <c r="F41" s="334">
        <v>581583.22228733299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60345.3124771195</v>
      </c>
      <c r="E47" s="334">
        <v>6</v>
      </c>
      <c r="F47" s="334">
        <v>20975.705797566399</v>
      </c>
    </row>
    <row r="48" spans="1:6">
      <c r="A48" s="348" t="s">
        <v>32</v>
      </c>
      <c r="B48" s="348" t="s">
        <v>29</v>
      </c>
      <c r="C48" s="334">
        <v>30</v>
      </c>
      <c r="D48" s="334">
        <v>884969.12915287598</v>
      </c>
      <c r="E48" s="334">
        <v>47</v>
      </c>
      <c r="F48" s="334">
        <v>287427.45301878202</v>
      </c>
    </row>
    <row r="49" spans="1:6">
      <c r="A49" s="348" t="s">
        <v>32</v>
      </c>
      <c r="B49" s="348" t="s">
        <v>40</v>
      </c>
      <c r="C49" s="334">
        <v>0</v>
      </c>
      <c r="D49" s="334">
        <v>0</v>
      </c>
      <c r="E49" s="334">
        <v>0</v>
      </c>
      <c r="F49" s="334">
        <v>0</v>
      </c>
    </row>
    <row r="50" spans="1:6">
      <c r="A50" s="348" t="s">
        <v>32</v>
      </c>
      <c r="B50" s="348" t="s">
        <v>41</v>
      </c>
      <c r="C50" s="334">
        <v>8</v>
      </c>
      <c r="D50" s="334">
        <v>624755.42044085998</v>
      </c>
      <c r="E50" s="334">
        <v>16</v>
      </c>
      <c r="F50" s="334">
        <v>352122.43707497302</v>
      </c>
    </row>
    <row r="51" spans="1:6">
      <c r="A51" s="348" t="s">
        <v>42</v>
      </c>
      <c r="B51" s="348" t="s">
        <v>43</v>
      </c>
      <c r="C51" s="334">
        <v>5</v>
      </c>
      <c r="D51" s="334">
        <v>541563.98572849203</v>
      </c>
      <c r="E51" s="334">
        <v>44</v>
      </c>
      <c r="F51" s="334">
        <v>776738.77575477003</v>
      </c>
    </row>
    <row r="52" spans="1:6">
      <c r="A52" s="348" t="s">
        <v>42</v>
      </c>
      <c r="B52" s="348" t="s">
        <v>29</v>
      </c>
      <c r="C52" s="334">
        <v>3</v>
      </c>
      <c r="D52" s="334">
        <v>81373.3947937255</v>
      </c>
      <c r="E52" s="334">
        <v>12</v>
      </c>
      <c r="F52" s="334">
        <v>168230.84272900701</v>
      </c>
    </row>
    <row r="53" spans="1:6">
      <c r="A53" s="348" t="s">
        <v>44</v>
      </c>
      <c r="B53" s="348" t="s">
        <v>45</v>
      </c>
      <c r="C53" s="334">
        <v>1257</v>
      </c>
      <c r="D53" s="334">
        <v>13016972.7612221</v>
      </c>
      <c r="E53" s="334">
        <v>2927</v>
      </c>
      <c r="F53" s="334">
        <v>7005472.5875313496</v>
      </c>
    </row>
    <row r="54" spans="1:6">
      <c r="A54" s="348" t="s">
        <v>46</v>
      </c>
      <c r="B54" s="348" t="s">
        <v>47</v>
      </c>
      <c r="C54" s="334">
        <v>0</v>
      </c>
      <c r="D54" s="334">
        <v>0</v>
      </c>
      <c r="E54" s="334">
        <v>1</v>
      </c>
      <c r="F54" s="334">
        <v>1317817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1843558.3018077801</v>
      </c>
      <c r="E57" s="334">
        <v>108</v>
      </c>
      <c r="F57" s="334">
        <v>1827691.57024392</v>
      </c>
    </row>
    <row r="58" spans="1:6">
      <c r="A58" s="348" t="s">
        <v>49</v>
      </c>
      <c r="B58" s="348" t="s">
        <v>51</v>
      </c>
      <c r="C58" s="334">
        <v>76</v>
      </c>
      <c r="D58" s="334">
        <v>9408075.5234277304</v>
      </c>
      <c r="E58" s="334">
        <v>98</v>
      </c>
      <c r="F58" s="334">
        <v>2864155.5492113801</v>
      </c>
    </row>
    <row r="59" spans="1:6">
      <c r="A59" s="348" t="s">
        <v>49</v>
      </c>
      <c r="B59" s="348" t="s">
        <v>52</v>
      </c>
      <c r="C59" s="334">
        <v>68</v>
      </c>
      <c r="D59" s="334">
        <v>1012936.29685702</v>
      </c>
      <c r="E59" s="334">
        <v>204</v>
      </c>
      <c r="F59" s="334">
        <v>2822183.3138907901</v>
      </c>
    </row>
    <row r="60" spans="1:6">
      <c r="A60" s="348" t="s">
        <v>49</v>
      </c>
      <c r="B60" s="348" t="s">
        <v>53</v>
      </c>
      <c r="C60" s="334">
        <v>169</v>
      </c>
      <c r="D60" s="334">
        <v>25154376.385014798</v>
      </c>
      <c r="E60" s="334">
        <v>237</v>
      </c>
      <c r="F60" s="334">
        <v>12468313.8746667</v>
      </c>
    </row>
    <row r="61" spans="1:6">
      <c r="A61" s="348" t="s">
        <v>49</v>
      </c>
      <c r="B61" s="348" t="s">
        <v>54</v>
      </c>
      <c r="C61" s="334">
        <v>306</v>
      </c>
      <c r="D61" s="334">
        <v>11777798.085798601</v>
      </c>
      <c r="E61" s="334">
        <v>1059</v>
      </c>
      <c r="F61" s="334">
        <v>6388787.6194815701</v>
      </c>
    </row>
    <row r="62" spans="1:6">
      <c r="A62" s="348" t="s">
        <v>49</v>
      </c>
      <c r="B62" s="348" t="s">
        <v>55</v>
      </c>
      <c r="C62" s="334">
        <v>3</v>
      </c>
      <c r="D62" s="334">
        <v>247943.382536094</v>
      </c>
      <c r="E62" s="334">
        <v>6</v>
      </c>
      <c r="F62" s="334">
        <v>289078.31492995197</v>
      </c>
    </row>
    <row r="63" spans="1:6">
      <c r="A63" s="348" t="s">
        <v>49</v>
      </c>
      <c r="B63" s="348" t="s">
        <v>29</v>
      </c>
      <c r="C63" s="334">
        <v>150</v>
      </c>
      <c r="D63" s="334">
        <v>4391180.4367368696</v>
      </c>
      <c r="E63" s="334">
        <v>144</v>
      </c>
      <c r="F63" s="334">
        <v>1309626.0411378699</v>
      </c>
    </row>
    <row r="64" spans="1:6">
      <c r="A64" s="348" t="s">
        <v>56</v>
      </c>
      <c r="B64" s="348" t="s">
        <v>57</v>
      </c>
      <c r="C64" s="334">
        <v>0</v>
      </c>
      <c r="D64" s="334">
        <v>0</v>
      </c>
      <c r="E64" s="334">
        <v>0</v>
      </c>
      <c r="F64" s="334">
        <v>0</v>
      </c>
    </row>
    <row r="65" spans="1:6">
      <c r="A65" s="348" t="s">
        <v>56</v>
      </c>
      <c r="B65" s="348" t="s">
        <v>29</v>
      </c>
      <c r="C65" s="334">
        <v>2</v>
      </c>
      <c r="D65" s="334">
        <v>50393.773335744401</v>
      </c>
      <c r="E65" s="334">
        <v>4</v>
      </c>
      <c r="F65" s="334">
        <v>22956.690524402798</v>
      </c>
    </row>
    <row r="66" spans="1:6">
      <c r="A66" s="348" t="s">
        <v>56</v>
      </c>
      <c r="B66" s="348" t="s">
        <v>58</v>
      </c>
      <c r="C66" s="334">
        <v>0</v>
      </c>
      <c r="D66" s="334">
        <v>0</v>
      </c>
      <c r="E66" s="334">
        <v>16</v>
      </c>
      <c r="F66" s="334">
        <v>574382.12414676498</v>
      </c>
    </row>
    <row r="67" spans="1:6">
      <c r="A67" s="355" t="s">
        <v>56</v>
      </c>
      <c r="B67" s="355" t="s">
        <v>59</v>
      </c>
      <c r="C67" s="334">
        <v>0</v>
      </c>
      <c r="D67" s="334">
        <v>0</v>
      </c>
      <c r="E67" s="334">
        <v>0</v>
      </c>
      <c r="F67" s="334">
        <v>0</v>
      </c>
    </row>
    <row r="68" spans="1:6">
      <c r="A68" s="341" t="s">
        <v>56</v>
      </c>
      <c r="B68" s="341" t="s">
        <v>60</v>
      </c>
      <c r="C68" s="334">
        <v>3</v>
      </c>
      <c r="D68" s="334">
        <v>45573.944074712301</v>
      </c>
      <c r="E68" s="334">
        <v>13</v>
      </c>
      <c r="F68" s="334">
        <v>1523773.8985913999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73053898</v>
      </c>
      <c r="E73" s="476">
        <v>65375260.158856399</v>
      </c>
    </row>
    <row r="74" spans="1:6">
      <c r="A74" s="348" t="s">
        <v>64</v>
      </c>
      <c r="B74" s="348" t="s">
        <v>657</v>
      </c>
      <c r="C74" s="1272" t="s">
        <v>659</v>
      </c>
      <c r="D74" s="476">
        <v>7612592.2614863953</v>
      </c>
      <c r="E74" s="476">
        <v>6925481.5746733025</v>
      </c>
    </row>
    <row r="75" spans="1:6">
      <c r="A75" s="348" t="s">
        <v>65</v>
      </c>
      <c r="B75" s="348" t="s">
        <v>656</v>
      </c>
      <c r="C75" s="1272" t="s">
        <v>660</v>
      </c>
      <c r="D75" s="476">
        <v>10531036</v>
      </c>
      <c r="E75" s="476">
        <v>10063587.912303498</v>
      </c>
    </row>
    <row r="76" spans="1:6">
      <c r="A76" s="348" t="s">
        <v>65</v>
      </c>
      <c r="B76" s="348" t="s">
        <v>657</v>
      </c>
      <c r="C76" s="1272" t="s">
        <v>661</v>
      </c>
      <c r="D76" s="476">
        <v>1284222.261486395</v>
      </c>
      <c r="E76" s="476">
        <v>1248762.4273867668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83127.47702721016</v>
      </c>
      <c r="C83" s="476">
        <v>83057.905014897449</v>
      </c>
    </row>
    <row r="84" spans="1:6">
      <c r="A84" s="341" t="s">
        <v>337</v>
      </c>
      <c r="B84" s="1273">
        <v>373718.38672234316</v>
      </c>
      <c r="C84" s="1273">
        <v>372533.86676901963</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2030.2981516292873</v>
      </c>
    </row>
    <row r="92" spans="1:6">
      <c r="A92" s="341" t="s">
        <v>69</v>
      </c>
      <c r="B92" s="342">
        <v>315.95237134736954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2725</v>
      </c>
    </row>
    <row r="98" spans="1:6">
      <c r="A98" s="348" t="s">
        <v>72</v>
      </c>
      <c r="B98" s="334">
        <v>0</v>
      </c>
    </row>
    <row r="99" spans="1:6">
      <c r="A99" s="348" t="s">
        <v>73</v>
      </c>
      <c r="B99" s="334">
        <v>104</v>
      </c>
    </row>
    <row r="100" spans="1:6">
      <c r="A100" s="348" t="s">
        <v>74</v>
      </c>
      <c r="B100" s="334">
        <v>935</v>
      </c>
    </row>
    <row r="101" spans="1:6">
      <c r="A101" s="348" t="s">
        <v>75</v>
      </c>
      <c r="B101" s="334">
        <v>42</v>
      </c>
    </row>
    <row r="102" spans="1:6">
      <c r="A102" s="348" t="s">
        <v>76</v>
      </c>
      <c r="B102" s="334">
        <v>139</v>
      </c>
    </row>
    <row r="103" spans="1:6">
      <c r="A103" s="348" t="s">
        <v>77</v>
      </c>
      <c r="B103" s="334">
        <v>66</v>
      </c>
    </row>
    <row r="104" spans="1:6">
      <c r="A104" s="348" t="s">
        <v>78</v>
      </c>
      <c r="B104" s="334">
        <v>967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6</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63137.063868913887</v>
      </c>
      <c r="C3" s="43" t="s">
        <v>170</v>
      </c>
      <c r="D3" s="43"/>
      <c r="E3" s="154"/>
      <c r="F3" s="43"/>
      <c r="G3" s="43"/>
      <c r="H3" s="43"/>
      <c r="I3" s="43"/>
      <c r="J3" s="43"/>
      <c r="K3" s="96"/>
    </row>
    <row r="4" spans="1:11">
      <c r="A4" s="383" t="s">
        <v>171</v>
      </c>
      <c r="B4" s="49">
        <f>IF(ISERROR('SEAP template'!B69),0,'SEAP template'!B69)</f>
        <v>2346.2505229766566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0.21278736967157039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1317.817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1317.817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0.21278736967157039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280.41481313847987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28281.7940938719</v>
      </c>
      <c r="C5" s="17">
        <f>IF(ISERROR('Eigen informatie GS &amp; warmtenet'!B57),0,'Eigen informatie GS &amp; warmtenet'!B57)</f>
        <v>0</v>
      </c>
      <c r="D5" s="30">
        <f>(SUM(HH_hh_gas_kWh,HH_rest_gas_kWh)/1000)*0.902</f>
        <v>66312.459576898764</v>
      </c>
      <c r="E5" s="17">
        <f>B46*B57</f>
        <v>1167.2222961990215</v>
      </c>
      <c r="F5" s="17">
        <f>B51*B62</f>
        <v>0</v>
      </c>
      <c r="G5" s="18"/>
      <c r="H5" s="17"/>
      <c r="I5" s="17"/>
      <c r="J5" s="17">
        <f>B50*B61+C50*C61</f>
        <v>0</v>
      </c>
      <c r="K5" s="17"/>
      <c r="L5" s="17"/>
      <c r="M5" s="17"/>
      <c r="N5" s="17">
        <f>B48*B59+C48*C59</f>
        <v>1606.4314353616164</v>
      </c>
      <c r="O5" s="17">
        <f>B69*B70*B71</f>
        <v>175.09333333333336</v>
      </c>
      <c r="P5" s="17">
        <f>B77*B78*B79/1000-B77*B78*B79/1000/B80</f>
        <v>419.4666666666667</v>
      </c>
    </row>
    <row r="6" spans="1:16">
      <c r="A6" s="16" t="s">
        <v>621</v>
      </c>
      <c r="B6" s="843">
        <f>kWh_PV_kleiner_dan_10kW</f>
        <v>2030.2981516292873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30312.092245501186</v>
      </c>
      <c r="C8" s="21">
        <f>C5</f>
        <v>0</v>
      </c>
      <c r="D8" s="21">
        <f>D5</f>
        <v>66312.459576898764</v>
      </c>
      <c r="E8" s="21">
        <f>E5</f>
        <v>1167.2222961990215</v>
      </c>
      <c r="F8" s="21">
        <f>F5</f>
        <v>0</v>
      </c>
      <c r="G8" s="21"/>
      <c r="H8" s="21"/>
      <c r="I8" s="21"/>
      <c r="J8" s="21">
        <f>J5</f>
        <v>0</v>
      </c>
      <c r="K8" s="21"/>
      <c r="L8" s="21">
        <f>L5</f>
        <v>0</v>
      </c>
      <c r="M8" s="21">
        <f>M5</f>
        <v>0</v>
      </c>
      <c r="N8" s="21">
        <f>N5</f>
        <v>1606.4314353616164</v>
      </c>
      <c r="O8" s="21">
        <f>O5</f>
        <v>175.09333333333336</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0.21278736967157039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6450.0303781622033</v>
      </c>
      <c r="C12" s="23">
        <f ca="1">C10*C8</f>
        <v>0</v>
      </c>
      <c r="D12" s="23">
        <f>D8*D10</f>
        <v>13395.116834533552</v>
      </c>
      <c r="E12" s="23">
        <f>E10*E8</f>
        <v>264.95946123717789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2725</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9.6207215541165585</v>
      </c>
      <c r="D20" s="229"/>
      <c r="E20" s="15"/>
    </row>
    <row r="21" spans="1:7">
      <c r="A21" s="171" t="s">
        <v>74</v>
      </c>
      <c r="B21" s="37">
        <f>aantalw2001_elektriciteit</f>
        <v>935</v>
      </c>
      <c r="C21" s="167">
        <f>IF(ISERROR(B21/SUM($B$20,$B$21,$B$22)*100),0,B21/SUM($B$20,$B$21,$B$22)*100)</f>
        <v>86.493987049028675</v>
      </c>
      <c r="D21" s="229"/>
      <c r="E21" s="15"/>
    </row>
    <row r="22" spans="1:7">
      <c r="A22" s="171" t="s">
        <v>75</v>
      </c>
      <c r="B22" s="37">
        <f>aantalw2001_hout</f>
        <v>42</v>
      </c>
      <c r="C22" s="167">
        <f>IF(ISERROR(B22/SUM($B$20,$B$21,$B$22)*100),0,B22/SUM($B$20,$B$21,$B$22)*100)</f>
        <v>3.8852913968547642</v>
      </c>
      <c r="D22" s="229"/>
      <c r="E22" s="15"/>
    </row>
    <row r="23" spans="1:7">
      <c r="A23" s="171" t="s">
        <v>76</v>
      </c>
      <c r="B23" s="37">
        <f>aantalw2001_niet_gespec</f>
        <v>139</v>
      </c>
      <c r="C23" s="166" t="s">
        <v>111</v>
      </c>
      <c r="D23" s="228"/>
      <c r="E23" s="15"/>
    </row>
    <row r="24" spans="1:7">
      <c r="A24" s="171" t="s">
        <v>77</v>
      </c>
      <c r="B24" s="37">
        <f>aantalw2001_steenkool</f>
        <v>66</v>
      </c>
      <c r="C24" s="166" t="s">
        <v>111</v>
      </c>
      <c r="D24" s="229"/>
      <c r="E24" s="15"/>
    </row>
    <row r="25" spans="1:7">
      <c r="A25" s="171" t="s">
        <v>78</v>
      </c>
      <c r="B25" s="37">
        <f>aantalw2001_stookolie</f>
        <v>967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6295</v>
      </c>
      <c r="C28" s="36"/>
      <c r="D28" s="228"/>
    </row>
    <row r="29" spans="1:7" s="15" customFormat="1">
      <c r="A29" s="230" t="s">
        <v>795</v>
      </c>
      <c r="B29" s="37">
        <f>SUM(HH_hh_gas_aantal,HH_rest_gas_aantal)</f>
        <v>5700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5700</v>
      </c>
      <c r="C32" s="167">
        <f>IF(ISERROR(B32/SUM($B$32,$B$34,$B$35,$B$36,$B$38,$B$39)*100),0,B32/SUM($B$32,$B$34,$B$35,$B$36,$B$38,$B$39)*100)</f>
        <v>90.865614538498335</v>
      </c>
      <c r="D32" s="233"/>
      <c r="G32" s="15"/>
    </row>
    <row r="33" spans="1:7">
      <c r="A33" s="171" t="s">
        <v>72</v>
      </c>
      <c r="B33" s="34" t="s">
        <v>111</v>
      </c>
      <c r="C33" s="167"/>
      <c r="D33" s="233"/>
      <c r="G33" s="15"/>
    </row>
    <row r="34" spans="1:7">
      <c r="A34" s="171" t="s">
        <v>73</v>
      </c>
      <c r="B34" s="33">
        <f>IF((($B$28-$B$32-$B$39-$B$77-$B$38)*C20/100)&lt;0,0,($B$28-$B$32-$B$39-$B$77-$B$38)*C20/100)</f>
        <v>55.126734505087882</v>
      </c>
      <c r="C34" s="167">
        <f>IF(ISERROR(B34/SUM($B$32,$B$34,$B$35,$B$36,$B$38,$B$39)*100),0,B34/SUM($B$32,$B$34,$B$35,$B$36,$B$38,$B$39)*100)</f>
        <v>0.87879379093078092</v>
      </c>
      <c r="D34" s="233"/>
      <c r="G34" s="15"/>
    </row>
    <row r="35" spans="1:7">
      <c r="A35" s="171" t="s">
        <v>74</v>
      </c>
      <c r="B35" s="33">
        <f>IF((($B$28-$B$32-$B$39-$B$77-$B$38)*C21/100)&lt;0,0,($B$28-$B$32-$B$39-$B$77-$B$38)*C21/100)</f>
        <v>495.61054579093434</v>
      </c>
      <c r="C35" s="167">
        <f>IF(ISERROR(B35/SUM($B$32,$B$34,$B$35,$B$36,$B$38,$B$39)*100),0,B35/SUM($B$32,$B$34,$B$35,$B$36,$B$38,$B$39)*100)</f>
        <v>7.9006941780796165</v>
      </c>
      <c r="D35" s="233"/>
      <c r="G35" s="15"/>
    </row>
    <row r="36" spans="1:7">
      <c r="A36" s="171" t="s">
        <v>75</v>
      </c>
      <c r="B36" s="33">
        <f>IF((($B$28-$B$32-$B$39-$B$77-$B$38)*C22/100)&lt;0,0,($B$28-$B$32-$B$39-$B$77-$B$38)*C22/100)</f>
        <v>22.262719703977801</v>
      </c>
      <c r="C36" s="167">
        <f>IF(ISERROR(B36/SUM($B$32,$B$34,$B$35,$B$36,$B$38,$B$39)*100),0,B36/SUM($B$32,$B$34,$B$35,$B$36,$B$38,$B$39)*100)</f>
        <v>0.35489749249127689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5700</v>
      </c>
      <c r="C44" s="34" t="s">
        <v>111</v>
      </c>
      <c r="D44" s="174"/>
    </row>
    <row r="45" spans="1:7">
      <c r="A45" s="171" t="s">
        <v>72</v>
      </c>
      <c r="B45" s="33" t="str">
        <f t="shared" si="0"/>
        <v>-</v>
      </c>
      <c r="C45" s="34" t="s">
        <v>111</v>
      </c>
      <c r="D45" s="174"/>
    </row>
    <row r="46" spans="1:7">
      <c r="A46" s="171" t="s">
        <v>73</v>
      </c>
      <c r="B46" s="33">
        <f t="shared" si="0"/>
        <v>55.126734505087882</v>
      </c>
      <c r="C46" s="34" t="s">
        <v>111</v>
      </c>
      <c r="D46" s="174"/>
    </row>
    <row r="47" spans="1:7">
      <c r="A47" s="171" t="s">
        <v>74</v>
      </c>
      <c r="B47" s="33">
        <f t="shared" si="0"/>
        <v>495.61054579093434</v>
      </c>
      <c r="C47" s="34" t="s">
        <v>111</v>
      </c>
      <c r="D47" s="174"/>
    </row>
    <row r="48" spans="1:7">
      <c r="A48" s="171" t="s">
        <v>75</v>
      </c>
      <c r="B48" s="33">
        <f t="shared" si="0"/>
        <v>22.262719703977801</v>
      </c>
      <c r="C48" s="33">
        <f>B48*10</f>
        <v>222.62719703977803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27969.836283562181</v>
      </c>
      <c r="C5" s="17">
        <f>IF(ISERROR('Eigen informatie GS &amp; warmtenet'!B58),0,'Eigen informatie GS &amp; warmtenet'!B58)</f>
        <v>0</v>
      </c>
      <c r="D5" s="30">
        <f>SUM(D6:D12)</f>
        <v>48559.953307785356</v>
      </c>
      <c r="E5" s="17">
        <f>SUM(E6:E12)</f>
        <v>303.92696814080131</v>
      </c>
      <c r="F5" s="17">
        <f>SUM(F6:F12)</f>
        <v>4263.3393200729743</v>
      </c>
      <c r="G5" s="18"/>
      <c r="H5" s="17"/>
      <c r="I5" s="17"/>
      <c r="J5" s="17">
        <f>SUM(J6:J12)</f>
        <v>4.2843312145878672E-2</v>
      </c>
      <c r="K5" s="17"/>
      <c r="L5" s="17"/>
      <c r="M5" s="17"/>
      <c r="N5" s="17">
        <f>SUM(N6:N12)</f>
        <v>1737.563094770481</v>
      </c>
      <c r="O5" s="17">
        <f>B38*B39*B40</f>
        <v>9.3800000000000008</v>
      </c>
      <c r="P5" s="17">
        <f>B46*B47*B48/1000-B46*B47*B48/1000/B49</f>
        <v>57.2</v>
      </c>
      <c r="R5" s="32"/>
    </row>
    <row r="6" spans="1:18">
      <c r="A6" s="32" t="s">
        <v>54</v>
      </c>
      <c r="B6" s="37">
        <f>B26</f>
        <v>6388.7876194815699</v>
      </c>
      <c r="C6" s="33"/>
      <c r="D6" s="37">
        <f>IF(ISERROR(TER_kantoor_gas_kWh/1000),0,TER_kantoor_gas_kWh/1000)*0.902</f>
        <v>10623.573873390338</v>
      </c>
      <c r="E6" s="33">
        <f>$C$26*'E Balans VL '!I12/100/3.6*1000000</f>
        <v>4.0042795921437446E-2</v>
      </c>
      <c r="F6" s="33">
        <f>$C$26*('E Balans VL '!L12+'E Balans VL '!N12)/100/3.6*1000000</f>
        <v>960.05625945589111</v>
      </c>
      <c r="G6" s="34"/>
      <c r="H6" s="33"/>
      <c r="I6" s="33"/>
      <c r="J6" s="33">
        <f>$C$26*('E Balans VL '!D12+'E Balans VL '!E12)/100/3.6*1000000</f>
        <v>0</v>
      </c>
      <c r="K6" s="33"/>
      <c r="L6" s="33"/>
      <c r="M6" s="33"/>
      <c r="N6" s="33">
        <f>$C$26*'E Balans VL '!Y12/100/3.6*1000000</f>
        <v>6.1099281163152819</v>
      </c>
      <c r="O6" s="33"/>
      <c r="P6" s="33"/>
      <c r="R6" s="32"/>
    </row>
    <row r="7" spans="1:18">
      <c r="A7" s="32" t="s">
        <v>53</v>
      </c>
      <c r="B7" s="37">
        <f t="shared" ref="B7:B12" si="0">B27</f>
        <v>12468.313874666701</v>
      </c>
      <c r="C7" s="33"/>
      <c r="D7" s="37">
        <f>IF(ISERROR(TER_horeca_gas_kWh/1000),0,TER_horeca_gas_kWh/1000)*0.902</f>
        <v>22689.247499283349</v>
      </c>
      <c r="E7" s="33">
        <f>$C$27*'E Balans VL '!I9/100/3.6*1000000</f>
        <v>178.54417786059756</v>
      </c>
      <c r="F7" s="33">
        <f>$C$27*('E Balans VL '!L9+'E Balans VL '!N9)/100/3.6*1000000</f>
        <v>1578.8997573670288</v>
      </c>
      <c r="G7" s="34"/>
      <c r="H7" s="33"/>
      <c r="I7" s="33"/>
      <c r="J7" s="33">
        <f>$C$27*('E Balans VL '!D9+'E Balans VL '!E9)/100/3.6*1000000</f>
        <v>0</v>
      </c>
      <c r="K7" s="33"/>
      <c r="L7" s="33"/>
      <c r="M7" s="33"/>
      <c r="N7" s="33">
        <f>$C$27*'E Balans VL '!Y9/100/3.6*1000000</f>
        <v>3.5843653362432981</v>
      </c>
      <c r="O7" s="33"/>
      <c r="P7" s="33"/>
      <c r="R7" s="32"/>
    </row>
    <row r="8" spans="1:18">
      <c r="A8" s="6" t="s">
        <v>52</v>
      </c>
      <c r="B8" s="37">
        <f t="shared" si="0"/>
        <v>2822.18331389079</v>
      </c>
      <c r="C8" s="33"/>
      <c r="D8" s="37">
        <f>IF(ISERROR(TER_handel_gas_kWh/1000),0,TER_handel_gas_kWh/1000)*0.902</f>
        <v>913.66853976503205</v>
      </c>
      <c r="E8" s="33">
        <f>$C$28*'E Balans VL '!I13/100/3.6*1000000</f>
        <v>102.36024077876435</v>
      </c>
      <c r="F8" s="33">
        <f>$C$28*('E Balans VL '!L13+'E Balans VL '!N13)/100/3.6*1000000</f>
        <v>543.58108267825162</v>
      </c>
      <c r="G8" s="34"/>
      <c r="H8" s="33"/>
      <c r="I8" s="33"/>
      <c r="J8" s="33">
        <f>$C$28*('E Balans VL '!D13+'E Balans VL '!E13)/100/3.6*1000000</f>
        <v>0</v>
      </c>
      <c r="K8" s="33"/>
      <c r="L8" s="33"/>
      <c r="M8" s="33"/>
      <c r="N8" s="33">
        <f>$C$28*'E Balans VL '!Y13/100/3.6*1000000</f>
        <v>3.909373245158887</v>
      </c>
      <c r="O8" s="33"/>
      <c r="P8" s="33"/>
      <c r="R8" s="32"/>
    </row>
    <row r="9" spans="1:18">
      <c r="A9" s="32" t="s">
        <v>51</v>
      </c>
      <c r="B9" s="37">
        <f t="shared" si="0"/>
        <v>2864.1555492113803</v>
      </c>
      <c r="C9" s="33"/>
      <c r="D9" s="37">
        <f>IF(ISERROR(TER_gezond_gas_kWh/1000),0,TER_gezond_gas_kWh/1000)*0.902</f>
        <v>8486.0841221318133</v>
      </c>
      <c r="E9" s="33">
        <f>$C$29*'E Balans VL '!I10/100/3.6*1000000</f>
        <v>0.1793244158078876</v>
      </c>
      <c r="F9" s="33">
        <f>$C$29*('E Balans VL '!L10+'E Balans VL '!N10)/100/3.6*1000000</f>
        <v>425.47902735849925</v>
      </c>
      <c r="G9" s="34"/>
      <c r="H9" s="33"/>
      <c r="I9" s="33"/>
      <c r="J9" s="33">
        <f>$C$29*('E Balans VL '!D10+'E Balans VL '!E10)/100/3.6*1000000</f>
        <v>0</v>
      </c>
      <c r="K9" s="33"/>
      <c r="L9" s="33"/>
      <c r="M9" s="33"/>
      <c r="N9" s="33">
        <f>$C$29*'E Balans VL '!Y10/100/3.6*1000000</f>
        <v>44.303034402588203</v>
      </c>
      <c r="O9" s="33"/>
      <c r="P9" s="33"/>
      <c r="R9" s="32"/>
    </row>
    <row r="10" spans="1:18">
      <c r="A10" s="32" t="s">
        <v>50</v>
      </c>
      <c r="B10" s="37">
        <f t="shared" si="0"/>
        <v>1827.6915702439201</v>
      </c>
      <c r="C10" s="33"/>
      <c r="D10" s="37">
        <f>IF(ISERROR(TER_ander_gas_kWh/1000),0,TER_ander_gas_kWh/1000)*0.902</f>
        <v>1662.8895882306176</v>
      </c>
      <c r="E10" s="33">
        <f>$C$30*'E Balans VL '!I14/100/3.6*1000000</f>
        <v>2.1785430410695947</v>
      </c>
      <c r="F10" s="33">
        <f>$C$30*('E Balans VL '!L14+'E Balans VL '!N14)/100/3.6*1000000</f>
        <v>478.20536756117343</v>
      </c>
      <c r="G10" s="34"/>
      <c r="H10" s="33"/>
      <c r="I10" s="33"/>
      <c r="J10" s="33">
        <f>$C$30*('E Balans VL '!D14+'E Balans VL '!E14)/100/3.6*1000000</f>
        <v>3.9672019636861983E-2</v>
      </c>
      <c r="K10" s="33"/>
      <c r="L10" s="33"/>
      <c r="M10" s="33"/>
      <c r="N10" s="33">
        <f>$C$30*'E Balans VL '!Y14/100/3.6*1000000</f>
        <v>1552.0309584679339</v>
      </c>
      <c r="O10" s="33"/>
      <c r="P10" s="33"/>
      <c r="R10" s="32"/>
    </row>
    <row r="11" spans="1:18">
      <c r="A11" s="32" t="s">
        <v>55</v>
      </c>
      <c r="B11" s="37">
        <f t="shared" si="0"/>
        <v>289.07831492995194</v>
      </c>
      <c r="C11" s="33"/>
      <c r="D11" s="37">
        <f>IF(ISERROR(TER_onderwijs_gas_kWh/1000),0,TER_onderwijs_gas_kWh/1000)*0.902</f>
        <v>223.64493104755678</v>
      </c>
      <c r="E11" s="33">
        <f>$C$31*'E Balans VL '!I11/100/3.6*1000000</f>
        <v>4.3617261673925531</v>
      </c>
      <c r="F11" s="33">
        <f>$C$31*('E Balans VL '!L11+'E Balans VL '!N11)/100/3.6*1000000</f>
        <v>50.651138939197409</v>
      </c>
      <c r="G11" s="34"/>
      <c r="H11" s="33"/>
      <c r="I11" s="33"/>
      <c r="J11" s="33">
        <f>$C$31*('E Balans VL '!D11+'E Balans VL '!E11)/100/3.6*1000000</f>
        <v>0</v>
      </c>
      <c r="K11" s="33"/>
      <c r="L11" s="33"/>
      <c r="M11" s="33"/>
      <c r="N11" s="33">
        <f>$C$31*'E Balans VL '!Y11/100/3.6*1000000</f>
        <v>0.81348835478329473</v>
      </c>
      <c r="O11" s="33"/>
      <c r="P11" s="33"/>
      <c r="R11" s="32"/>
    </row>
    <row r="12" spans="1:18">
      <c r="A12" s="32" t="s">
        <v>260</v>
      </c>
      <c r="B12" s="37">
        <f t="shared" si="0"/>
        <v>1309.6260411378698</v>
      </c>
      <c r="C12" s="33"/>
      <c r="D12" s="37">
        <f>IF(ISERROR(TER_rest_gas_kWh/1000),0,TER_rest_gas_kWh/1000)*0.902</f>
        <v>3960.8447539366566</v>
      </c>
      <c r="E12" s="33">
        <f>$C$32*'E Balans VL '!I8/100/3.6*1000000</f>
        <v>16.262913081247905</v>
      </c>
      <c r="F12" s="33">
        <f>$C$32*('E Balans VL '!L8+'E Balans VL '!N8)/100/3.6*1000000</f>
        <v>226.46668671293182</v>
      </c>
      <c r="G12" s="34"/>
      <c r="H12" s="33"/>
      <c r="I12" s="33"/>
      <c r="J12" s="33">
        <f>$C$32*('E Balans VL '!D8+'E Balans VL '!E8)/100/3.6*1000000</f>
        <v>3.1712925090166865E-3</v>
      </c>
      <c r="K12" s="33"/>
      <c r="L12" s="33"/>
      <c r="M12" s="33"/>
      <c r="N12" s="33">
        <f>$C$32*'E Balans VL '!Y8/100/3.6*1000000</f>
        <v>126.81194684745806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27969.836283562181</v>
      </c>
      <c r="C16" s="21">
        <f t="shared" ca="1" si="1"/>
        <v>0</v>
      </c>
      <c r="D16" s="21">
        <f t="shared" ca="1" si="1"/>
        <v>48559.953307785356</v>
      </c>
      <c r="E16" s="21">
        <f t="shared" si="1"/>
        <v>303.92696814080131</v>
      </c>
      <c r="F16" s="21">
        <f t="shared" ca="1" si="1"/>
        <v>4263.3393200729743</v>
      </c>
      <c r="G16" s="21">
        <f t="shared" si="1"/>
        <v>0</v>
      </c>
      <c r="H16" s="21">
        <f t="shared" si="1"/>
        <v>0</v>
      </c>
      <c r="I16" s="21">
        <f t="shared" si="1"/>
        <v>0</v>
      </c>
      <c r="J16" s="21">
        <f t="shared" si="1"/>
        <v>4.2843312145878672E-2</v>
      </c>
      <c r="K16" s="21">
        <f t="shared" si="1"/>
        <v>0</v>
      </c>
      <c r="L16" s="21">
        <f t="shared" ca="1" si="1"/>
        <v>0</v>
      </c>
      <c r="M16" s="21">
        <f t="shared" si="1"/>
        <v>0</v>
      </c>
      <c r="N16" s="21">
        <f t="shared" ca="1" si="1"/>
        <v>1737.563094770481</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0.21278736967157039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5951.6278929236478</v>
      </c>
      <c r="C20" s="23">
        <f t="shared" ref="C20:P20" ca="1" si="2">C16*C18</f>
        <v>0</v>
      </c>
      <c r="D20" s="23">
        <f t="shared" ca="1" si="2"/>
        <v>9809.1105681726422</v>
      </c>
      <c r="E20" s="23">
        <f t="shared" si="2"/>
        <v>68.991421767961896</v>
      </c>
      <c r="F20" s="23">
        <f t="shared" ca="1" si="2"/>
        <v>1138.3115984594842</v>
      </c>
      <c r="G20" s="23">
        <f t="shared" si="2"/>
        <v>0</v>
      </c>
      <c r="H20" s="23">
        <f t="shared" si="2"/>
        <v>0</v>
      </c>
      <c r="I20" s="23">
        <f t="shared" si="2"/>
        <v>0</v>
      </c>
      <c r="J20" s="23">
        <f t="shared" si="2"/>
        <v>1.5166532499641049E-2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6388.7876194815699</v>
      </c>
      <c r="C26" s="39">
        <f>IF(ISERROR(B26*3.6/1000000/'E Balans VL '!Z12*100),0,B26*3.6/1000000/'E Balans VL '!Z12*100)</f>
        <v>0.13504884961875435</v>
      </c>
      <c r="D26" s="237" t="s">
        <v>754</v>
      </c>
      <c r="F26" s="6"/>
    </row>
    <row r="27" spans="1:18">
      <c r="A27" s="231" t="s">
        <v>53</v>
      </c>
      <c r="B27" s="33">
        <f>IF(ISERROR(TER_horeca_ele_kWh/1000),0,TER_horeca_ele_kWh/1000)</f>
        <v>12468.313874666701</v>
      </c>
      <c r="C27" s="39">
        <f>IF(ISERROR(B27*3.6/1000000/'E Balans VL '!Z9*100),0,B27*3.6/1000000/'E Balans VL '!Z9*100)</f>
        <v>0.98287253556214804</v>
      </c>
      <c r="D27" s="237" t="s">
        <v>754</v>
      </c>
      <c r="F27" s="6"/>
    </row>
    <row r="28" spans="1:18">
      <c r="A28" s="171" t="s">
        <v>52</v>
      </c>
      <c r="B28" s="33">
        <f>IF(ISERROR(TER_handel_ele_kWh/1000),0,TER_handel_ele_kWh/1000)</f>
        <v>2822.18331389079</v>
      </c>
      <c r="C28" s="39">
        <f>IF(ISERROR(B28*3.6/1000000/'E Balans VL '!Z13*100),0,B28*3.6/1000000/'E Balans VL '!Z13*100)</f>
        <v>8.1911162667463219E-2</v>
      </c>
      <c r="D28" s="237" t="s">
        <v>754</v>
      </c>
      <c r="F28" s="6"/>
    </row>
    <row r="29" spans="1:18">
      <c r="A29" s="231" t="s">
        <v>51</v>
      </c>
      <c r="B29" s="33">
        <f>IF(ISERROR(TER_gezond_ele_kWh/1000),0,TER_gezond_ele_kWh/1000)</f>
        <v>2864.1555492113803</v>
      </c>
      <c r="C29" s="39">
        <f>IF(ISERROR(B29*3.6/1000000/'E Balans VL '!Z10*100),0,B29*3.6/1000000/'E Balans VL '!Z10*100)</f>
        <v>0.30164261000750447</v>
      </c>
      <c r="D29" s="237" t="s">
        <v>754</v>
      </c>
      <c r="F29" s="6"/>
    </row>
    <row r="30" spans="1:18">
      <c r="A30" s="231" t="s">
        <v>50</v>
      </c>
      <c r="B30" s="33">
        <f>IF(ISERROR(TER_ander_ele_kWh/1000),0,TER_ander_ele_kWh/1000)</f>
        <v>1827.6915702439201</v>
      </c>
      <c r="C30" s="39">
        <f>IF(ISERROR(B30*3.6/1000000/'E Balans VL '!Z14*100),0,B30*3.6/1000000/'E Balans VL '!Z14*100)</f>
        <v>0.13481092719382592</v>
      </c>
      <c r="D30" s="237" t="s">
        <v>754</v>
      </c>
      <c r="F30" s="6"/>
    </row>
    <row r="31" spans="1:18">
      <c r="A31" s="231" t="s">
        <v>55</v>
      </c>
      <c r="B31" s="33">
        <f>IF(ISERROR(TER_onderwijs_ele_kWh/1000),0,TER_onderwijs_ele_kWh/1000)</f>
        <v>289.07831492995194</v>
      </c>
      <c r="C31" s="39">
        <f>IF(ISERROR(B31*3.6/1000000/'E Balans VL '!Z11*100),0,B31*3.6/1000000/'E Balans VL '!Z11*100)</f>
        <v>7.179168682284906E-2</v>
      </c>
      <c r="D31" s="237" t="s">
        <v>754</v>
      </c>
    </row>
    <row r="32" spans="1:18">
      <c r="A32" s="231" t="s">
        <v>260</v>
      </c>
      <c r="B32" s="33">
        <f>IF(ISERROR(TER_rest_ele_kWh/1000),0,TER_rest_ele_kWh/1000)</f>
        <v>1309.6260411378698</v>
      </c>
      <c r="C32" s="39">
        <f>IF(ISERROR(B32*3.6/1000000/'E Balans VL '!Z8*100),0,B32*3.6/1000000/'E Balans VL '!Z8*100)</f>
        <v>1.0776483966703112E-2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1242.1088181786545</v>
      </c>
      <c r="C5" s="17">
        <f>IF(ISERROR('Eigen informatie GS &amp; warmtenet'!B59),0,'Eigen informatie GS &amp; warmtenet'!B59)</f>
        <v>0</v>
      </c>
      <c r="D5" s="30">
        <f>SUM(D6:D15)</f>
        <v>2820.2504410480346</v>
      </c>
      <c r="E5" s="17">
        <f>SUM(E6:E15)</f>
        <v>186.65335553274463</v>
      </c>
      <c r="F5" s="17">
        <f>SUM(F6:F15)</f>
        <v>547.17731658926095</v>
      </c>
      <c r="G5" s="18"/>
      <c r="H5" s="17"/>
      <c r="I5" s="17"/>
      <c r="J5" s="17">
        <f>SUM(J6:J15)</f>
        <v>1.0322289060273042</v>
      </c>
      <c r="K5" s="17"/>
      <c r="L5" s="17"/>
      <c r="M5" s="17"/>
      <c r="N5" s="17">
        <f>SUM(N6:N15)</f>
        <v>341.90994015402254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581.583222287333</v>
      </c>
      <c r="C9" s="33"/>
      <c r="D9" s="37">
        <f>IF( ISERROR(IND_andere_gas_kWh/1000),0,IND_andere_gas_kWh/1000)*0.902</f>
        <v>1404.0474254601231</v>
      </c>
      <c r="E9" s="33">
        <f>C31*'E Balans VL '!I19/100/3.6*1000000</f>
        <v>170.00809796449258</v>
      </c>
      <c r="F9" s="33">
        <f>C31*'E Balans VL '!L19/100/3.6*1000000+C31*'E Balans VL '!N19/100/3.6*1000000</f>
        <v>467.34614091281509</v>
      </c>
      <c r="G9" s="34"/>
      <c r="H9" s="33"/>
      <c r="I9" s="33"/>
      <c r="J9" s="40">
        <f>C31*'E Balans VL '!D19/100/3.6*1000000+C31*'E Balans VL '!E19/100/3.6*1000000</f>
        <v>0</v>
      </c>
      <c r="K9" s="33"/>
      <c r="L9" s="33"/>
      <c r="M9" s="33"/>
      <c r="N9" s="33">
        <f>C31*'E Balans VL '!Y19/100/3.6*1000000</f>
        <v>192.16411636001408</v>
      </c>
      <c r="O9" s="33"/>
      <c r="P9" s="33"/>
      <c r="R9" s="32"/>
    </row>
    <row r="10" spans="1:18">
      <c r="A10" s="6" t="s">
        <v>41</v>
      </c>
      <c r="B10" s="37">
        <f t="shared" si="0"/>
        <v>352.12243707497299</v>
      </c>
      <c r="C10" s="33"/>
      <c r="D10" s="37">
        <f>IF( ISERROR(IND_voed_gas_kWh/1000),0,IND_voed_gas_kWh/1000)*0.902</f>
        <v>563.52938923765578</v>
      </c>
      <c r="E10" s="33">
        <f>C32*'E Balans VL '!I20/100/3.6*1000000</f>
        <v>0.74492047535515638</v>
      </c>
      <c r="F10" s="33">
        <f>C32*'E Balans VL '!L20/100/3.6*1000000+C32*'E Balans VL '!N20/100/3.6*1000000</f>
        <v>22.388304231748723</v>
      </c>
      <c r="G10" s="34"/>
      <c r="H10" s="33"/>
      <c r="I10" s="33"/>
      <c r="J10" s="40">
        <f>C32*'E Balans VL '!D20/100/3.6*1000000+C32*'E Balans VL '!E20/100/3.6*1000000</f>
        <v>0</v>
      </c>
      <c r="K10" s="33"/>
      <c r="L10" s="33"/>
      <c r="M10" s="33"/>
      <c r="N10" s="33">
        <f>C32*'E Balans VL '!Y20/100/3.6*1000000</f>
        <v>24.299922987288188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20.975705797566398</v>
      </c>
      <c r="C13" s="33"/>
      <c r="D13" s="37">
        <f>IF( ISERROR(IND_papier_gas_kWh/1000),0,IND_papier_gas_kWh/1000)*0.902</f>
        <v>54.431471854361789</v>
      </c>
      <c r="E13" s="33">
        <f>C35*'E Balans VL '!I23/100/3.6*1000000</f>
        <v>2.9759729420070657E-2</v>
      </c>
      <c r="F13" s="33">
        <f>C35*'E Balans VL '!L23/100/3.6*1000000+C35*'E Balans VL '!N23/100/3.6*1000000</f>
        <v>0.51209585225773246</v>
      </c>
      <c r="G13" s="34"/>
      <c r="H13" s="33"/>
      <c r="I13" s="33"/>
      <c r="J13" s="40">
        <f>C35*'E Balans VL '!D23/100/3.6*1000000+C35*'E Balans VL '!E23/100/3.6*1000000</f>
        <v>3.2440898335202016E-3</v>
      </c>
      <c r="K13" s="33"/>
      <c r="L13" s="33"/>
      <c r="M13" s="33"/>
      <c r="N13" s="33">
        <f>C35*'E Balans VL '!Y23/100/3.6*1000000</f>
        <v>60.97141146291451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287.42745301878205</v>
      </c>
      <c r="C15" s="33"/>
      <c r="D15" s="37">
        <f>IF( ISERROR(IND_rest_gas_kWh/1000),0,IND_rest_gas_kWh/1000)*0.902</f>
        <v>798.24215449589417</v>
      </c>
      <c r="E15" s="33">
        <f>C37*'E Balans VL '!I15/100/3.6*1000000</f>
        <v>15.870577363476828</v>
      </c>
      <c r="F15" s="33">
        <f>C37*'E Balans VL '!L15/100/3.6*1000000+C37*'E Balans VL '!N15/100/3.6*1000000</f>
        <v>56.930775592439417</v>
      </c>
      <c r="G15" s="34"/>
      <c r="H15" s="33"/>
      <c r="I15" s="33"/>
      <c r="J15" s="40">
        <f>C37*'E Balans VL '!D15/100/3.6*1000000+C37*'E Balans VL '!E15/100/3.6*1000000</f>
        <v>1.028984816193784</v>
      </c>
      <c r="K15" s="33"/>
      <c r="L15" s="33"/>
      <c r="M15" s="33"/>
      <c r="N15" s="33">
        <f>C37*'E Balans VL '!Y15/100/3.6*1000000</f>
        <v>64.474489343805786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1242.1088181786545</v>
      </c>
      <c r="C18" s="21">
        <f>C5+C16</f>
        <v>0</v>
      </c>
      <c r="D18" s="21">
        <f>MAX((D5+D16),0)</f>
        <v>2820.2504410480346</v>
      </c>
      <c r="E18" s="21">
        <f>MAX((E5+E16),0)</f>
        <v>186.65335553274463</v>
      </c>
      <c r="F18" s="21">
        <f>MAX((F5+F16),0)</f>
        <v>547.17731658926095</v>
      </c>
      <c r="G18" s="21"/>
      <c r="H18" s="21"/>
      <c r="I18" s="21"/>
      <c r="J18" s="21">
        <f>MAX((J5+J16),0)</f>
        <v>1.0322289060273042</v>
      </c>
      <c r="K18" s="21"/>
      <c r="L18" s="21">
        <f>MAX((L5+L16),0)</f>
        <v>0</v>
      </c>
      <c r="M18" s="21"/>
      <c r="N18" s="21">
        <f>MAX((N5+N16),0)</f>
        <v>341.90994015402254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0.21278736967157039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264.30506826609877</v>
      </c>
      <c r="C22" s="23">
        <f ca="1">C18*C20</f>
        <v>0</v>
      </c>
      <c r="D22" s="23">
        <f>D18*D20</f>
        <v>569.69058909170303</v>
      </c>
      <c r="E22" s="23">
        <f>E18*E20</f>
        <v>42.370311705933034</v>
      </c>
      <c r="F22" s="23">
        <f>F18*F20</f>
        <v>146.09634352933267</v>
      </c>
      <c r="G22" s="23"/>
      <c r="H22" s="23"/>
      <c r="I22" s="23"/>
      <c r="J22" s="23">
        <f>J18*J20</f>
        <v>0.36540903273366565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581.583222287333</v>
      </c>
      <c r="C31" s="39">
        <f>IF(ISERROR(B31*3.6/1000000/'E Balans VL '!Z19*100),0,B31*3.6/1000000/'E Balans VL '!Z19*100)</f>
        <v>2.6378193292564255E-2</v>
      </c>
      <c r="D31" s="237" t="s">
        <v>754</v>
      </c>
    </row>
    <row r="32" spans="1:18">
      <c r="A32" s="171" t="s">
        <v>41</v>
      </c>
      <c r="B32" s="37">
        <f>IF( ISERROR(IND_voed_ele_kWh/1000),0,IND_voed_ele_kWh/1000)</f>
        <v>352.12243707497299</v>
      </c>
      <c r="C32" s="39">
        <f>IF(ISERROR(B32*3.6/1000000/'E Balans VL '!Z20*100),0,B32*3.6/1000000/'E Balans VL '!Z20*100)</f>
        <v>1.0892745479623022E-2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20.975705797566398</v>
      </c>
      <c r="C35" s="39">
        <f>IF(ISERROR(B35*3.6/1000000/'E Balans VL '!Z22*100),0,B35*3.6/1000000/'E Balans VL '!Z22*100)</f>
        <v>3.7728750384983778E-3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287.42745301878205</v>
      </c>
      <c r="C37" s="39">
        <f>IF(ISERROR(B37*3.6/1000000/'E Balans VL '!Z15*100),0,B37*3.6/1000000/'E Balans VL '!Z15*100)</f>
        <v>2.2782155596576298E-3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944.96961848377703</v>
      </c>
      <c r="C5" s="17">
        <f>'Eigen informatie GS &amp; warmtenet'!B60</f>
        <v>0</v>
      </c>
      <c r="D5" s="30">
        <f>IF(ISERROR(SUM(LB_lb_gas_kWh,LB_rest_gas_kWh,onbekend_gas_kWh)/1000),0,SUM(LB_lb_gas_kWh,LB_rest_gas_kWh,onbekend_gas_kWh)/1000)*0.902</f>
        <v>12303.198947853376</v>
      </c>
      <c r="E5" s="17">
        <f>B17*'E Balans VL '!I25/3.6*1000000/100</f>
        <v>27.77554335759071</v>
      </c>
      <c r="F5" s="17">
        <f>B17*('E Balans VL '!L25/3.6*1000000+'E Balans VL '!N25/3.6*1000000)/100</f>
        <v>3936.6923671254353</v>
      </c>
      <c r="G5" s="18"/>
      <c r="H5" s="17"/>
      <c r="I5" s="17"/>
      <c r="J5" s="17">
        <f>('E Balans VL '!D25+'E Balans VL '!E25)/3.6*1000000*landbouw!B17/100</f>
        <v>136.90580426344548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944.96961848377703</v>
      </c>
      <c r="C8" s="21">
        <f>C5+C6</f>
        <v>0</v>
      </c>
      <c r="D8" s="21">
        <f>MAX((D5+D6),0)</f>
        <v>12303.198947853376</v>
      </c>
      <c r="E8" s="21">
        <f>MAX((E5+E6),0)</f>
        <v>27.77554335759071</v>
      </c>
      <c r="F8" s="21">
        <f>MAX((F5+F6),0)</f>
        <v>3936.6923671254353</v>
      </c>
      <c r="G8" s="21"/>
      <c r="H8" s="21"/>
      <c r="I8" s="21"/>
      <c r="J8" s="21">
        <f>MAX((J5+J6),0)</f>
        <v>136.90580426344548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0.21278736967157039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201.0775995367103</v>
      </c>
      <c r="C12" s="23">
        <f ca="1">C8*C10</f>
        <v>0</v>
      </c>
      <c r="D12" s="23">
        <f>D8*D10</f>
        <v>2485.2461874663823</v>
      </c>
      <c r="E12" s="23">
        <f>E8*E10</f>
        <v>6.305048342173091</v>
      </c>
      <c r="F12" s="23">
        <f>F8*F10</f>
        <v>1051.0968620224912</v>
      </c>
      <c r="G12" s="23"/>
      <c r="H12" s="23"/>
      <c r="I12" s="23"/>
      <c r="J12" s="23">
        <f>J8*J10</f>
        <v>48.464654709259698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0.13409415361461025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277.90679825493038</v>
      </c>
      <c r="C26" s="247">
        <f>B26*'GWP N2O_CH4'!B5</f>
        <v>5836.0427633535382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73.447899243305301</v>
      </c>
      <c r="C27" s="247">
        <f>B27*'GWP N2O_CH4'!B5</f>
        <v>1542.4058841094113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3.6911507474184053</v>
      </c>
      <c r="C28" s="247">
        <f>B28*'GWP N2O_CH4'!B4</f>
        <v>1144.2567316997056</v>
      </c>
      <c r="D28" s="50"/>
    </row>
    <row r="29" spans="1:4">
      <c r="A29" s="41" t="s">
        <v>277</v>
      </c>
      <c r="B29" s="247">
        <f>B34*'ha_N2O bodem landbouw'!B4</f>
        <v>17.443620846659712</v>
      </c>
      <c r="C29" s="247">
        <f>B29*'GWP N2O_CH4'!B4</f>
        <v>5407.5224624645107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3.9805741638160395E-3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1.18377323970595E-4</v>
      </c>
      <c r="C5" s="463" t="s">
        <v>211</v>
      </c>
      <c r="D5" s="448">
        <f>SUM(D6:D11)</f>
        <v>3.8986854731399038E-4</v>
      </c>
      <c r="E5" s="448">
        <f>SUM(E6:E11)</f>
        <v>5.245877255194121E-4</v>
      </c>
      <c r="F5" s="461" t="s">
        <v>211</v>
      </c>
      <c r="G5" s="448">
        <f>SUM(G6:G11)</f>
        <v>0.22075179061588118</v>
      </c>
      <c r="H5" s="448">
        <f>SUM(H6:H11)</f>
        <v>4.4106261653476128E-2</v>
      </c>
      <c r="I5" s="463" t="s">
        <v>211</v>
      </c>
      <c r="J5" s="463" t="s">
        <v>211</v>
      </c>
      <c r="K5" s="463" t="s">
        <v>211</v>
      </c>
      <c r="L5" s="463" t="s">
        <v>211</v>
      </c>
      <c r="M5" s="448">
        <f>SUM(M6:M11)</f>
        <v>1.4206647130636586E-2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1.034627239265488E-4</v>
      </c>
      <c r="C6" s="449"/>
      <c r="D6" s="962">
        <f>vkm_2011_GW_PW*SUMIFS(TableVerdeelsleutelVkm[CNG],TableVerdeelsleutelVkm[Voertuigtype],"Lichte voertuigen")*SUMIFS(TableECFTransport[EnergieConsumptieFactor (PJ per km)],TableECFTransport[Index],CONCATENATE($A6,"_CNG_CNG"))</f>
        <v>3.1032878957757624E-4</v>
      </c>
      <c r="E6" s="962">
        <f>vkm_2011_GW_PW*SUMIFS(TableVerdeelsleutelVkm[LPG],TableVerdeelsleutelVkm[Voertuigtype],"Lichte voertuigen")*SUMIFS(TableECFTransport[EnergieConsumptieFactor (PJ per km)],TableECFTransport[Index],CONCATENATE($A6,"_LPG_LPG"))</f>
        <v>4.2395370309675987E-4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0.10961499328101032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3.5290155454486209E-2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7.4516109560976481E-3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7.1436939465554739E-2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2.1768719390681024E-5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4.1745375359660518E-3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1.4914600044046202E-5</v>
      </c>
      <c r="C8" s="449"/>
      <c r="D8" s="451">
        <f>vkm_2011_NGW_PW*SUMIFS(TableVerdeelsleutelVkm[CNG],TableVerdeelsleutelVkm[Voertuigtype],"Lichte voertuigen")*SUMIFS(TableECFTransport[EnergieConsumptieFactor (PJ per km)],TableECFTransport[Index],CONCATENATE($A8,"_CNG_CNG"))</f>
        <v>7.9539757736414113E-5</v>
      </c>
      <c r="E8" s="451">
        <f>vkm_2011_NGW_PW*SUMIFS(TableVerdeelsleutelVkm[LPG],TableVerdeelsleutelVkm[Voertuigtype],"Lichte voertuigen")*SUMIFS(TableECFTransport[EnergieConsumptieFactor (PJ per km)],TableECFTransport[Index],CONCATENATE($A8,"_LPG_LPG"))</f>
        <v>1.0063402242265225E-4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2.4247276528282923E-2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8.7899045428847054E-3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1.6775092804945887E-3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1.5452581341033202E-2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4.4329367145288217E-6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9.0298935807829757E-4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32.882589991831942</v>
      </c>
      <c r="C14" s="21"/>
      <c r="D14" s="21">
        <f t="shared" ref="D14:M14" si="0">((D5)*10^9/3600)+D12</f>
        <v>108.29681869833065</v>
      </c>
      <c r="E14" s="21">
        <f t="shared" si="0"/>
        <v>145.71881264428114</v>
      </c>
      <c r="F14" s="21"/>
      <c r="G14" s="21">
        <f t="shared" si="0"/>
        <v>61319.941837744773</v>
      </c>
      <c r="H14" s="21">
        <f t="shared" si="0"/>
        <v>12251.739348187813</v>
      </c>
      <c r="I14" s="21"/>
      <c r="J14" s="21"/>
      <c r="K14" s="21"/>
      <c r="L14" s="21"/>
      <c r="M14" s="21">
        <f t="shared" si="0"/>
        <v>3946.2908696212739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0.21278736967157039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6.9969998323506237</v>
      </c>
      <c r="C18" s="23"/>
      <c r="D18" s="23">
        <f t="shared" ref="D18:M18" si="1">D14*D16</f>
        <v>21.875957377062793</v>
      </c>
      <c r="E18" s="23">
        <f t="shared" si="1"/>
        <v>33.07817047025182</v>
      </c>
      <c r="F18" s="23"/>
      <c r="G18" s="23">
        <f t="shared" si="1"/>
        <v>16372.424470677855</v>
      </c>
      <c r="H18" s="23">
        <f t="shared" si="1"/>
        <v>3050.6830976987653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4.7424863275065347E-3</v>
      </c>
      <c r="C50" s="321">
        <f t="shared" ref="C50:P50" si="2">SUM(C51:C52)</f>
        <v>0</v>
      </c>
      <c r="D50" s="321">
        <f t="shared" si="2"/>
        <v>0</v>
      </c>
      <c r="E50" s="321">
        <f t="shared" si="2"/>
        <v>0</v>
      </c>
      <c r="F50" s="321">
        <f t="shared" si="2"/>
        <v>0</v>
      </c>
      <c r="G50" s="321">
        <f t="shared" si="2"/>
        <v>1.0440941491088992E-3</v>
      </c>
      <c r="H50" s="321">
        <f t="shared" si="2"/>
        <v>0</v>
      </c>
      <c r="I50" s="321">
        <f t="shared" si="2"/>
        <v>0</v>
      </c>
      <c r="J50" s="321">
        <f t="shared" si="2"/>
        <v>0</v>
      </c>
      <c r="K50" s="321">
        <f t="shared" si="2"/>
        <v>0</v>
      </c>
      <c r="L50" s="321">
        <f t="shared" si="2"/>
        <v>0</v>
      </c>
      <c r="M50" s="321">
        <f t="shared" si="2"/>
        <v>5.9299938436011553E-5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1.0440941491088992E-3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5.9299938436011553E-5</v>
      </c>
      <c r="N51" s="323"/>
      <c r="O51" s="323"/>
      <c r="P51" s="326"/>
    </row>
    <row r="52" spans="1:18">
      <c r="A52" s="4" t="s">
        <v>330</v>
      </c>
      <c r="B52" s="963">
        <f>vkm_2011_tram*SUMIFS(TableECFTransport[EnergieConsumptieFactor (PJ per km)],TableECFTransport[Index],"Tram_gemiddeld_Electric_Electric")</f>
        <v>4.7424863275065347E-3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1317.3573131962596</v>
      </c>
      <c r="C54" s="21">
        <f t="shared" ref="C54:P54" si="3">(C50)*10^9/3600</f>
        <v>0</v>
      </c>
      <c r="D54" s="21">
        <f t="shared" si="3"/>
        <v>0</v>
      </c>
      <c r="E54" s="21">
        <f t="shared" si="3"/>
        <v>0</v>
      </c>
      <c r="F54" s="21">
        <f t="shared" si="3"/>
        <v>0</v>
      </c>
      <c r="G54" s="21">
        <f t="shared" si="3"/>
        <v>290.02615253024982</v>
      </c>
      <c r="H54" s="21">
        <f t="shared" si="3"/>
        <v>0</v>
      </c>
      <c r="I54" s="21">
        <f t="shared" si="3"/>
        <v>0</v>
      </c>
      <c r="J54" s="21">
        <f t="shared" si="3"/>
        <v>0</v>
      </c>
      <c r="K54" s="21">
        <f t="shared" si="3"/>
        <v>0</v>
      </c>
      <c r="L54" s="21">
        <f t="shared" si="3"/>
        <v>0</v>
      </c>
      <c r="M54" s="21">
        <f t="shared" si="3"/>
        <v>16.472205121114321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0.21278736967157039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280.31699759263921</v>
      </c>
      <c r="C58" s="23">
        <f t="shared" ref="C58:P58" ca="1" si="4">C54*C56</f>
        <v>0</v>
      </c>
      <c r="D58" s="23">
        <f t="shared" si="4"/>
        <v>0</v>
      </c>
      <c r="E58" s="23">
        <f t="shared" si="4"/>
        <v>0</v>
      </c>
      <c r="F58" s="23">
        <f t="shared" si="4"/>
        <v>0</v>
      </c>
      <c r="G58" s="23">
        <f t="shared" si="4"/>
        <v>77.436982725576712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2346.2505229766566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2346.2505229766566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2019-01-01T21:19:48Z</dcterms:modified>
</cp:coreProperties>
</file>