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7" i="19" l="1"/>
  <c r="C19" s="1"/>
  <c r="D35" i="14" s="1"/>
  <c r="C20" i="16"/>
  <c r="C22" s="1"/>
  <c r="D39" i="14" s="1"/>
  <c r="C18" i="15"/>
  <c r="C20" s="1"/>
  <c r="D36" i="14" s="1"/>
  <c r="C29" i="20"/>
  <c r="C10" i="13"/>
  <c r="C12" s="1"/>
  <c r="D37" i="14" s="1"/>
  <c r="D41" s="1"/>
  <c r="C16" i="22"/>
  <c r="C10" i="17"/>
  <c r="C12" s="1"/>
  <c r="D48" i="14" s="1"/>
  <c r="C56" i="22"/>
  <c r="C58" s="1"/>
  <c r="D44" i="14" s="1"/>
  <c r="D46" s="1"/>
  <c r="C17" i="49"/>
  <c r="Q5"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F25" i="48"/>
  <c r="F31" s="1"/>
  <c r="F14"/>
  <c r="E14" l="1"/>
  <c r="N25"/>
  <c r="N31" s="1"/>
  <c r="C16"/>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<sst xmlns="http://schemas.openxmlformats.org/spreadsheetml/2006/main" count="2108" uniqueCount="850">
  <si>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</si>
  <si>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</si>
  <si>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</si>
  <si>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</si>
  <si>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</si>
  <si>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</si>
  <si>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</si>
  <si>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</si>
  <si>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</si>
  <si>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</si>
  <si>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</si>
  <si>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</si>
  <si>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</si>
  <si>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</si>
  <si>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</si>
  <si>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</si>
  <si>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</si>
  <si>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</si>
  <si>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</si>
  <si>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</si>
  <si>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</si>
  <si>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</si>
  <si>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</si>
  <si>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</si>
  <si>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</si>
  <si>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</si>
  <si>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</si>
  <si>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</si>
  <si>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</si>
  <si>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</si>
  <si>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</si>
  <si>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</si>
  <si>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</si>
  <si>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</si>
  <si>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</si>
  <si>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</si>
  <si>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</si>
  <si>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</si>
  <si>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</si>
  <si>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</si>
  <si>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</si>
  <si>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</si>
  <si>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</si>
  <si>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</si>
  <si>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</si>
  <si>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</si>
  <si>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</si>
  <si>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</si>
  <si>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</si>
  <si>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</si>
  <si>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</si>
  <si>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</si>
  <si>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</si>
  <si>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</si>
  <si>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</si>
  <si>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</si>
  <si>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</si>
  <si>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</si>
  <si>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</si>
  <si>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</si>
  <si>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</si>
  <si>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</si>
  <si>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</si>
  <si>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</si>
  <si>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</si>
  <si>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</si>
  <si>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</si>
  <si>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</si>
  <si>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</si>
  <si>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</si>
  <si>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</si>
  <si>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</si>
  <si>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</si>
  <si>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</si>
  <si>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</si>
  <si>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</si>
  <si>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</si>
  <si>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</si>
  <si>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</si>
  <si>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</si>
  <si>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</si>
  <si>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</si>
  <si>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</si>
  <si>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</si>
  <si>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</si>
  <si>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</si>
  <si>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</si>
  <si>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</si>
  <si>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</si>
  <si>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</si>
  <si>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</si>
  <si>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</si>
  <si>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</si>
  <si>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</si>
  <si>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</si>
  <si>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</si>
  <si>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</si>
  <si>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</si>
  <si>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</si>
  <si>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</si>
  <si>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</si>
  <si>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</si>
  <si>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</si>
  <si>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</si>
  <si>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</si>
  <si>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</si>
  <si>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</si>
  <si>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</si>
  <si>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</si>
  <si>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</si>
  <si>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</si>
  <si>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</si>
  <si>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</si>
  <si>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</si>
  <si>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</si>
  <si>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</si>
  <si>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</si>
  <si>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</si>
  <si>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</si>
  <si>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</si>
  <si>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</si>
  <si>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</si>
  <si>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</si>
  <si>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</si>
  <si>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</si>
  <si>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</si>
  <si>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</si>
  <si>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</si>
  <si>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</si>
  <si>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</si>
  <si>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</si>
  <si>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</si>
  <si>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</si>
  <si>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</si>
  <si>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</si>
  <si>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</si>
  <si>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</si>
  <si>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</si>
  <si>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</si>
  <si>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</si>
  <si>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</si>
  <si>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</si>
  <si>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</si>
  <si>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</si>
  <si>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</si>
  <si>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</si>
  <si>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</si>
  <si>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</si>
  <si>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</si>
  <si>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</si>
  <si>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</si>
  <si>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</si>
  <si>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</si>
  <si>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</si>
  <si>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</si>
  <si>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</si>
  <si>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</si>
  <si>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</si>
  <si>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</si>
  <si>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</si>
  <si>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</si>
  <si>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</si>
  <si>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</si>
  <si>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</si>
  <si>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</si>
  <si>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</si>
  <si>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</si>
  <si>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</si>
  <si>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</si>
  <si>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</si>
  <si>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</si>
  <si>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</si>
  <si>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</si>
  <si>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</si>
  <si>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</si>
  <si>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</si>
  <si>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</si>
  <si>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</si>
  <si>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</si>
  <si>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</si>
  <si>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</si>
  <si>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</si>
  <si>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</si>
  <si>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</si>
  <si>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</si>
  <si>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</si>
  <si>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</si>
  <si>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</si>
  <si>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</si>
  <si>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</si>
  <si>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</si>
  <si>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</si>
  <si>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</si>
  <si>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</si>
  <si>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</si>
  <si>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</si>
  <si>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</si>
  <si>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</si>
  <si>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</si>
  <si>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</si>
  <si>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</si>
  <si>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</si>
  <si>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</si>
  <si>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</si>
  <si>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</si>
  <si>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</si>
  <si>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</si>
  <si>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</si>
  <si>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</si>
  <si>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</si>
  <si>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</si>
  <si>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</si>
  <si>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</si>
  <si>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</si>
  <si>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</si>
  <si>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</si>
  <si>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</si>
  <si>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</si>
  <si>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</si>
  <si>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</si>
  <si>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</si>
  <si>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</si>
  <si>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</si>
  <si>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</si>
  <si>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</si>
  <si>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</si>
  <si>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</si>
  <si>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</si>
  <si>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</si>
  <si>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</si>
  <si>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</si>
  <si>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</si>
  <si>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</si>
  <si>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</si>
  <si>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</si>
  <si>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</si>
  <si>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</si>
  <si>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</si>
  <si>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</si>
  <si>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</si>
  <si>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</si>
  <si>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</si>
  <si>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</si>
  <si>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</si>
  <si>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</si>
  <si>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</si>
  <si>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</si>
  <si>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</si>
  <si>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</si>
  <si>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</si>
  <si>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</si>
  <si>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</si>
  <si>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</si>
  <si>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</si>
  <si>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</si>
  <si>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</si>
  <si>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</si>
  <si>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</si>
  <si>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</si>
  <si>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</si>
  <si>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</si>
  <si>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</si>
  <si>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</si>
  <si>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</si>
  <si>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</si>
  <si>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</si>
  <si>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</si>
  <si>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</si>
  <si>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</si>
  <si>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</si>
  <si>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</si>
  <si>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</si>
  <si>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</si>
  <si>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</si>
  <si>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</si>
  <si>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</si>
  <si>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</si>
  <si>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</si>
  <si>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</si>
  <si>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</si>
  <si>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</si>
  <si>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</si>
  <si>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</si>
  <si>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</si>
  <si>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</si>
  <si>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</si>
  <si>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</si>
  <si>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</si>
  <si>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</si>
  <si>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</si>
  <si>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</si>
  <si>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</si>
  <si>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</si>
  <si>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</si>
  <si>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</si>
  <si>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</si>
  <si>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</si>
  <si>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</si>
  <si>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</si>
  <si>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</si>
  <si>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</si>
  <si>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</si>
  <si>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</si>
  <si>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</si>
  <si>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</si>
  <si>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</si>
  <si>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</si>
  <si>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</si>
  <si>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</si>
  <si>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</si>
  <si>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</si>
  <si>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</si>
  <si>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</si>
  <si>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</si>
  <si>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</si>
  <si>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</si>
  <si>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</si>
  <si>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</si>
  <si>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</si>
  <si>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</si>
  <si>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</si>
  <si>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</si>
  <si>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</si>
  <si>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</si>
  <si>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</si>
  <si>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</si>
  <si>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</si>
  <si>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</si>
  <si>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</si>
  <si>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</si>
  <si>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</si>
  <si>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</si>
  <si>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</si>
  <si>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</si>
  <si>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</si>
  <si>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</si>
  <si>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</si>
  <si>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</si>
  <si>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</si>
  <si>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</si>
  <si>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</si>
  <si>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</si>
  <si>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</si>
  <si>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</si>
  <si>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</si>
  <si>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</si>
  <si>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</si>
  <si>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</si>
  <si>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</si>
  <si>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</si>
  <si>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</si>
  <si>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</si>
  <si>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</si>
  <si>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</si>
  <si>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</si>
  <si>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</si>
  <si>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</si>
  <si>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</si>
  <si>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</si>
  <si>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</si>
  <si>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</si>
  <si>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</si>
  <si>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</si>
  <si>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</si>
  <si>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</si>
  <si>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</si>
  <si>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</si>
  <si>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</si>
  <si>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</si>
  <si>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</si>
  <si>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</si>
  <si>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</si>
  <si>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</si>
  <si>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</si>
  <si>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</si>
  <si>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</si>
  <si>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</si>
  <si>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</si>
  <si>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</si>
  <si>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</si>
  <si>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</si>
  <si>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</si>
  <si>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</si>
  <si>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</si>
  <si>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</si>
  <si>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</si>
  <si>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</si>
  <si>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</si>
  <si>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</si>
  <si>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</si>
  <si>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</si>
  <si>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</si>
  <si>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</si>
  <si>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</si>
  <si>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</si>
  <si>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</si>
  <si>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</si>
  <si>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</si>
  <si>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</si>
  <si>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</si>
  <si>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</si>
  <si>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</si>
  <si>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</si>
  <si>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</si>
  <si>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</si>
  <si>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</si>
  <si>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</si>
  <si>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</si>
  <si>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</si>
  <si>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</si>
  <si>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</si>
  <si>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</si>
  <si>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</si>
  <si>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</si>
  <si>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</si>
  <si>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</si>
  <si>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</si>
  <si>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</si>
  <si>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</si>
  <si>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</si>
  <si>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</si>
  <si>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</si>
  <si>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</si>
  <si>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</si>
  <si>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</si>
  <si>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</si>
  <si>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</si>
  <si>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</si>
  <si>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</si>
  <si>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</si>
  <si>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</si>
  <si>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</si>
  <si>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</si>
  <si>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</si>
  <si>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</si>
  <si>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</si>
  <si>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</si>
  <si>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</si>
  <si>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</si>
  <si>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</si>
  <si>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</si>
  <si>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</si>
  <si>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</si>
  <si>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</si>
  <si>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</si>
  <si>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</si>
  <si>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</si>
  <si>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</si>
  <si>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</si>
  <si>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</si>
  <si>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</si>
  <si>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</si>
  <si>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</si>
  <si>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</si>
  <si>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</si>
  <si>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</si>
  <si>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</si>
  <si>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</si>
  <si>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</si>
  <si>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</si>
  <si>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</si>
  <si>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</si>
  <si>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</si>
  <si>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</si>
  <si>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</si>
  <si>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</si>
  <si>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</si>
  <si>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</si>
  <si>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</si>
  <si>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</si>
  <si>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</si>
  <si>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</si>
  <si>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</si>
  <si>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</si>
  <si>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</si>
  <si>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</si>
  <si>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</si>
  <si>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</si>
  <si>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</si>
  <si>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</si>
  <si>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</si>
  <si>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</si>
  <si>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</si>
  <si>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</si>
  <si>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</si>
  <si>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</si>
  <si>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</si>
  <si>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</si>
  <si>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</si>
  <si>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</si>
  <si>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</si>
  <si>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</si>
  <si>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</si>
  <si>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</si>
  <si>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</si>
  <si>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</si>
  <si>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</si>
  <si>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</si>
  <si>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</si>
  <si>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</si>
  <si>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</si>
  <si>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</si>
  <si>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</si>
  <si>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</si>
  <si>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</si>
  <si>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</si>
  <si>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</si>
  <si>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</si>
  <si>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</si>
  <si>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</si>
  <si>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</si>
  <si>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</si>
  <si>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</si>
  <si>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</si>
  <si>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</si>
  <si>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</si>
  <si>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</si>
  <si>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</si>
  <si>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</si>
  <si>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</si>
  <si>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</si>
  <si>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</si>
  <si>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</si>
  <si>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</si>
  <si>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</si>
  <si>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</si>
  <si>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</si>
  <si>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</si>
  <si>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</si>
  <si>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</si>
  <si>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</si>
  <si>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</si>
  <si>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</si>
  <si>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</si>
  <si>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</si>
  <si>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</si>
  <si>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</si>
  <si>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</si>
  <si>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</si>
  <si>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</si>
  <si>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</si>
  <si>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</si>
  <si>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</si>
  <si>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</si>
  <si>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</si>
  <si>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</si>
  <si>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</si>
  <si>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</si>
  <si>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</si>
  <si>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</si>
  <si>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</si>
  <si>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</si>
  <si>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</si>
  <si>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</si>
  <si>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</si>
  <si>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</si>
  <si>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</si>
  <si>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</si>
  <si>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</si>
  <si>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</si>
  <si>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</si>
  <si>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</si>
  <si>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</si>
  <si>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</si>
  <si>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</si>
  <si>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</si>
  <si>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</si>
  <si>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</si>
  <si>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</si>
  <si>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</si>
  <si>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</si>
  <si>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</si>
  <si>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</si>
  <si>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</si>
  <si>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</si>
  <si>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</si>
  <si>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</si>
  <si>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</si>
  <si>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</si>
  <si>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</si>
  <si>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</si>
  <si>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</si>
  <si>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</si>
  <si>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</si>
  <si>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</si>
  <si>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</si>
  <si>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</si>
  <si>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</si>
  <si>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</si>
  <si>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</si>
  <si>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</si>
  <si>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</si>
  <si>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</si>
  <si>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</si>
  <si>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</si>
  <si>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</si>
  <si>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</si>
  <si>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</si>
  <si>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</si>
  <si>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</si>
  <si>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</si>
  <si>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</si>
  <si>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</si>
  <si>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</si>
  <si>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</si>
  <si>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</si>
  <si>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</si>
  <si>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</si>
  <si>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</si>
  <si>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</si>
  <si>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</si>
  <si>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</si>
  <si>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</si>
  <si>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</si>
  <si>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</si>
  <si>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</si>
  <si>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</si>
  <si>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</si>
  <si>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</si>
  <si>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</si>
  <si>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</si>
  <si>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</si>
  <si>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</si>
  <si>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</si>
  <si>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</si>
  <si>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</si>
  <si>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</si>
  <si>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</si>
  <si>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</si>
  <si>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</si>
  <si>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</si>
  <si>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</si>
  <si>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</si>
  <si>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</si>
  <si>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</si>
  <si>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</si>
  <si>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</si>
  <si>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</si>
  <si>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</si>
  <si>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</si>
  <si>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</si>
  <si>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</si>
  <si>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</si>
  <si>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</si>
  <si>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</si>
  <si>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</si>
  <si>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</si>
  <si>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</si>
  <si>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</si>
  <si>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</si>
  <si>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</si>
  <si>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</si>
  <si>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</si>
  <si>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</si>
  <si>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</si>
  <si>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</si>
  <si>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</si>
  <si>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</si>
  <si>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</si>
  <si>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</si>
  <si>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</si>
  <si>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</si>
  <si>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</si>
  <si>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</si>
  <si>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</si>
  <si>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</si>
  <si>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</si>
  <si>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</si>
  <si>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</si>
  <si>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</si>
  <si>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</si>
  <si>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</si>
  <si>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</si>
  <si>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</si>
  <si>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</si>
  <si>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</si>
  <si>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</si>
  <si>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</si>
  <si>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</si>
  <si>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</si>
  <si>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</si>
  <si>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</si>
  <si>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</si>
  <si>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</si>
  <si>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</si>
  <si>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</si>
  <si>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</si>
  <si>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</si>
  <si>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</si>
  <si>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</si>
  <si>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</si>
  <si>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</si>
  <si>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</si>
  <si>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</si>
  <si>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</si>
  <si>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</si>
  <si>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</si>
  <si>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</si>
  <si>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</si>
  <si>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</si>
  <si>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</si>
  <si>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</si>
  <si>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</si>
  <si>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</si>
  <si>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</si>
  <si>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</si>
  <si>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</si>
  <si>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</si>
  <si>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</si>
  <si>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</si>
  <si>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</si>
  <si>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</si>
  <si>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</si>
  <si>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</si>
  <si>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</si>
  <si>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</si>
  <si>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</si>
  <si>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</si>
  <si>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</si>
  <si>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</si>
  <si>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</si>
  <si>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</si>
  <si>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</si>
  <si>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</si>
  <si>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</si>
  <si>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</si>
  <si>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</si>
  <si>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</si>
  <si>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</si>
  <si>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</si>
  <si>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</si>
  <si>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</si>
  <si>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</si>
  <si>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</si>
  <si>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</si>
  <si>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</si>
  <si>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</si>
  <si>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</si>
  <si>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</si>
  <si>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</si>
  <si>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</si>
  <si>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</si>
  <si>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</si>
  <si>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</si>
  <si>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</si>
  <si>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</si>
  <si>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</si>
  <si>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</si>
  <si>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</si>
  <si>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</si>
  <si>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</si>
  <si>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</si>
  <si>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</si>
  <si>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</si>
  <si>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</si>
  <si>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</si>
  <si>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</si>
  <si>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</si>
  <si>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</si>
  <si>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</si>
  <si>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</si>
  <si>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</si>
  <si>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</si>
  <si>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</si>
  <si>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</si>
  <si>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</si>
  <si>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</si>
  <si>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</si>
  <si>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</si>
  <si>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</si>
  <si>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</si>
  <si>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</si>
  <si>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</si>
  <si>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</si>
  <si>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</si>
  <si>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</si>
  <si>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</si>
  <si>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</si>
  <si>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</si>
  <si>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</si>
  <si>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</si>
  <si>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</si>
  <si>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</si>
  <si>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</si>
  <si>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</si>
  <si>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</si>
  <si>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</si>
  <si>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</si>
  <si>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</si>
  <si>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</si>
  <si>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</si>
  <si>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</si>
  <si>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</si>
  <si>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</si>
  <si>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</si>
  <si>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</si>
  <si>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</si>
  <si>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</si>
  <si>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</si>
  <si>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</si>
  <si>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</si>
  <si>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</si>
  <si>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</si>
  <si>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</si>
  <si>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</si>
  <si>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</si>
  <si>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</si>
  <si>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</si>
  <si>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</si>
  <si>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</si>
  <si>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</si>
  <si>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</si>
  <si>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</si>
  <si>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</si>
  <si>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</si>
  <si>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</si>
  <si>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</si>
  <si>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</si>
  <si>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</si>
  <si>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</si>
  <si>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</si>
  <si>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</si>
  <si>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</si>
  <si>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</si>
  <si>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</si>
  <si>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</si>
  <si>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</si>
  <si>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</si>
  <si>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</si>
  <si>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</si>
  <si>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</si>
  <si>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</si>
  <si>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</si>
  <si>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</si>
  <si>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</si>
  <si>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</si>
  <si>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35006</t>
  </si>
  <si>
    <t>ICHTEGEM</t>
  </si>
  <si>
    <t>Eandis (januari 2018); Infrax (juni 2018)</t>
  </si>
  <si>
    <t>MOW (september 2017)</t>
  </si>
  <si>
    <t>referentietaak LNE (2017); Jaarverslag De Lijn (2016)</t>
  </si>
  <si>
    <t>VEA (april 2018)</t>
  </si>
  <si>
    <t>VEA (januari 2017)</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</si>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</sst>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123461.31135026508</c:v>
                </c:pt>
                <c:pt idx="1">
                  <c:v>27432.561685443347</c:v>
                </c:pt>
                <c:pt idx="2">
                  <c:v>756.47299999999996</c:v>
                </c:pt>
                <c:pt idx="3">
                  <c:v>52393.637439693259</c:v>
                </c:pt>
                <c:pt idx="4">
                  <c:v>99067.462587969101</c:v>
                </c:pt>
                <c:pt idx="5">
                  <c:v>55533.318772826577</c:v>
                </c:pt>
                <c:pt idx="6">
                  <c:v>1152.176383892828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123461.31135026508</c:v>
                </c:pt>
                <c:pt idx="1">
                  <c:v>27432.561685443347</c:v>
                </c:pt>
                <c:pt idx="2">
                  <c:v>756.47299999999996</c:v>
                </c:pt>
                <c:pt idx="3">
                  <c:v>52393.637439693259</c:v>
                </c:pt>
                <c:pt idx="4">
                  <c:v>99067.462587969101</c:v>
                </c:pt>
                <c:pt idx="5">
                  <c:v>55533.318772826577</c:v>
                </c:pt>
                <c:pt idx="6">
                  <c:v>1152.176383892828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21374.951480725682</c:v>
                </c:pt>
                <c:pt idx="1">
                  <c:v>5400.2697382711813</c:v>
                </c:pt>
                <c:pt idx="2">
                  <c:v>154.00603324508592</c:v>
                </c:pt>
                <c:pt idx="3">
                  <c:v>12803.575518686241</c:v>
                </c:pt>
                <c:pt idx="4">
                  <c:v>19903.377943436335</c:v>
                </c:pt>
                <c:pt idx="5">
                  <c:v>13889.121974943573</c:v>
                </c:pt>
                <c:pt idx="6">
                  <c:v>291.09801246574239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21374.951480725682</c:v>
                </c:pt>
                <c:pt idx="1">
                  <c:v>5400.2697382711813</c:v>
                </c:pt>
                <c:pt idx="2">
                  <c:v>154.00603324508592</c:v>
                </c:pt>
                <c:pt idx="3">
                  <c:v>12803.575518686241</c:v>
                </c:pt>
                <c:pt idx="4">
                  <c:v>19903.377943436335</c:v>
                </c:pt>
                <c:pt idx="5">
                  <c:v>13889.121974943573</c:v>
                </c:pt>
                <c:pt idx="6">
                  <c:v>291.09801246574239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5786</v>
      </c>
      <c r="C9" s="342">
        <v>5928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3035.19</v>
      </c>
    </row>
    <row r="15" spans="1:6">
      <c r="A15" s="348" t="s">
        <v>184</v>
      </c>
      <c r="B15" s="334">
        <v>895</v>
      </c>
    </row>
    <row r="16" spans="1:6">
      <c r="A16" s="348" t="s">
        <v>6</v>
      </c>
      <c r="B16" s="334">
        <v>1690</v>
      </c>
    </row>
    <row r="17" spans="1:6">
      <c r="A17" s="348" t="s">
        <v>7</v>
      </c>
      <c r="B17" s="334">
        <v>870</v>
      </c>
    </row>
    <row r="18" spans="1:6">
      <c r="A18" s="348" t="s">
        <v>8</v>
      </c>
      <c r="B18" s="334">
        <v>1518</v>
      </c>
    </row>
    <row r="19" spans="1:6">
      <c r="A19" s="348" t="s">
        <v>9</v>
      </c>
      <c r="B19" s="334">
        <v>1465</v>
      </c>
    </row>
    <row r="20" spans="1:6">
      <c r="A20" s="348" t="s">
        <v>10</v>
      </c>
      <c r="B20" s="334">
        <v>959</v>
      </c>
    </row>
    <row r="21" spans="1:6">
      <c r="A21" s="348" t="s">
        <v>11</v>
      </c>
      <c r="B21" s="334">
        <v>11872</v>
      </c>
    </row>
    <row r="22" spans="1:6">
      <c r="A22" s="348" t="s">
        <v>12</v>
      </c>
      <c r="B22" s="334">
        <v>47792</v>
      </c>
    </row>
    <row r="23" spans="1:6">
      <c r="A23" s="348" t="s">
        <v>13</v>
      </c>
      <c r="B23" s="334">
        <v>407</v>
      </c>
    </row>
    <row r="24" spans="1:6">
      <c r="A24" s="348" t="s">
        <v>14</v>
      </c>
      <c r="B24" s="334">
        <v>33</v>
      </c>
    </row>
    <row r="25" spans="1:6">
      <c r="A25" s="348" t="s">
        <v>15</v>
      </c>
      <c r="B25" s="334">
        <v>3430</v>
      </c>
    </row>
    <row r="26" spans="1:6">
      <c r="A26" s="348" t="s">
        <v>16</v>
      </c>
      <c r="B26" s="334">
        <v>380</v>
      </c>
    </row>
    <row r="27" spans="1:6">
      <c r="A27" s="348" t="s">
        <v>17</v>
      </c>
      <c r="B27" s="334">
        <v>67</v>
      </c>
    </row>
    <row r="28" spans="1:6" s="356" customFormat="1">
      <c r="A28" s="355" t="s">
        <v>18</v>
      </c>
      <c r="B28" s="355">
        <v>175322</v>
      </c>
    </row>
    <row r="29" spans="1:6">
      <c r="A29" s="355" t="s">
        <v>744</v>
      </c>
      <c r="B29" s="355">
        <v>132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108582.536962606</v>
      </c>
    </row>
    <row r="37" spans="1:6">
      <c r="A37" s="348" t="s">
        <v>25</v>
      </c>
      <c r="B37" s="348" t="s">
        <v>28</v>
      </c>
      <c r="C37" s="334">
        <v>0</v>
      </c>
      <c r="D37" s="334">
        <v>0</v>
      </c>
      <c r="E37" s="334">
        <v>0</v>
      </c>
      <c r="F37" s="334">
        <v>0</v>
      </c>
    </row>
    <row r="38" spans="1:6">
      <c r="A38" s="348" t="s">
        <v>25</v>
      </c>
      <c r="B38" s="348" t="s">
        <v>29</v>
      </c>
      <c r="C38" s="334">
        <v>1</v>
      </c>
      <c r="D38" s="334">
        <v>69063524.523100004</v>
      </c>
      <c r="E38" s="334">
        <v>2</v>
      </c>
      <c r="F38" s="334">
        <v>208032.50850922</v>
      </c>
    </row>
    <row r="39" spans="1:6">
      <c r="A39" s="348" t="s">
        <v>30</v>
      </c>
      <c r="B39" s="348" t="s">
        <v>31</v>
      </c>
      <c r="C39" s="334">
        <v>3809</v>
      </c>
      <c r="D39" s="334">
        <v>60001317.916866601</v>
      </c>
      <c r="E39" s="334">
        <v>5324</v>
      </c>
      <c r="F39" s="334">
        <v>19453390.4627763</v>
      </c>
    </row>
    <row r="40" spans="1:6">
      <c r="A40" s="348" t="s">
        <v>30</v>
      </c>
      <c r="B40" s="348" t="s">
        <v>29</v>
      </c>
      <c r="C40" s="334">
        <v>1</v>
      </c>
      <c r="D40" s="334">
        <v>29048.820660640598</v>
      </c>
      <c r="E40" s="334">
        <v>1</v>
      </c>
      <c r="F40" s="334">
        <v>510.52832486049999</v>
      </c>
    </row>
    <row r="41" spans="1:6">
      <c r="A41" s="348" t="s">
        <v>32</v>
      </c>
      <c r="B41" s="348" t="s">
        <v>33</v>
      </c>
      <c r="C41" s="334">
        <v>76</v>
      </c>
      <c r="D41" s="334">
        <v>1644225.5374927199</v>
      </c>
      <c r="E41" s="334">
        <v>169</v>
      </c>
      <c r="F41" s="334">
        <v>1612035.0128806799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14529639.2151361</v>
      </c>
      <c r="E48" s="334">
        <v>39</v>
      </c>
      <c r="F48" s="334">
        <v>1503599.65581403</v>
      </c>
    </row>
    <row r="49" spans="1:6">
      <c r="A49" s="348" t="s">
        <v>32</v>
      </c>
      <c r="B49" s="348" t="s">
        <v>40</v>
      </c>
      <c r="C49" s="334">
        <v>0</v>
      </c>
      <c r="D49" s="334">
        <v>0</v>
      </c>
      <c r="E49" s="334">
        <v>0</v>
      </c>
      <c r="F49" s="334">
        <v>0</v>
      </c>
    </row>
    <row r="50" spans="1:6">
      <c r="A50" s="348" t="s">
        <v>32</v>
      </c>
      <c r="B50" s="348" t="s">
        <v>41</v>
      </c>
      <c r="C50" s="334">
        <v>16</v>
      </c>
      <c r="D50" s="334">
        <v>78276084.257597402</v>
      </c>
      <c r="E50" s="334">
        <v>26</v>
      </c>
      <c r="F50" s="334">
        <v>6816923.3176216399</v>
      </c>
    </row>
    <row r="51" spans="1:6">
      <c r="A51" s="348" t="s">
        <v>42</v>
      </c>
      <c r="B51" s="348" t="s">
        <v>43</v>
      </c>
      <c r="C51" s="334">
        <v>13</v>
      </c>
      <c r="D51" s="334">
        <v>221474.357397582</v>
      </c>
      <c r="E51" s="334">
        <v>156</v>
      </c>
      <c r="F51" s="334">
        <v>3216461.2873940901</v>
      </c>
    </row>
    <row r="52" spans="1:6">
      <c r="A52" s="348" t="s">
        <v>42</v>
      </c>
      <c r="B52" s="348" t="s">
        <v>29</v>
      </c>
      <c r="C52" s="334">
        <v>3</v>
      </c>
      <c r="D52" s="334">
        <v>92323.25119245</v>
      </c>
      <c r="E52" s="334">
        <v>8</v>
      </c>
      <c r="F52" s="334">
        <v>147111.212637299</v>
      </c>
    </row>
    <row r="53" spans="1:6">
      <c r="A53" s="348" t="s">
        <v>44</v>
      </c>
      <c r="B53" s="348" t="s">
        <v>45</v>
      </c>
      <c r="C53" s="334">
        <v>106</v>
      </c>
      <c r="D53" s="334">
        <v>2155132.2604660899</v>
      </c>
      <c r="E53" s="334">
        <v>178</v>
      </c>
      <c r="F53" s="334">
        <v>673317.28620613401</v>
      </c>
    </row>
    <row r="54" spans="1:6">
      <c r="A54" s="348" t="s">
        <v>46</v>
      </c>
      <c r="B54" s="348" t="s">
        <v>47</v>
      </c>
      <c r="C54" s="334">
        <v>0</v>
      </c>
      <c r="D54" s="334">
        <v>0</v>
      </c>
      <c r="E54" s="334">
        <v>1</v>
      </c>
      <c r="F54" s="334">
        <v>756473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3172829.94908639</v>
      </c>
      <c r="E57" s="334">
        <v>93</v>
      </c>
      <c r="F57" s="334">
        <v>1316314.9312992799</v>
      </c>
    </row>
    <row r="58" spans="1:6">
      <c r="A58" s="348" t="s">
        <v>49</v>
      </c>
      <c r="B58" s="348" t="s">
        <v>51</v>
      </c>
      <c r="C58" s="334">
        <v>7</v>
      </c>
      <c r="D58" s="334">
        <v>108307.10549142399</v>
      </c>
      <c r="E58" s="334">
        <v>15</v>
      </c>
      <c r="F58" s="334">
        <v>94865.644520665504</v>
      </c>
    </row>
    <row r="59" spans="1:6">
      <c r="A59" s="348" t="s">
        <v>49</v>
      </c>
      <c r="B59" s="348" t="s">
        <v>52</v>
      </c>
      <c r="C59" s="334">
        <v>93</v>
      </c>
      <c r="D59" s="334">
        <v>3080151.1965431399</v>
      </c>
      <c r="E59" s="334">
        <v>190</v>
      </c>
      <c r="F59" s="334">
        <v>3786264.62378099</v>
      </c>
    </row>
    <row r="60" spans="1:6">
      <c r="A60" s="348" t="s">
        <v>49</v>
      </c>
      <c r="B60" s="348" t="s">
        <v>53</v>
      </c>
      <c r="C60" s="334">
        <v>42</v>
      </c>
      <c r="D60" s="334">
        <v>1832541.67235683</v>
      </c>
      <c r="E60" s="334">
        <v>48</v>
      </c>
      <c r="F60" s="334">
        <v>1082340.7372409101</v>
      </c>
    </row>
    <row r="61" spans="1:6">
      <c r="A61" s="348" t="s">
        <v>49</v>
      </c>
      <c r="B61" s="348" t="s">
        <v>54</v>
      </c>
      <c r="C61" s="334">
        <v>72</v>
      </c>
      <c r="D61" s="334">
        <v>1846810.6064796499</v>
      </c>
      <c r="E61" s="334">
        <v>155</v>
      </c>
      <c r="F61" s="334">
        <v>1365342.19558888</v>
      </c>
    </row>
    <row r="62" spans="1:6">
      <c r="A62" s="348" t="s">
        <v>49</v>
      </c>
      <c r="B62" s="348" t="s">
        <v>55</v>
      </c>
      <c r="C62" s="334">
        <v>6</v>
      </c>
      <c r="D62" s="334">
        <v>591876.79821775702</v>
      </c>
      <c r="E62" s="334">
        <v>6</v>
      </c>
      <c r="F62" s="334">
        <v>60342.905217418498</v>
      </c>
    </row>
    <row r="63" spans="1:6">
      <c r="A63" s="348" t="s">
        <v>49</v>
      </c>
      <c r="B63" s="348" t="s">
        <v>29</v>
      </c>
      <c r="C63" s="334">
        <v>73</v>
      </c>
      <c r="D63" s="334">
        <v>4992213.0302753104</v>
      </c>
      <c r="E63" s="334">
        <v>87</v>
      </c>
      <c r="F63" s="334">
        <v>2236034.4341209</v>
      </c>
    </row>
    <row r="64" spans="1:6">
      <c r="A64" s="348" t="s">
        <v>56</v>
      </c>
      <c r="B64" s="348" t="s">
        <v>57</v>
      </c>
      <c r="C64" s="334">
        <v>0</v>
      </c>
      <c r="D64" s="334">
        <v>0</v>
      </c>
      <c r="E64" s="334">
        <v>0</v>
      </c>
      <c r="F64" s="334">
        <v>0</v>
      </c>
    </row>
    <row r="65" spans="1:6">
      <c r="A65" s="348" t="s">
        <v>56</v>
      </c>
      <c r="B65" s="348" t="s">
        <v>29</v>
      </c>
      <c r="C65" s="334">
        <v>0</v>
      </c>
      <c r="D65" s="334">
        <v>0</v>
      </c>
      <c r="E65" s="334">
        <v>2</v>
      </c>
      <c r="F65" s="334">
        <v>13064.6573537444</v>
      </c>
    </row>
    <row r="66" spans="1:6">
      <c r="A66" s="348" t="s">
        <v>56</v>
      </c>
      <c r="B66" s="348" t="s">
        <v>58</v>
      </c>
      <c r="C66" s="334">
        <v>0</v>
      </c>
      <c r="D66" s="334">
        <v>0</v>
      </c>
      <c r="E66" s="334">
        <v>13</v>
      </c>
      <c r="F66" s="334">
        <v>51574.211610826598</v>
      </c>
    </row>
    <row r="67" spans="1:6">
      <c r="A67" s="355" t="s">
        <v>56</v>
      </c>
      <c r="B67" s="355" t="s">
        <v>59</v>
      </c>
      <c r="C67" s="334">
        <v>0</v>
      </c>
      <c r="D67" s="334">
        <v>0</v>
      </c>
      <c r="E67" s="334">
        <v>0</v>
      </c>
      <c r="F67" s="334">
        <v>0</v>
      </c>
    </row>
    <row r="68" spans="1:6">
      <c r="A68" s="341" t="s">
        <v>56</v>
      </c>
      <c r="B68" s="341" t="s">
        <v>60</v>
      </c>
      <c r="C68" s="334">
        <v>7</v>
      </c>
      <c r="D68" s="334">
        <v>187305.68005274399</v>
      </c>
      <c r="E68" s="334">
        <v>20</v>
      </c>
      <c r="F68" s="334">
        <v>460156.494962622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41146753</v>
      </c>
      <c r="E73" s="476">
        <v>32618200.99309095</v>
      </c>
    </row>
    <row r="74" spans="1:6">
      <c r="A74" s="348" t="s">
        <v>64</v>
      </c>
      <c r="B74" s="348" t="s">
        <v>657</v>
      </c>
      <c r="C74" s="1272" t="s">
        <v>659</v>
      </c>
      <c r="D74" s="476">
        <v>3636555.2543229447</v>
      </c>
      <c r="E74" s="476">
        <v>2943019.63247508</v>
      </c>
    </row>
    <row r="75" spans="1:6">
      <c r="A75" s="348" t="s">
        <v>65</v>
      </c>
      <c r="B75" s="348" t="s">
        <v>656</v>
      </c>
      <c r="C75" s="1272" t="s">
        <v>660</v>
      </c>
      <c r="D75" s="476">
        <v>20683856</v>
      </c>
      <c r="E75" s="476">
        <v>15897087.238884747</v>
      </c>
    </row>
    <row r="76" spans="1:6">
      <c r="A76" s="348" t="s">
        <v>65</v>
      </c>
      <c r="B76" s="348" t="s">
        <v>657</v>
      </c>
      <c r="C76" s="1272" t="s">
        <v>661</v>
      </c>
      <c r="D76" s="476">
        <v>701686.25432294456</v>
      </c>
      <c r="E76" s="476">
        <v>515308.32619052439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312489.49135411094</v>
      </c>
      <c r="C83" s="476">
        <v>312227.95902427775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4009.4683267730575</v>
      </c>
    </row>
    <row r="92" spans="1:6">
      <c r="A92" s="341" t="s">
        <v>69</v>
      </c>
      <c r="B92" s="342">
        <v>1547.7977284539518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47481.802642445517</v>
      </c>
      <c r="C3" s="43" t="s">
        <v>170</v>
      </c>
      <c r="D3" s="43"/>
      <c r="E3" s="154"/>
      <c r="F3" s="43"/>
      <c r="G3" s="43"/>
      <c r="H3" s="43"/>
      <c r="I3" s="43"/>
      <c r="J3" s="43"/>
      <c r="K3" s="96"/>
    </row>
    <row r="4" spans="1:11">
      <c r="A4" s="383" t="s">
        <v>171</v>
      </c>
      <c r="B4" s="49">
        <f>IF(ISERROR('SEAP template'!B69),0,'SEAP template'!B69)</f>
        <v>29659.26605522701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5727.7694117647061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0.20358430934757213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8182.5277310924384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34431.428571428572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756.47299999999996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756.47299999999996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0.20358430934757213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154.00603324508592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19453.90099110116</v>
      </c>
      <c r="C5" s="17">
        <f>IF(ISERROR('Eigen informatie GS &amp; warmtenet'!B57),0,'Eigen informatie GS &amp; warmtenet'!B57)</f>
        <v>0</v>
      </c>
      <c r="D5" s="30">
        <f>(SUM(HH_hh_gas_kWh,HH_rest_gas_kWh)/1000)*0.902</f>
        <v>54147.390797249573</v>
      </c>
      <c r="E5" s="17">
        <f>B46*B57</f>
        <v>6983.7204109907898</v>
      </c>
      <c r="F5" s="17">
        <f>B51*B62</f>
        <v>12097.596347570025</v>
      </c>
      <c r="G5" s="18"/>
      <c r="H5" s="17"/>
      <c r="I5" s="17"/>
      <c r="J5" s="17">
        <f>B50*B61+C50*C61</f>
        <v>2387.1241357026165</v>
      </c>
      <c r="K5" s="17"/>
      <c r="L5" s="17"/>
      <c r="M5" s="17"/>
      <c r="N5" s="17">
        <f>B48*B59+C48*C59</f>
        <v>23645.593674211188</v>
      </c>
      <c r="O5" s="17">
        <f>B69*B70*B71</f>
        <v>336.11666666666667</v>
      </c>
      <c r="P5" s="17">
        <f>B77*B78*B79/1000-B77*B78*B79/1000/B80</f>
        <v>400.4</v>
      </c>
    </row>
    <row r="6" spans="1:16">
      <c r="A6" s="16" t="s">
        <v>621</v>
      </c>
      <c r="B6" s="843">
        <f>kWh_PV_kleiner_dan_10kW</f>
        <v>4009.4683267730575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23463.369317874218</v>
      </c>
      <c r="C8" s="21">
        <f>C5</f>
        <v>0</v>
      </c>
      <c r="D8" s="21">
        <f>D5</f>
        <v>54147.390797249573</v>
      </c>
      <c r="E8" s="21">
        <f>E5</f>
        <v>6983.7204109907898</v>
      </c>
      <c r="F8" s="21">
        <f>F5</f>
        <v>12097.596347570025</v>
      </c>
      <c r="G8" s="21"/>
      <c r="H8" s="21"/>
      <c r="I8" s="21"/>
      <c r="J8" s="21">
        <f>J5</f>
        <v>2387.1241357026165</v>
      </c>
      <c r="K8" s="21"/>
      <c r="L8" s="21">
        <f>L5</f>
        <v>0</v>
      </c>
      <c r="M8" s="21">
        <f>M5</f>
        <v>0</v>
      </c>
      <c r="N8" s="21">
        <f>N5</f>
        <v>23645.593674211188</v>
      </c>
      <c r="O8" s="21">
        <f>O5</f>
        <v>336.11666666666667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0.20358430934757213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4776.7738375464369</v>
      </c>
      <c r="C12" s="23">
        <f ca="1">C10*C8</f>
        <v>0</v>
      </c>
      <c r="D12" s="23">
        <f>D8*D10</f>
        <v>10937.772941044414</v>
      </c>
      <c r="E12" s="23">
        <f>E10*E8</f>
        <v>1585.3045332949093</v>
      </c>
      <c r="F12" s="23">
        <f>F10*F8</f>
        <v>3230.058224801197</v>
      </c>
      <c r="G12" s="23"/>
      <c r="H12" s="23"/>
      <c r="I12" s="23"/>
      <c r="J12" s="23">
        <f>J10*J8</f>
        <v>845.04194403872623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5786</v>
      </c>
      <c r="C28" s="36"/>
      <c r="D28" s="228"/>
    </row>
    <row r="29" spans="1:7" s="15" customFormat="1">
      <c r="A29" s="230" t="s">
        <v>795</v>
      </c>
      <c r="B29" s="37">
        <f>SUM(HH_hh_gas_aantal,HH_rest_gas_aantal)</f>
        <v>3810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3810</v>
      </c>
      <c r="C32" s="167">
        <f>IF(ISERROR(B32/SUM($B$32,$B$34,$B$35,$B$36,$B$38,$B$39)*100),0,B32/SUM($B$32,$B$34,$B$35,$B$36,$B$38,$B$39)*100)</f>
        <v>66.088464874241112</v>
      </c>
      <c r="D32" s="233"/>
      <c r="G32" s="15"/>
    </row>
    <row r="33" spans="1:7">
      <c r="A33" s="171" t="s">
        <v>72</v>
      </c>
      <c r="B33" s="34" t="s">
        <v>111</v>
      </c>
      <c r="C33" s="167"/>
      <c r="D33" s="233"/>
      <c r="G33" s="15"/>
    </row>
    <row r="34" spans="1:7">
      <c r="A34" s="171" t="s">
        <v>73</v>
      </c>
      <c r="B34" s="33">
        <f>IF((($B$28-$B$32-$B$39-$B$77-$B$38)*C20/100)&lt;0,0,($B$28-$B$32-$B$39-$B$77-$B$38)*C20/100)</f>
        <v>329.8340874811463</v>
      </c>
      <c r="C34" s="167">
        <f>IF(ISERROR(B34/SUM($B$32,$B$34,$B$35,$B$36,$B$38,$B$39)*100),0,B34/SUM($B$32,$B$34,$B$35,$B$36,$B$38,$B$39)*100)</f>
        <v>5.7213198175393982</v>
      </c>
      <c r="D34" s="233"/>
      <c r="G34" s="15"/>
    </row>
    <row r="35" spans="1:7">
      <c r="A35" s="171" t="s">
        <v>74</v>
      </c>
      <c r="B35" s="33">
        <f>IF((($B$28-$B$32-$B$39-$B$77-$B$38)*C21/100)&lt;0,0,($B$28-$B$32-$B$39-$B$77-$B$38)*C21/100)</f>
        <v>762.47360482654608</v>
      </c>
      <c r="C35" s="167">
        <f>IF(ISERROR(B35/SUM($B$32,$B$34,$B$35,$B$36,$B$38,$B$39)*100),0,B35/SUM($B$32,$B$34,$B$35,$B$36,$B$38,$B$39)*100)</f>
        <v>13.225908149636531</v>
      </c>
      <c r="D35" s="233"/>
      <c r="G35" s="15"/>
    </row>
    <row r="36" spans="1:7">
      <c r="A36" s="171" t="s">
        <v>75</v>
      </c>
      <c r="B36" s="33">
        <f>IF((($B$28-$B$32-$B$39-$B$77-$B$38)*C22/100)&lt;0,0,($B$28-$B$32-$B$39-$B$77-$B$38)*C22/100)</f>
        <v>327.69230769230768</v>
      </c>
      <c r="C36" s="167">
        <f>IF(ISERROR(B36/SUM($B$32,$B$34,$B$35,$B$36,$B$38,$B$39)*100),0,B36/SUM($B$32,$B$34,$B$35,$B$36,$B$38,$B$39)*100)</f>
        <v>5.6841683901527791</v>
      </c>
      <c r="D36" s="233"/>
      <c r="G36" s="15"/>
    </row>
    <row r="37" spans="1:7">
      <c r="A37" s="171" t="s">
        <v>76</v>
      </c>
      <c r="B37" s="34" t="s">
        <v>111</v>
      </c>
      <c r="C37" s="167"/>
      <c r="D37" s="173"/>
      <c r="G37" s="15"/>
    </row>
    <row r="38" spans="1:7">
      <c r="A38" s="171" t="s">
        <v>77</v>
      </c>
      <c r="B38" s="33">
        <f>IF((B24-(B29-B18)*0.1)&lt;0,0,B24-(B29-B18)*0.1)</f>
        <v>67.699999999999989</v>
      </c>
      <c r="C38" s="167">
        <f>IF(ISERROR(B38/SUM($B$32,$B$34,$B$35,$B$36,$B$38,$B$39)*100),0,B38/SUM($B$32,$B$34,$B$35,$B$36,$B$38,$B$39)*100)</f>
        <v>1.1743278404163051</v>
      </c>
      <c r="D38" s="234"/>
      <c r="G38" s="15"/>
    </row>
    <row r="39" spans="1:7">
      <c r="A39" s="171" t="s">
        <v>78</v>
      </c>
      <c r="B39" s="33">
        <f>IF((B25-(B29-B18))&lt;0,0,B25-(B29-B18)*0.9)</f>
        <v>467.29999999999995</v>
      </c>
      <c r="C39" s="167">
        <f>IF(ISERROR(B39/SUM($B$32,$B$34,$B$35,$B$36,$B$38,$B$39)*100),0,B39/SUM($B$32,$B$34,$B$35,$B$36,$B$38,$B$39)*100)</f>
        <v>8.1058109280138755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3810</v>
      </c>
      <c r="C44" s="34" t="s">
        <v>111</v>
      </c>
      <c r="D44" s="174"/>
    </row>
    <row r="45" spans="1:7">
      <c r="A45" s="171" t="s">
        <v>72</v>
      </c>
      <c r="B45" s="33" t="str">
        <f t="shared" si="0"/>
        <v>-</v>
      </c>
      <c r="C45" s="34" t="s">
        <v>111</v>
      </c>
      <c r="D45" s="174"/>
    </row>
    <row r="46" spans="1:7">
      <c r="A46" s="171" t="s">
        <v>73</v>
      </c>
      <c r="B46" s="33">
        <f t="shared" si="0"/>
        <v>329.8340874811463</v>
      </c>
      <c r="C46" s="34" t="s">
        <v>111</v>
      </c>
      <c r="D46" s="174"/>
    </row>
    <row r="47" spans="1:7">
      <c r="A47" s="171" t="s">
        <v>74</v>
      </c>
      <c r="B47" s="33">
        <f t="shared" si="0"/>
        <v>762.47360482654608</v>
      </c>
      <c r="C47" s="34" t="s">
        <v>111</v>
      </c>
      <c r="D47" s="174"/>
    </row>
    <row r="48" spans="1:7">
      <c r="A48" s="171" t="s">
        <v>75</v>
      </c>
      <c r="B48" s="33">
        <f t="shared" si="0"/>
        <v>327.69230769230768</v>
      </c>
      <c r="C48" s="33">
        <f>B48*10</f>
        <v>3276.9230769230767</v>
      </c>
      <c r="D48" s="234"/>
    </row>
    <row r="49" spans="1:6">
      <c r="A49" s="171" t="s">
        <v>76</v>
      </c>
      <c r="B49" s="33" t="str">
        <f t="shared" si="0"/>
        <v>-</v>
      </c>
      <c r="C49" s="34" t="s">
        <v>111</v>
      </c>
      <c r="D49" s="234"/>
    </row>
    <row r="50" spans="1:6">
      <c r="A50" s="171" t="s">
        <v>77</v>
      </c>
      <c r="B50" s="33">
        <f t="shared" si="0"/>
        <v>67.699999999999989</v>
      </c>
      <c r="C50" s="33">
        <f>B50*2</f>
        <v>135.39999999999998</v>
      </c>
      <c r="D50" s="234"/>
    </row>
    <row r="51" spans="1:6">
      <c r="A51" s="171" t="s">
        <v>78</v>
      </c>
      <c r="B51" s="33">
        <f t="shared" si="0"/>
        <v>467.29999999999995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9941.5054717690437</v>
      </c>
      <c r="C5" s="17">
        <f>IF(ISERROR('Eigen informatie GS &amp; warmtenet'!B58),0,'Eigen informatie GS &amp; warmtenet'!B58)</f>
        <v>0</v>
      </c>
      <c r="D5" s="30">
        <f>SUM(D6:D12)</f>
        <v>14093.506783322351</v>
      </c>
      <c r="E5" s="17">
        <f>SUM(E6:E12)</f>
        <v>183.08730088943216</v>
      </c>
      <c r="F5" s="17">
        <f>SUM(F6:F12)</f>
        <v>1827.2434236645886</v>
      </c>
      <c r="G5" s="18"/>
      <c r="H5" s="17"/>
      <c r="I5" s="17"/>
      <c r="J5" s="17">
        <f>SUM(J6:J12)</f>
        <v>3.3986651158396497E-2</v>
      </c>
      <c r="K5" s="17"/>
      <c r="L5" s="17"/>
      <c r="M5" s="17"/>
      <c r="N5" s="17">
        <f>SUM(N6:N12)</f>
        <v>1342.7980524801062</v>
      </c>
      <c r="O5" s="17">
        <f>B38*B39*B40</f>
        <v>6.2533333333333339</v>
      </c>
      <c r="P5" s="17">
        <f>B46*B47*B48/1000-B46*B47*B48/1000/B49</f>
        <v>38.133333333333333</v>
      </c>
      <c r="R5" s="32"/>
    </row>
    <row r="6" spans="1:18">
      <c r="A6" s="32" t="s">
        <v>54</v>
      </c>
      <c r="B6" s="37">
        <f>B26</f>
        <v>1365.34219558888</v>
      </c>
      <c r="C6" s="33"/>
      <c r="D6" s="37">
        <f>IF(ISERROR(TER_kantoor_gas_kWh/1000),0,TER_kantoor_gas_kWh/1000)*0.902</f>
        <v>1665.8231670446444</v>
      </c>
      <c r="E6" s="33">
        <f>$C$26*'E Balans VL '!I12/100/3.6*1000000</f>
        <v>8.5575107762510538E-3</v>
      </c>
      <c r="F6" s="33">
        <f>$C$26*('E Balans VL '!L12+'E Balans VL '!N12)/100/3.6*1000000</f>
        <v>205.17278069743091</v>
      </c>
      <c r="G6" s="34"/>
      <c r="H6" s="33"/>
      <c r="I6" s="33"/>
      <c r="J6" s="33">
        <f>$C$26*('E Balans VL '!D12+'E Balans VL '!E12)/100/3.6*1000000</f>
        <v>0</v>
      </c>
      <c r="K6" s="33"/>
      <c r="L6" s="33"/>
      <c r="M6" s="33"/>
      <c r="N6" s="33">
        <f>$C$26*'E Balans VL '!Y12/100/3.6*1000000</f>
        <v>1.3057473758842957</v>
      </c>
      <c r="O6" s="33"/>
      <c r="P6" s="33"/>
      <c r="R6" s="32"/>
    </row>
    <row r="7" spans="1:18">
      <c r="A7" s="32" t="s">
        <v>53</v>
      </c>
      <c r="B7" s="37">
        <f t="shared" ref="B7:B12" si="0">B27</f>
        <v>1082.3407372409101</v>
      </c>
      <c r="C7" s="33"/>
      <c r="D7" s="37">
        <f>IF(ISERROR(TER_horeca_gas_kWh/1000),0,TER_horeca_gas_kWh/1000)*0.902</f>
        <v>1652.9525884658608</v>
      </c>
      <c r="E7" s="33">
        <f>$C$27*'E Balans VL '!I9/100/3.6*1000000</f>
        <v>15.498939073738796</v>
      </c>
      <c r="F7" s="33">
        <f>$C$27*('E Balans VL '!L9+'E Balans VL '!N9)/100/3.6*1000000</f>
        <v>137.06003430747012</v>
      </c>
      <c r="G7" s="34"/>
      <c r="H7" s="33"/>
      <c r="I7" s="33"/>
      <c r="J7" s="33">
        <f>$C$27*('E Balans VL '!D9+'E Balans VL '!E9)/100/3.6*1000000</f>
        <v>0</v>
      </c>
      <c r="K7" s="33"/>
      <c r="L7" s="33"/>
      <c r="M7" s="33"/>
      <c r="N7" s="33">
        <f>$C$27*'E Balans VL '!Y9/100/3.6*1000000</f>
        <v>0.31114909839194588</v>
      </c>
      <c r="O7" s="33"/>
      <c r="P7" s="33"/>
      <c r="R7" s="32"/>
    </row>
    <row r="8" spans="1:18">
      <c r="A8" s="6" t="s">
        <v>52</v>
      </c>
      <c r="B8" s="37">
        <f t="shared" si="0"/>
        <v>3786.26462378099</v>
      </c>
      <c r="C8" s="33"/>
      <c r="D8" s="37">
        <f>IF(ISERROR(TER_handel_gas_kWh/1000),0,TER_handel_gas_kWh/1000)*0.902</f>
        <v>2778.2963792819123</v>
      </c>
      <c r="E8" s="33">
        <f>$C$28*'E Balans VL '!I13/100/3.6*1000000</f>
        <v>137.327351003301</v>
      </c>
      <c r="F8" s="33">
        <f>$C$28*('E Balans VL '!L13+'E Balans VL '!N13)/100/3.6*1000000</f>
        <v>729.27290490701171</v>
      </c>
      <c r="G8" s="34"/>
      <c r="H8" s="33"/>
      <c r="I8" s="33"/>
      <c r="J8" s="33">
        <f>$C$28*('E Balans VL '!D13+'E Balans VL '!E13)/100/3.6*1000000</f>
        <v>0</v>
      </c>
      <c r="K8" s="33"/>
      <c r="L8" s="33"/>
      <c r="M8" s="33"/>
      <c r="N8" s="33">
        <f>$C$28*'E Balans VL '!Y13/100/3.6*1000000</f>
        <v>5.2448476845731111</v>
      </c>
      <c r="O8" s="33"/>
      <c r="P8" s="33"/>
      <c r="R8" s="32"/>
    </row>
    <row r="9" spans="1:18">
      <c r="A9" s="32" t="s">
        <v>51</v>
      </c>
      <c r="B9" s="37">
        <f t="shared" si="0"/>
        <v>94.865644520665498</v>
      </c>
      <c r="C9" s="33"/>
      <c r="D9" s="37">
        <f>IF(ISERROR(TER_gezond_gas_kWh/1000),0,TER_gezond_gas_kWh/1000)*0.902</f>
        <v>97.693009153264441</v>
      </c>
      <c r="E9" s="33">
        <f>$C$29*'E Balans VL '!I10/100/3.6*1000000</f>
        <v>5.9395259760214826E-3</v>
      </c>
      <c r="F9" s="33">
        <f>$C$29*('E Balans VL '!L10+'E Balans VL '!N10)/100/3.6*1000000</f>
        <v>14.092580331924911</v>
      </c>
      <c r="G9" s="34"/>
      <c r="H9" s="33"/>
      <c r="I9" s="33"/>
      <c r="J9" s="33">
        <f>$C$29*('E Balans VL '!D10+'E Balans VL '!E10)/100/3.6*1000000</f>
        <v>0</v>
      </c>
      <c r="K9" s="33"/>
      <c r="L9" s="33"/>
      <c r="M9" s="33"/>
      <c r="N9" s="33">
        <f>$C$29*'E Balans VL '!Y10/100/3.6*1000000</f>
        <v>1.4673909431978858</v>
      </c>
      <c r="O9" s="33"/>
      <c r="P9" s="33"/>
      <c r="R9" s="32"/>
    </row>
    <row r="10" spans="1:18">
      <c r="A10" s="32" t="s">
        <v>50</v>
      </c>
      <c r="B10" s="37">
        <f t="shared" si="0"/>
        <v>1316.3149312992798</v>
      </c>
      <c r="C10" s="33"/>
      <c r="D10" s="37">
        <f>IF(ISERROR(TER_ander_gas_kWh/1000),0,TER_ander_gas_kWh/1000)*0.902</f>
        <v>2861.892614075924</v>
      </c>
      <c r="E10" s="33">
        <f>$C$30*'E Balans VL '!I14/100/3.6*1000000</f>
        <v>1.5690003609609786</v>
      </c>
      <c r="F10" s="33">
        <f>$C$30*('E Balans VL '!L14+'E Balans VL '!N14)/100/3.6*1000000</f>
        <v>344.40650479348949</v>
      </c>
      <c r="G10" s="34"/>
      <c r="H10" s="33"/>
      <c r="I10" s="33"/>
      <c r="J10" s="33">
        <f>$C$30*('E Balans VL '!D14+'E Balans VL '!E14)/100/3.6*1000000</f>
        <v>2.8572037346449194E-2</v>
      </c>
      <c r="K10" s="33"/>
      <c r="L10" s="33"/>
      <c r="M10" s="33"/>
      <c r="N10" s="33">
        <f>$C$30*'E Balans VL '!Y14/100/3.6*1000000</f>
        <v>1117.7824298863645</v>
      </c>
      <c r="O10" s="33"/>
      <c r="P10" s="33"/>
      <c r="R10" s="32"/>
    </row>
    <row r="11" spans="1:18">
      <c r="A11" s="32" t="s">
        <v>55</v>
      </c>
      <c r="B11" s="37">
        <f t="shared" si="0"/>
        <v>60.342905217418497</v>
      </c>
      <c r="C11" s="33"/>
      <c r="D11" s="37">
        <f>IF(ISERROR(TER_onderwijs_gas_kWh/1000),0,TER_onderwijs_gas_kWh/1000)*0.902</f>
        <v>533.87287199241689</v>
      </c>
      <c r="E11" s="33">
        <f>$C$31*'E Balans VL '!I11/100/3.6*1000000</f>
        <v>0.91047724824008325</v>
      </c>
      <c r="F11" s="33">
        <f>$C$31*('E Balans VL '!L11+'E Balans VL '!N11)/100/3.6*1000000</f>
        <v>10.573041000681442</v>
      </c>
      <c r="G11" s="34"/>
      <c r="H11" s="33"/>
      <c r="I11" s="33"/>
      <c r="J11" s="33">
        <f>$C$31*('E Balans VL '!D11+'E Balans VL '!E11)/100/3.6*1000000</f>
        <v>0</v>
      </c>
      <c r="K11" s="33"/>
      <c r="L11" s="33"/>
      <c r="M11" s="33"/>
      <c r="N11" s="33">
        <f>$C$31*'E Balans VL '!Y11/100/3.6*1000000</f>
        <v>0.16980952272416863</v>
      </c>
      <c r="O11" s="33"/>
      <c r="P11" s="33"/>
      <c r="R11" s="32"/>
    </row>
    <row r="12" spans="1:18">
      <c r="A12" s="32" t="s">
        <v>260</v>
      </c>
      <c r="B12" s="37">
        <f t="shared" si="0"/>
        <v>2236.0344341209002</v>
      </c>
      <c r="C12" s="33"/>
      <c r="D12" s="37">
        <f>IF(ISERROR(TER_rest_gas_kWh/1000),0,TER_rest_gas_kWh/1000)*0.902</f>
        <v>4502.9761533083301</v>
      </c>
      <c r="E12" s="33">
        <f>$C$32*'E Balans VL '!I8/100/3.6*1000000</f>
        <v>27.767036166438988</v>
      </c>
      <c r="F12" s="33">
        <f>$C$32*('E Balans VL '!L8+'E Balans VL '!N8)/100/3.6*1000000</f>
        <v>386.66557762657993</v>
      </c>
      <c r="G12" s="34"/>
      <c r="H12" s="33"/>
      <c r="I12" s="33"/>
      <c r="J12" s="33">
        <f>$C$32*('E Balans VL '!D8+'E Balans VL '!E8)/100/3.6*1000000</f>
        <v>5.4146138119473032E-3</v>
      </c>
      <c r="K12" s="33"/>
      <c r="L12" s="33"/>
      <c r="M12" s="33"/>
      <c r="N12" s="33">
        <f>$C$32*'E Balans VL '!Y8/100/3.6*1000000</f>
        <v>216.51667796897024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9941.5054717690437</v>
      </c>
      <c r="C16" s="21">
        <f t="shared" ca="1" si="1"/>
        <v>0</v>
      </c>
      <c r="D16" s="21">
        <f t="shared" ca="1" si="1"/>
        <v>14093.506783322351</v>
      </c>
      <c r="E16" s="21">
        <f t="shared" si="1"/>
        <v>183.08730088943216</v>
      </c>
      <c r="F16" s="21">
        <f t="shared" ca="1" si="1"/>
        <v>1827.2434236645886</v>
      </c>
      <c r="G16" s="21">
        <f t="shared" si="1"/>
        <v>0</v>
      </c>
      <c r="H16" s="21">
        <f t="shared" si="1"/>
        <v>0</v>
      </c>
      <c r="I16" s="21">
        <f t="shared" si="1"/>
        <v>0</v>
      </c>
      <c r="J16" s="21">
        <f t="shared" si="1"/>
        <v>3.3986651158396497E-2</v>
      </c>
      <c r="K16" s="21">
        <f t="shared" si="1"/>
        <v>0</v>
      </c>
      <c r="L16" s="21">
        <f t="shared" ca="1" si="1"/>
        <v>0</v>
      </c>
      <c r="M16" s="21">
        <f t="shared" si="1"/>
        <v>0</v>
      </c>
      <c r="N16" s="21">
        <f t="shared" ca="1" si="1"/>
        <v>1342.7980524801062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0.20358430934757213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2023.93452534521</v>
      </c>
      <c r="C20" s="23">
        <f t="shared" ref="C20:P20" ca="1" si="2">C16*C18</f>
        <v>0</v>
      </c>
      <c r="D20" s="23">
        <f t="shared" ca="1" si="2"/>
        <v>2846.888370231115</v>
      </c>
      <c r="E20" s="23">
        <f t="shared" si="2"/>
        <v>41.560817301901103</v>
      </c>
      <c r="F20" s="23">
        <f t="shared" ca="1" si="2"/>
        <v>487.87399411844518</v>
      </c>
      <c r="G20" s="23">
        <f t="shared" si="2"/>
        <v>0</v>
      </c>
      <c r="H20" s="23">
        <f t="shared" si="2"/>
        <v>0</v>
      </c>
      <c r="I20" s="23">
        <f t="shared" si="2"/>
        <v>0</v>
      </c>
      <c r="J20" s="23">
        <f t="shared" si="2"/>
        <v>1.2031274510072359E-2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1365.34219558888</v>
      </c>
      <c r="C26" s="39">
        <f>IF(ISERROR(B26*3.6/1000000/'E Balans VL '!Z12*100),0,B26*3.6/1000000/'E Balans VL '!Z12*100)</f>
        <v>2.8861171138004588E-2</v>
      </c>
      <c r="D26" s="237" t="s">
        <v>754</v>
      </c>
      <c r="F26" s="6"/>
    </row>
    <row r="27" spans="1:18">
      <c r="A27" s="231" t="s">
        <v>53</v>
      </c>
      <c r="B27" s="33">
        <f>IF(ISERROR(TER_horeca_ele_kWh/1000),0,TER_horeca_ele_kWh/1000)</f>
        <v>1082.3407372409101</v>
      </c>
      <c r="C27" s="39">
        <f>IF(ISERROR(B27*3.6/1000000/'E Balans VL '!Z9*100),0,B27*3.6/1000000/'E Balans VL '!Z9*100)</f>
        <v>8.5320516907713403E-2</v>
      </c>
      <c r="D27" s="237" t="s">
        <v>754</v>
      </c>
      <c r="F27" s="6"/>
    </row>
    <row r="28" spans="1:18">
      <c r="A28" s="171" t="s">
        <v>52</v>
      </c>
      <c r="B28" s="33">
        <f>IF(ISERROR(TER_handel_ele_kWh/1000),0,TER_handel_ele_kWh/1000)</f>
        <v>3786.26462378099</v>
      </c>
      <c r="C28" s="39">
        <f>IF(ISERROR(B28*3.6/1000000/'E Balans VL '!Z13*100),0,B28*3.6/1000000/'E Balans VL '!Z13*100)</f>
        <v>0.10989269760546372</v>
      </c>
      <c r="D28" s="237" t="s">
        <v>754</v>
      </c>
      <c r="F28" s="6"/>
    </row>
    <row r="29" spans="1:18">
      <c r="A29" s="231" t="s">
        <v>51</v>
      </c>
      <c r="B29" s="33">
        <f>IF(ISERROR(TER_gezond_ele_kWh/1000),0,TER_gezond_ele_kWh/1000)</f>
        <v>94.865644520665498</v>
      </c>
      <c r="C29" s="39">
        <f>IF(ISERROR(B29*3.6/1000000/'E Balans VL '!Z10*100),0,B29*3.6/1000000/'E Balans VL '!Z10*100)</f>
        <v>9.9909101030272885E-3</v>
      </c>
      <c r="D29" s="237" t="s">
        <v>754</v>
      </c>
      <c r="F29" s="6"/>
    </row>
    <row r="30" spans="1:18">
      <c r="A30" s="231" t="s">
        <v>50</v>
      </c>
      <c r="B30" s="33">
        <f>IF(ISERROR(TER_ander_ele_kWh/1000),0,TER_ander_ele_kWh/1000)</f>
        <v>1316.3149312992798</v>
      </c>
      <c r="C30" s="39">
        <f>IF(ISERROR(B30*3.6/1000000/'E Balans VL '!Z14*100),0,B30*3.6/1000000/'E Balans VL '!Z14*100)</f>
        <v>9.709167523481578E-2</v>
      </c>
      <c r="D30" s="237" t="s">
        <v>754</v>
      </c>
      <c r="F30" s="6"/>
    </row>
    <row r="31" spans="1:18">
      <c r="A31" s="231" t="s">
        <v>55</v>
      </c>
      <c r="B31" s="33">
        <f>IF(ISERROR(TER_onderwijs_ele_kWh/1000),0,TER_onderwijs_ele_kWh/1000)</f>
        <v>60.342905217418497</v>
      </c>
      <c r="C31" s="39">
        <f>IF(ISERROR(B31*3.6/1000000/'E Balans VL '!Z11*100),0,B31*3.6/1000000/'E Balans VL '!Z11*100)</f>
        <v>1.4985969993631349E-2</v>
      </c>
      <c r="D31" s="237" t="s">
        <v>754</v>
      </c>
    </row>
    <row r="32" spans="1:18">
      <c r="A32" s="231" t="s">
        <v>260</v>
      </c>
      <c r="B32" s="33">
        <f>IF(ISERROR(TER_rest_ele_kWh/1000),0,TER_rest_ele_kWh/1000)</f>
        <v>2236.0344341209002</v>
      </c>
      <c r="C32" s="39">
        <f>IF(ISERROR(B32*3.6/1000000/'E Balans VL '!Z8*100),0,B32*3.6/1000000/'E Balans VL '!Z8*100)</f>
        <v>1.83995953588122E-2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9932.5579863163512</v>
      </c>
      <c r="C5" s="17">
        <f>IF(ISERROR('Eigen informatie GS &amp; warmtenet'!B59),0,'Eigen informatie GS &amp; warmtenet'!B59)</f>
        <v>0</v>
      </c>
      <c r="D5" s="30">
        <f>SUM(D6:D15)</f>
        <v>85193.854007224043</v>
      </c>
      <c r="E5" s="17">
        <f>SUM(E6:E15)</f>
        <v>568.6731941408766</v>
      </c>
      <c r="F5" s="17">
        <f>SUM(F6:F15)</f>
        <v>2026.6371888160818</v>
      </c>
      <c r="G5" s="18"/>
      <c r="H5" s="17"/>
      <c r="I5" s="17"/>
      <c r="J5" s="17">
        <f>SUM(J6:J15)</f>
        <v>5.3828581759228653</v>
      </c>
      <c r="K5" s="17"/>
      <c r="L5" s="17"/>
      <c r="M5" s="17"/>
      <c r="N5" s="17">
        <f>SUM(N6:N15)</f>
        <v>1340.3573532958294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1612.0350128806799</v>
      </c>
      <c r="C9" s="33"/>
      <c r="D9" s="37">
        <f>IF( ISERROR(IND_andere_gas_kWh/1000),0,IND_andere_gas_kWh/1000)*0.902</f>
        <v>1483.0914348184333</v>
      </c>
      <c r="E9" s="33">
        <f>C31*'E Balans VL '!I19/100/3.6*1000000</f>
        <v>471.22921688516493</v>
      </c>
      <c r="F9" s="33">
        <f>C31*'E Balans VL '!L19/100/3.6*1000000+C31*'E Balans VL '!N19/100/3.6*1000000</f>
        <v>1295.3921526881963</v>
      </c>
      <c r="G9" s="34"/>
      <c r="H9" s="33"/>
      <c r="I9" s="33"/>
      <c r="J9" s="40">
        <f>C31*'E Balans VL '!D19/100/3.6*1000000+C31*'E Balans VL '!E19/100/3.6*1000000</f>
        <v>0</v>
      </c>
      <c r="K9" s="33"/>
      <c r="L9" s="33"/>
      <c r="M9" s="33"/>
      <c r="N9" s="33">
        <f>C31*'E Balans VL '!Y19/100/3.6*1000000</f>
        <v>532.64136914626192</v>
      </c>
      <c r="O9" s="33"/>
      <c r="P9" s="33"/>
      <c r="R9" s="32"/>
    </row>
    <row r="10" spans="1:18">
      <c r="A10" s="6" t="s">
        <v>41</v>
      </c>
      <c r="B10" s="37">
        <f t="shared" si="0"/>
        <v>6816.9233176216403</v>
      </c>
      <c r="C10" s="33"/>
      <c r="D10" s="37">
        <f>IF( ISERROR(IND_voed_gas_kWh/1000),0,IND_voed_gas_kWh/1000)*0.902</f>
        <v>70605.028000352846</v>
      </c>
      <c r="E10" s="33">
        <f>C32*'E Balans VL '!I20/100/3.6*1000000</f>
        <v>14.421306976076485</v>
      </c>
      <c r="F10" s="33">
        <f>C32*'E Balans VL '!L20/100/3.6*1000000+C32*'E Balans VL '!N20/100/3.6*1000000</f>
        <v>433.4269478173577</v>
      </c>
      <c r="G10" s="34"/>
      <c r="H10" s="33"/>
      <c r="I10" s="33"/>
      <c r="J10" s="40">
        <f>C32*'E Balans VL '!D20/100/3.6*1000000+C32*'E Balans VL '!E20/100/3.6*1000000</f>
        <v>0</v>
      </c>
      <c r="K10" s="33"/>
      <c r="L10" s="33"/>
      <c r="M10" s="33"/>
      <c r="N10" s="33">
        <f>C32*'E Balans VL '!Y20/100/3.6*1000000</f>
        <v>470.43497995893119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1503.59965581403</v>
      </c>
      <c r="C15" s="33"/>
      <c r="D15" s="37">
        <f>IF( ISERROR(IND_rest_gas_kWh/1000),0,IND_rest_gas_kWh/1000)*0.902</f>
        <v>13105.734572052763</v>
      </c>
      <c r="E15" s="33">
        <f>C37*'E Balans VL '!I15/100/3.6*1000000</f>
        <v>83.022670279635221</v>
      </c>
      <c r="F15" s="33">
        <f>C37*'E Balans VL '!L15/100/3.6*1000000+C37*'E Balans VL '!N15/100/3.6*1000000</f>
        <v>297.81808831052768</v>
      </c>
      <c r="G15" s="34"/>
      <c r="H15" s="33"/>
      <c r="I15" s="33"/>
      <c r="J15" s="40">
        <f>C37*'E Balans VL '!D15/100/3.6*1000000+C37*'E Balans VL '!E15/100/3.6*1000000</f>
        <v>5.3828581759228653</v>
      </c>
      <c r="K15" s="33"/>
      <c r="L15" s="33"/>
      <c r="M15" s="33"/>
      <c r="N15" s="33">
        <f>C37*'E Balans VL '!Y15/100/3.6*1000000</f>
        <v>337.28100419063617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9932.5579863163512</v>
      </c>
      <c r="C18" s="21">
        <f>C5+C16</f>
        <v>0</v>
      </c>
      <c r="D18" s="21">
        <f>MAX((D5+D16),0)</f>
        <v>85193.854007224043</v>
      </c>
      <c r="E18" s="21">
        <f>MAX((E5+E16),0)</f>
        <v>568.6731941408766</v>
      </c>
      <c r="F18" s="21">
        <f>MAX((F5+F16),0)</f>
        <v>2026.6371888160818</v>
      </c>
      <c r="G18" s="21"/>
      <c r="H18" s="21"/>
      <c r="I18" s="21"/>
      <c r="J18" s="21">
        <f>MAX((J5+J16),0)</f>
        <v>5.3828581759228653</v>
      </c>
      <c r="K18" s="21"/>
      <c r="L18" s="21">
        <f>MAX((L5+L16),0)</f>
        <v>0</v>
      </c>
      <c r="M18" s="21"/>
      <c r="N18" s="21">
        <f>MAX((N5+N16),0)</f>
        <v>1340.3573532958294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0.20358430934757213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2022.112957698926</v>
      </c>
      <c r="C22" s="23">
        <f ca="1">C18*C20</f>
        <v>0</v>
      </c>
      <c r="D22" s="23">
        <f>D18*D20</f>
        <v>17209.158509459259</v>
      </c>
      <c r="E22" s="23">
        <f>E18*E20</f>
        <v>129.08881506997901</v>
      </c>
      <c r="F22" s="23">
        <f>F18*F20</f>
        <v>541.11212941389385</v>
      </c>
      <c r="G22" s="23"/>
      <c r="H22" s="23"/>
      <c r="I22" s="23"/>
      <c r="J22" s="23">
        <f>J18*J20</f>
        <v>1.9055317942766943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1612.0350128806799</v>
      </c>
      <c r="C31" s="39">
        <f>IF(ISERROR(B31*3.6/1000000/'E Balans VL '!Z19*100),0,B31*3.6/1000000/'E Balans VL '!Z19*100)</f>
        <v>7.3115195787301232E-2</v>
      </c>
      <c r="D31" s="237" t="s">
        <v>754</v>
      </c>
    </row>
    <row r="32" spans="1:18">
      <c r="A32" s="171" t="s">
        <v>41</v>
      </c>
      <c r="B32" s="37">
        <f>IF( ISERROR(IND_voed_ele_kWh/1000),0,IND_voed_ele_kWh/1000)</f>
        <v>6816.9233176216403</v>
      </c>
      <c r="C32" s="39">
        <f>IF(ISERROR(B32*3.6/1000000/'E Balans VL '!Z20*100),0,B32*3.6/1000000/'E Balans VL '!Z20*100)</f>
        <v>0.21087838443294005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1503.59965581403</v>
      </c>
      <c r="C37" s="39">
        <f>IF(ISERROR(B37*3.6/1000000/'E Balans VL '!Z15*100),0,B37*3.6/1000000/'E Balans VL '!Z15*100)</f>
        <v>1.1917873868323697E-2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3363.5725000313892</v>
      </c>
      <c r="C5" s="17">
        <f>'Eigen informatie GS &amp; warmtenet'!B60</f>
        <v>0</v>
      </c>
      <c r="D5" s="30">
        <f>IF(ISERROR(SUM(LB_lb_gas_kWh,LB_rest_gas_kWh,onbekend_gas_kWh)/1000),0,SUM(LB_lb_gas_kWh,LB_rest_gas_kWh,onbekend_gas_kWh)/1000)*0.902</f>
        <v>2226.9747418886218</v>
      </c>
      <c r="E5" s="17">
        <f>B17*'E Balans VL '!I25/3.6*1000000/100</f>
        <v>98.865669312124567</v>
      </c>
      <c r="F5" s="17">
        <f>B17*('E Balans VL '!L25/3.6*1000000+'E Balans VL '!N25/3.6*1000000)/100</f>
        <v>14012.461277212915</v>
      </c>
      <c r="G5" s="18"/>
      <c r="H5" s="17"/>
      <c r="I5" s="17"/>
      <c r="J5" s="17">
        <f>('E Balans VL '!D25+'E Balans VL '!E25)/3.6*1000000*landbouw!B17/100</f>
        <v>487.30942170826086</v>
      </c>
      <c r="K5" s="17"/>
      <c r="L5" s="17">
        <f>L6*(-1)</f>
        <v>0</v>
      </c>
      <c r="M5" s="17"/>
      <c r="N5" s="17">
        <f>N6*(-1)</f>
        <v>0</v>
      </c>
      <c r="O5" s="17"/>
      <c r="P5" s="17"/>
      <c r="R5" s="32"/>
    </row>
    <row r="6" spans="1:18">
      <c r="A6" s="16" t="s">
        <v>488</v>
      </c>
      <c r="B6" s="17" t="s">
        <v>211</v>
      </c>
      <c r="C6" s="17">
        <f>'lokale energieproductie'!O91+'lokale energieproductie'!O60</f>
        <v>34431.428571428572</v>
      </c>
      <c r="D6" s="310">
        <f>('lokale energieproductie'!P60+'lokale energieproductie'!P91)*(-1)</f>
        <v>-68862.857142857145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3363.5725000313892</v>
      </c>
      <c r="C8" s="21">
        <f>C5+C6</f>
        <v>34431.428571428572</v>
      </c>
      <c r="D8" s="21">
        <f>MAX((D5+D6),0)</f>
        <v>0</v>
      </c>
      <c r="E8" s="21">
        <f>MAX((E5+E6),0)</f>
        <v>98.865669312124567</v>
      </c>
      <c r="F8" s="21">
        <f>MAX((F5+F6),0)</f>
        <v>14012.461277212915</v>
      </c>
      <c r="G8" s="21"/>
      <c r="H8" s="21"/>
      <c r="I8" s="21"/>
      <c r="J8" s="21">
        <f>MAX((J5+J6),0)</f>
        <v>487.30942170826086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0.20358430934757213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684.77058435937693</v>
      </c>
      <c r="C12" s="23">
        <f ca="1">C8*C10</f>
        <v>8182.5277310924375</v>
      </c>
      <c r="D12" s="23">
        <f>D8*D10</f>
        <v>0</v>
      </c>
      <c r="E12" s="23">
        <f>E8*E10</f>
        <v>22.442506933852279</v>
      </c>
      <c r="F12" s="23">
        <f>F8*F10</f>
        <v>3741.3271610158486</v>
      </c>
      <c r="G12" s="23"/>
      <c r="H12" s="23"/>
      <c r="I12" s="23"/>
      <c r="J12" s="23">
        <f>J8*J10</f>
        <v>172.50753528472433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0.47730149064134275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603.24978094896176</v>
      </c>
      <c r="C26" s="247">
        <f>B26*'GWP N2O_CH4'!B5</f>
        <v>12668.245399928197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380.67509870632387</v>
      </c>
      <c r="C27" s="247">
        <f>B27*'GWP N2O_CH4'!B5</f>
        <v>7994.1770728328011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8.7686719399161355</v>
      </c>
      <c r="C28" s="247">
        <f>B28*'GWP N2O_CH4'!B4</f>
        <v>2718.288301374002</v>
      </c>
      <c r="D28" s="50"/>
    </row>
    <row r="29" spans="1:4">
      <c r="A29" s="41" t="s">
        <v>277</v>
      </c>
      <c r="B29" s="247">
        <f>B34*'ha_N2O bodem landbouw'!B4</f>
        <v>19.747675754206579</v>
      </c>
      <c r="C29" s="247">
        <f>B29*'GWP N2O_CH4'!B4</f>
        <v>6121.77948380404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4.5063515535917901E-3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8.7567719236246417E-5</v>
      </c>
      <c r="C5" s="463" t="s">
        <v>211</v>
      </c>
      <c r="D5" s="448">
        <f>SUM(D6:D11)</f>
        <v>3.3101195011630787E-4</v>
      </c>
      <c r="E5" s="448">
        <f>SUM(E6:E11)</f>
        <v>4.3644079394103647E-4</v>
      </c>
      <c r="F5" s="461" t="s">
        <v>211</v>
      </c>
      <c r="G5" s="448">
        <f>SUM(G6:G11)</f>
        <v>0.15193183786294018</v>
      </c>
      <c r="H5" s="448">
        <f>SUM(H6:H11)</f>
        <v>3.7153712902015537E-2</v>
      </c>
      <c r="I5" s="463" t="s">
        <v>211</v>
      </c>
      <c r="J5" s="463" t="s">
        <v>211</v>
      </c>
      <c r="K5" s="463" t="s">
        <v>211</v>
      </c>
      <c r="L5" s="463" t="s">
        <v>211</v>
      </c>
      <c r="M5" s="448">
        <f>SUM(M6:M11)</f>
        <v>9.9793763539263516E-3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5.8274168287541527E-5</v>
      </c>
      <c r="C6" s="449"/>
      <c r="D6" s="962">
        <f>vkm_2011_GW_PW*SUMIFS(TableVerdeelsleutelVkm[CNG],TableVerdeelsleutelVkm[Voertuigtype],"Lichte voertuigen")*SUMIFS(TableECFTransport[EnergieConsumptieFactor (PJ per km)],TableECFTransport[Index],CONCATENATE($A6,"_CNG_CNG"))</f>
        <v>1.7478905853233876E-4</v>
      </c>
      <c r="E6" s="962">
        <f>vkm_2011_GW_PW*SUMIFS(TableVerdeelsleutelVkm[LPG],TableVerdeelsleutelVkm[Voertuigtype],"Lichte voertuigen")*SUMIFS(TableECFTransport[EnergieConsumptieFactor (PJ per km)],TableECFTransport[Index],CONCATENATE($A6,"_LPG_LPG"))</f>
        <v>2.3878696116609292E-4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6.1739361993118982E-2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1.9876767011355732E-2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4.197032654748193E-3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3.4125613016280094E-2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1.0398974246994E-5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1.9941875105526211E-3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2.9293550948704884E-5</v>
      </c>
      <c r="C8" s="449"/>
      <c r="D8" s="451">
        <f>vkm_2011_NGW_PW*SUMIFS(TableVerdeelsleutelVkm[CNG],TableVerdeelsleutelVkm[Voertuigtype],"Lichte voertuigen")*SUMIFS(TableECFTransport[EnergieConsumptieFactor (PJ per km)],TableECFTransport[Index],CONCATENATE($A8,"_CNG_CNG"))</f>
        <v>1.5622289158396908E-4</v>
      </c>
      <c r="E8" s="451">
        <f>vkm_2011_NGW_PW*SUMIFS(TableVerdeelsleutelVkm[LPG],TableVerdeelsleutelVkm[Voertuigtype],"Lichte voertuigen")*SUMIFS(TableECFTransport[EnergieConsumptieFactor (PJ per km)],TableECFTransport[Index],CONCATENATE($A8,"_LPG_LPG"))</f>
        <v>1.9765383277494354E-4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4.7623726298455724E-2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1.7264124803938859E-2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3.2947717960904971E-3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8.4431365550853895E-3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2.4221124739483748E-6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4.9338439253504042E-4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24.324366454512891</v>
      </c>
      <c r="C14" s="21"/>
      <c r="D14" s="21">
        <f t="shared" ref="D14:M14" si="0">((D5)*10^9/3600)+D12</f>
        <v>91.947763921196639</v>
      </c>
      <c r="E14" s="21">
        <f t="shared" si="0"/>
        <v>121.23355387251013</v>
      </c>
      <c r="F14" s="21"/>
      <c r="G14" s="21">
        <f t="shared" si="0"/>
        <v>42203.288295261162</v>
      </c>
      <c r="H14" s="21">
        <f t="shared" si="0"/>
        <v>10320.475806115426</v>
      </c>
      <c r="I14" s="21"/>
      <c r="J14" s="21"/>
      <c r="K14" s="21"/>
      <c r="L14" s="21"/>
      <c r="M14" s="21">
        <f t="shared" si="0"/>
        <v>2772.0489872017642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0.20358430934757213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4.9520593449592587</v>
      </c>
      <c r="C18" s="23"/>
      <c r="D18" s="23">
        <f t="shared" ref="D18:M18" si="1">D14*D16</f>
        <v>18.573448312081723</v>
      </c>
      <c r="E18" s="23">
        <f t="shared" si="1"/>
        <v>27.520016729059801</v>
      </c>
      <c r="F18" s="23"/>
      <c r="G18" s="23">
        <f t="shared" si="1"/>
        <v>11268.277974834731</v>
      </c>
      <c r="H18" s="23">
        <f t="shared" si="1"/>
        <v>2569.7984757227409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3.9249170220100093E-3</v>
      </c>
      <c r="H50" s="321">
        <f t="shared" si="2"/>
        <v>0</v>
      </c>
      <c r="I50" s="321">
        <f t="shared" si="2"/>
        <v>0</v>
      </c>
      <c r="J50" s="321">
        <f t="shared" si="2"/>
        <v>0</v>
      </c>
      <c r="K50" s="321">
        <f t="shared" si="2"/>
        <v>0</v>
      </c>
      <c r="L50" s="321">
        <f t="shared" si="2"/>
        <v>0</v>
      </c>
      <c r="M50" s="321">
        <f t="shared" si="2"/>
        <v>2.229179600041718E-4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3.9249170220100093E-3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2.229179600041718E-4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1090.2547283361137</v>
      </c>
      <c r="H54" s="21">
        <f t="shared" si="3"/>
        <v>0</v>
      </c>
      <c r="I54" s="21">
        <f t="shared" si="3"/>
        <v>0</v>
      </c>
      <c r="J54" s="21">
        <f t="shared" si="3"/>
        <v>0</v>
      </c>
      <c r="K54" s="21">
        <f t="shared" si="3"/>
        <v>0</v>
      </c>
      <c r="L54" s="21">
        <f t="shared" si="3"/>
        <v>0</v>
      </c>
      <c r="M54" s="21">
        <f t="shared" si="3"/>
        <v>61.921655556714384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0.20358430934757213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291.09801246574239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5557.266055227009</v>
      </c>
      <c r="C6" s="1263"/>
      <c r="D6" s="1248"/>
      <c r="E6" s="1248"/>
      <c r="F6" s="1266"/>
      <c r="G6" s="1269"/>
      <c r="H6" s="1260"/>
      <c r="I6" s="1248"/>
      <c r="J6" s="1248"/>
      <c r="K6" s="1248"/>
      <c r="L6" s="1252"/>
      <c r="M6" s="575"/>
      <c r="N6" s="1226"/>
      <c r="O6" s="1227"/>
      <c r="Q6" s="573"/>
      <c r="R6" s="1214"/>
      <c r="S6" s="1214"/>
    </row>
    <row r="7" spans="1:19" s="563" customFormat="1">
      <c r="A7" s="576" t="s">
        <v>252</v>
      </c>
      <c r="B7" s="577">
        <f>N57</f>
        <v>24102</v>
      </c>
      <c r="C7" s="578">
        <f>B100</f>
        <v>28355.294117647059</v>
      </c>
      <c r="D7" s="579"/>
      <c r="E7" s="579">
        <f>E100</f>
        <v>0</v>
      </c>
      <c r="F7" s="580"/>
      <c r="G7" s="581"/>
      <c r="H7" s="579">
        <f>I100</f>
        <v>0</v>
      </c>
      <c r="I7" s="579">
        <f>G100+F100</f>
        <v>0</v>
      </c>
      <c r="J7" s="579">
        <f>H100+D100+C100</f>
        <v>0</v>
      </c>
      <c r="K7" s="579"/>
      <c r="L7" s="582"/>
      <c r="M7" s="583">
        <f>C7*$C$11+D7*$D$11+E7*$E$11+F7*$F$11+G7*$G$11+H7*$H$11+I7*$I$11+J7*$J$11</f>
        <v>5727.7694117647061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29659.26605522701</v>
      </c>
      <c r="C9" s="594">
        <f t="shared" ref="C9:L9" si="0">SUM(C7:C8)</f>
        <v>28355.294117647059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5727.7694117647061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34431.428571428572</v>
      </c>
      <c r="C16" s="610">
        <f>B101</f>
        <v>40507.563025210089</v>
      </c>
      <c r="D16" s="611"/>
      <c r="E16" s="611">
        <f>E101</f>
        <v>0</v>
      </c>
      <c r="F16" s="612"/>
      <c r="G16" s="613"/>
      <c r="H16" s="610">
        <f>I101</f>
        <v>0</v>
      </c>
      <c r="I16" s="611">
        <f>G101+F101</f>
        <v>0</v>
      </c>
      <c r="J16" s="611">
        <f>H101+D101+C101</f>
        <v>0</v>
      </c>
      <c r="K16" s="611"/>
      <c r="L16" s="614"/>
      <c r="M16" s="615">
        <f>C16*$C$21+E16*$E$21+H16*$H$21+I16*$I$21+J16*$J$21+D16*$D$21+F16*$F$21+G16*$G$21+K16*$K$21+L16*$L$21</f>
        <v>8182.5277310924384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34431.428571428572</v>
      </c>
      <c r="C19" s="593">
        <f>SUM(C16:C18)</f>
        <v>40507.563025210089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8182.5277310924384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35006</v>
      </c>
      <c r="C27" s="851">
        <v>8480</v>
      </c>
      <c r="D27" s="672" t="s">
        <v>844</v>
      </c>
      <c r="E27" s="671" t="s">
        <v>845</v>
      </c>
      <c r="F27" s="671" t="s">
        <v>846</v>
      </c>
      <c r="G27" s="671" t="s">
        <v>847</v>
      </c>
      <c r="H27" s="671" t="s">
        <v>848</v>
      </c>
      <c r="I27" s="671" t="s">
        <v>845</v>
      </c>
      <c r="J27" s="850">
        <v>41992</v>
      </c>
      <c r="K27" s="850">
        <v>39995</v>
      </c>
      <c r="L27" s="671" t="s">
        <v>849</v>
      </c>
      <c r="M27" s="671">
        <v>5356</v>
      </c>
      <c r="N27" s="671">
        <v>24102</v>
      </c>
      <c r="O27" s="671">
        <v>34431.428571428572</v>
      </c>
      <c r="P27" s="671">
        <v>68862.857142857145</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5356</v>
      </c>
      <c r="N57" s="629">
        <f>SUM(N27:N56)</f>
        <v>24102</v>
      </c>
      <c r="O57" s="629">
        <f t="shared" ref="O57:W57" si="2">SUM(O27:O56)</f>
        <v>34431.428571428572</v>
      </c>
      <c r="P57" s="629">
        <f t="shared" si="2"/>
        <v>68862.857142857145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5356</v>
      </c>
      <c r="N60" s="634">
        <f t="shared" ref="N60:W60" si="4">SUMIF($Z$27:$Z$56,"landbouw",N27:N56)</f>
        <v>24102</v>
      </c>
      <c r="O60" s="634">
        <f t="shared" si="4"/>
        <v>34431.428571428572</v>
      </c>
      <c r="P60" s="634">
        <f t="shared" si="4"/>
        <v>68862.857142857145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28355.294117647059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40507.563025210089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10697.978471769044</v>
      </c>
      <c r="D10" s="718">
        <f ca="1">tertiair!C16</f>
        <v>0</v>
      </c>
      <c r="E10" s="718">
        <f ca="1">tertiair!D16</f>
        <v>14093.506783322351</v>
      </c>
      <c r="F10" s="718">
        <f>tertiair!E16</f>
        <v>183.08730088943216</v>
      </c>
      <c r="G10" s="718">
        <f ca="1">tertiair!F16</f>
        <v>1827.2434236645886</v>
      </c>
      <c r="H10" s="718">
        <f>tertiair!G16</f>
        <v>0</v>
      </c>
      <c r="I10" s="718">
        <f>tertiair!H16</f>
        <v>0</v>
      </c>
      <c r="J10" s="718">
        <f>tertiair!I16</f>
        <v>0</v>
      </c>
      <c r="K10" s="718">
        <f>tertiair!J16</f>
        <v>3.3986651158396497E-2</v>
      </c>
      <c r="L10" s="718">
        <f>tertiair!K16</f>
        <v>0</v>
      </c>
      <c r="M10" s="718">
        <f ca="1">tertiair!L16</f>
        <v>0</v>
      </c>
      <c r="N10" s="718">
        <f>tertiair!M16</f>
        <v>0</v>
      </c>
      <c r="O10" s="718">
        <f ca="1">tertiair!N16</f>
        <v>1342.7980524801062</v>
      </c>
      <c r="P10" s="718">
        <f>tertiair!O16</f>
        <v>6.2533333333333339</v>
      </c>
      <c r="Q10" s="719">
        <f>tertiair!P16</f>
        <v>38.133333333333333</v>
      </c>
      <c r="R10" s="721">
        <f ca="1">SUM(C10:Q10)</f>
        <v>28189.034685443345</v>
      </c>
      <c r="S10" s="67"/>
    </row>
    <row r="11" spans="1:19" s="474" customFormat="1">
      <c r="A11" s="870" t="s">
        <v>225</v>
      </c>
      <c r="B11" s="875"/>
      <c r="C11" s="718">
        <f>huishoudens!B8</f>
        <v>23463.369317874218</v>
      </c>
      <c r="D11" s="718">
        <f>huishoudens!C8</f>
        <v>0</v>
      </c>
      <c r="E11" s="718">
        <f>huishoudens!D8</f>
        <v>54147.390797249573</v>
      </c>
      <c r="F11" s="718">
        <f>huishoudens!E8</f>
        <v>6983.7204109907898</v>
      </c>
      <c r="G11" s="718">
        <f>huishoudens!F8</f>
        <v>12097.596347570025</v>
      </c>
      <c r="H11" s="718">
        <f>huishoudens!G8</f>
        <v>0</v>
      </c>
      <c r="I11" s="718">
        <f>huishoudens!H8</f>
        <v>0</v>
      </c>
      <c r="J11" s="718">
        <f>huishoudens!I8</f>
        <v>0</v>
      </c>
      <c r="K11" s="718">
        <f>huishoudens!J8</f>
        <v>2387.1241357026165</v>
      </c>
      <c r="L11" s="718">
        <f>huishoudens!K8</f>
        <v>0</v>
      </c>
      <c r="M11" s="718">
        <f>huishoudens!L8</f>
        <v>0</v>
      </c>
      <c r="N11" s="718">
        <f>huishoudens!M8</f>
        <v>0</v>
      </c>
      <c r="O11" s="718">
        <f>huishoudens!N8</f>
        <v>23645.593674211188</v>
      </c>
      <c r="P11" s="718">
        <f>huishoudens!O8</f>
        <v>336.11666666666667</v>
      </c>
      <c r="Q11" s="719">
        <f>huishoudens!P8</f>
        <v>400.4</v>
      </c>
      <c r="R11" s="721">
        <f>SUM(C11:Q11)</f>
        <v>123461.31135026508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9932.5579863163512</v>
      </c>
      <c r="D13" s="718">
        <f>industrie!C18</f>
        <v>0</v>
      </c>
      <c r="E13" s="718">
        <f>industrie!D18</f>
        <v>85193.854007224043</v>
      </c>
      <c r="F13" s="718">
        <f>industrie!E18</f>
        <v>568.6731941408766</v>
      </c>
      <c r="G13" s="718">
        <f>industrie!F18</f>
        <v>2026.6371888160818</v>
      </c>
      <c r="H13" s="718">
        <f>industrie!G18</f>
        <v>0</v>
      </c>
      <c r="I13" s="718">
        <f>industrie!H18</f>
        <v>0</v>
      </c>
      <c r="J13" s="718">
        <f>industrie!I18</f>
        <v>0</v>
      </c>
      <c r="K13" s="718">
        <f>industrie!J18</f>
        <v>5.3828581759228653</v>
      </c>
      <c r="L13" s="718">
        <f>industrie!K18</f>
        <v>0</v>
      </c>
      <c r="M13" s="718">
        <f>industrie!L18</f>
        <v>0</v>
      </c>
      <c r="N13" s="718">
        <f>industrie!M18</f>
        <v>0</v>
      </c>
      <c r="O13" s="718">
        <f>industrie!N18</f>
        <v>1340.3573532958294</v>
      </c>
      <c r="P13" s="718">
        <f>industrie!O18</f>
        <v>0</v>
      </c>
      <c r="Q13" s="719">
        <f>industrie!P18</f>
        <v>0</v>
      </c>
      <c r="R13" s="721">
        <f>SUM(C13:Q13)</f>
        <v>99067.462587969101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44093.905775959611</v>
      </c>
      <c r="D15" s="723">
        <f t="shared" ref="D15:Q15" ca="1" si="0">SUM(D9:D14)</f>
        <v>0</v>
      </c>
      <c r="E15" s="723">
        <f t="shared" ca="1" si="0"/>
        <v>153434.75158779597</v>
      </c>
      <c r="F15" s="723">
        <f t="shared" si="0"/>
        <v>7735.4809060210991</v>
      </c>
      <c r="G15" s="723">
        <f t="shared" ca="1" si="0"/>
        <v>15951.476960050693</v>
      </c>
      <c r="H15" s="723">
        <f t="shared" si="0"/>
        <v>0</v>
      </c>
      <c r="I15" s="723">
        <f t="shared" si="0"/>
        <v>0</v>
      </c>
      <c r="J15" s="723">
        <f t="shared" si="0"/>
        <v>0</v>
      </c>
      <c r="K15" s="723">
        <f t="shared" si="0"/>
        <v>2392.5409805296981</v>
      </c>
      <c r="L15" s="723">
        <f t="shared" si="0"/>
        <v>0</v>
      </c>
      <c r="M15" s="723">
        <f t="shared" ca="1" si="0"/>
        <v>0</v>
      </c>
      <c r="N15" s="723">
        <f t="shared" si="0"/>
        <v>0</v>
      </c>
      <c r="O15" s="723">
        <f t="shared" ca="1" si="0"/>
        <v>26328.749079987123</v>
      </c>
      <c r="P15" s="723">
        <f t="shared" si="0"/>
        <v>342.37</v>
      </c>
      <c r="Q15" s="724">
        <f t="shared" si="0"/>
        <v>438.5333333333333</v>
      </c>
      <c r="R15" s="725">
        <f ca="1">SUM(R9:R14)</f>
        <v>250717.80862367753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1090.2547283361137</v>
      </c>
      <c r="I18" s="718">
        <f>transport!H54</f>
        <v>0</v>
      </c>
      <c r="J18" s="718">
        <f>transport!I54</f>
        <v>0</v>
      </c>
      <c r="K18" s="718">
        <f>transport!J54</f>
        <v>0</v>
      </c>
      <c r="L18" s="718">
        <f>transport!K54</f>
        <v>0</v>
      </c>
      <c r="M18" s="718">
        <f>transport!L54</f>
        <v>0</v>
      </c>
      <c r="N18" s="718">
        <f>transport!M54</f>
        <v>61.921655556714384</v>
      </c>
      <c r="O18" s="718">
        <f>transport!N54</f>
        <v>0</v>
      </c>
      <c r="P18" s="718">
        <f>transport!O54</f>
        <v>0</v>
      </c>
      <c r="Q18" s="719">
        <f>transport!P54</f>
        <v>0</v>
      </c>
      <c r="R18" s="721">
        <f>SUM(C18:Q18)</f>
        <v>1152.176383892828</v>
      </c>
      <c r="S18" s="67"/>
    </row>
    <row r="19" spans="1:19" s="474" customFormat="1" ht="15" thickBot="1">
      <c r="A19" s="870" t="s">
        <v>307</v>
      </c>
      <c r="B19" s="875"/>
      <c r="C19" s="727">
        <f>transport!B14</f>
        <v>24.324366454512891</v>
      </c>
      <c r="D19" s="727">
        <f>transport!C14</f>
        <v>0</v>
      </c>
      <c r="E19" s="727">
        <f>transport!D14</f>
        <v>91.947763921196639</v>
      </c>
      <c r="F19" s="727">
        <f>transport!E14</f>
        <v>121.23355387251013</v>
      </c>
      <c r="G19" s="727">
        <f>transport!F14</f>
        <v>0</v>
      </c>
      <c r="H19" s="727">
        <f>transport!G14</f>
        <v>42203.288295261162</v>
      </c>
      <c r="I19" s="727">
        <f>transport!H14</f>
        <v>10320.475806115426</v>
      </c>
      <c r="J19" s="727">
        <f>transport!I14</f>
        <v>0</v>
      </c>
      <c r="K19" s="727">
        <f>transport!J14</f>
        <v>0</v>
      </c>
      <c r="L19" s="727">
        <f>transport!K14</f>
        <v>0</v>
      </c>
      <c r="M19" s="727">
        <f>transport!L14</f>
        <v>0</v>
      </c>
      <c r="N19" s="727">
        <f>transport!M14</f>
        <v>2772.0489872017642</v>
      </c>
      <c r="O19" s="727">
        <f>transport!N14</f>
        <v>0</v>
      </c>
      <c r="P19" s="727">
        <f>transport!O14</f>
        <v>0</v>
      </c>
      <c r="Q19" s="728">
        <f>transport!P14</f>
        <v>0</v>
      </c>
      <c r="R19" s="729">
        <f>SUM(C19:Q19)</f>
        <v>55533.318772826577</v>
      </c>
      <c r="S19" s="67"/>
    </row>
    <row r="20" spans="1:19" s="474" customFormat="1" ht="15.75" thickBot="1">
      <c r="A20" s="730" t="s">
        <v>230</v>
      </c>
      <c r="B20" s="878"/>
      <c r="C20" s="873">
        <f>SUM(C17:C19)</f>
        <v>24.324366454512891</v>
      </c>
      <c r="D20" s="731">
        <f t="shared" ref="D20:R20" si="1">SUM(D17:D19)</f>
        <v>0</v>
      </c>
      <c r="E20" s="731">
        <f t="shared" si="1"/>
        <v>91.947763921196639</v>
      </c>
      <c r="F20" s="731">
        <f t="shared" si="1"/>
        <v>121.23355387251013</v>
      </c>
      <c r="G20" s="731">
        <f t="shared" si="1"/>
        <v>0</v>
      </c>
      <c r="H20" s="731">
        <f t="shared" si="1"/>
        <v>43293.543023597274</v>
      </c>
      <c r="I20" s="731">
        <f t="shared" si="1"/>
        <v>10320.475806115426</v>
      </c>
      <c r="J20" s="731">
        <f t="shared" si="1"/>
        <v>0</v>
      </c>
      <c r="K20" s="731">
        <f t="shared" si="1"/>
        <v>0</v>
      </c>
      <c r="L20" s="731">
        <f t="shared" si="1"/>
        <v>0</v>
      </c>
      <c r="M20" s="731">
        <f t="shared" si="1"/>
        <v>0</v>
      </c>
      <c r="N20" s="731">
        <f t="shared" si="1"/>
        <v>2833.9706427584788</v>
      </c>
      <c r="O20" s="731">
        <f t="shared" si="1"/>
        <v>0</v>
      </c>
      <c r="P20" s="731">
        <f t="shared" si="1"/>
        <v>0</v>
      </c>
      <c r="Q20" s="732">
        <f t="shared" si="1"/>
        <v>0</v>
      </c>
      <c r="R20" s="733">
        <f t="shared" si="1"/>
        <v>56685.495156719408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3363.5725000313892</v>
      </c>
      <c r="D22" s="727">
        <f>+landbouw!C8</f>
        <v>34431.428571428572</v>
      </c>
      <c r="E22" s="727">
        <f>+landbouw!D8</f>
        <v>0</v>
      </c>
      <c r="F22" s="727">
        <f>+landbouw!E8</f>
        <v>98.865669312124567</v>
      </c>
      <c r="G22" s="727">
        <f>+landbouw!F8</f>
        <v>14012.461277212915</v>
      </c>
      <c r="H22" s="727">
        <f>+landbouw!G8</f>
        <v>0</v>
      </c>
      <c r="I22" s="727">
        <f>+landbouw!H8</f>
        <v>0</v>
      </c>
      <c r="J22" s="727">
        <f>+landbouw!I8</f>
        <v>0</v>
      </c>
      <c r="K22" s="727">
        <f>+landbouw!J8</f>
        <v>487.30942170826086</v>
      </c>
      <c r="L22" s="727">
        <f>+landbouw!K8</f>
        <v>0</v>
      </c>
      <c r="M22" s="727">
        <f>+landbouw!L8</f>
        <v>0</v>
      </c>
      <c r="N22" s="727">
        <f>+landbouw!M8</f>
        <v>0</v>
      </c>
      <c r="O22" s="727">
        <f>+landbouw!N8</f>
        <v>0</v>
      </c>
      <c r="P22" s="727">
        <f>+landbouw!O8</f>
        <v>0</v>
      </c>
      <c r="Q22" s="728">
        <f>+landbouw!P8</f>
        <v>0</v>
      </c>
      <c r="R22" s="729">
        <f>SUM(C22:Q22)</f>
        <v>52393.637439693259</v>
      </c>
      <c r="S22" s="67"/>
    </row>
    <row r="23" spans="1:19" s="474" customFormat="1" ht="17.25" thickTop="1" thickBot="1">
      <c r="A23" s="734" t="s">
        <v>116</v>
      </c>
      <c r="B23" s="864"/>
      <c r="C23" s="735">
        <f ca="1">C20+C15+C22</f>
        <v>47481.802642445517</v>
      </c>
      <c r="D23" s="735">
        <f t="shared" ref="D23:Q23" ca="1" si="2">D20+D15+D22</f>
        <v>34431.428571428572</v>
      </c>
      <c r="E23" s="735">
        <f t="shared" ca="1" si="2"/>
        <v>153526.69935171716</v>
      </c>
      <c r="F23" s="735">
        <f t="shared" si="2"/>
        <v>7955.580129205734</v>
      </c>
      <c r="G23" s="735">
        <f t="shared" ca="1" si="2"/>
        <v>29963.93823726361</v>
      </c>
      <c r="H23" s="735">
        <f t="shared" si="2"/>
        <v>43293.543023597274</v>
      </c>
      <c r="I23" s="735">
        <f t="shared" si="2"/>
        <v>10320.475806115426</v>
      </c>
      <c r="J23" s="735">
        <f t="shared" si="2"/>
        <v>0</v>
      </c>
      <c r="K23" s="735">
        <f t="shared" si="2"/>
        <v>2879.8504022379589</v>
      </c>
      <c r="L23" s="735">
        <f t="shared" si="2"/>
        <v>0</v>
      </c>
      <c r="M23" s="735">
        <f t="shared" ca="1" si="2"/>
        <v>0</v>
      </c>
      <c r="N23" s="735">
        <f t="shared" si="2"/>
        <v>2833.9706427584788</v>
      </c>
      <c r="O23" s="735">
        <f t="shared" ca="1" si="2"/>
        <v>26328.749079987123</v>
      </c>
      <c r="P23" s="735">
        <f t="shared" si="2"/>
        <v>342.37</v>
      </c>
      <c r="Q23" s="736">
        <f t="shared" si="2"/>
        <v>438.5333333333333</v>
      </c>
      <c r="R23" s="737">
        <f ca="1">R20+R15+R22</f>
        <v>359796.9412200902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2177.940558590296</v>
      </c>
      <c r="D36" s="718">
        <f ca="1">tertiair!C20</f>
        <v>0</v>
      </c>
      <c r="E36" s="718">
        <f ca="1">tertiair!D20</f>
        <v>2846.888370231115</v>
      </c>
      <c r="F36" s="718">
        <f>tertiair!E20</f>
        <v>41.560817301901103</v>
      </c>
      <c r="G36" s="718">
        <f ca="1">tertiair!F20</f>
        <v>487.87399411844518</v>
      </c>
      <c r="H36" s="718">
        <f>tertiair!G20</f>
        <v>0</v>
      </c>
      <c r="I36" s="718">
        <f>tertiair!H20</f>
        <v>0</v>
      </c>
      <c r="J36" s="718">
        <f>tertiair!I20</f>
        <v>0</v>
      </c>
      <c r="K36" s="718">
        <f>tertiair!J20</f>
        <v>1.2031274510072359E-2</v>
      </c>
      <c r="L36" s="718">
        <f>tertiair!K20</f>
        <v>0</v>
      </c>
      <c r="M36" s="718">
        <f ca="1">tertiair!L20</f>
        <v>0</v>
      </c>
      <c r="N36" s="718">
        <f>tertiair!M20</f>
        <v>0</v>
      </c>
      <c r="O36" s="718">
        <f ca="1">tertiair!N20</f>
        <v>0</v>
      </c>
      <c r="P36" s="718">
        <f>tertiair!O20</f>
        <v>0</v>
      </c>
      <c r="Q36" s="828">
        <f>tertiair!P20</f>
        <v>0</v>
      </c>
      <c r="R36" s="917">
        <f ca="1">SUM(C36:Q36)</f>
        <v>5554.275771516267</v>
      </c>
    </row>
    <row r="37" spans="1:18">
      <c r="A37" s="885" t="s">
        <v>225</v>
      </c>
      <c r="B37" s="892"/>
      <c r="C37" s="718">
        <f ca="1">huishoudens!B12</f>
        <v>4776.7738375464369</v>
      </c>
      <c r="D37" s="718">
        <f ca="1">huishoudens!C12</f>
        <v>0</v>
      </c>
      <c r="E37" s="718">
        <f>huishoudens!D12</f>
        <v>10937.772941044414</v>
      </c>
      <c r="F37" s="718">
        <f>huishoudens!E12</f>
        <v>1585.3045332949093</v>
      </c>
      <c r="G37" s="718">
        <f>huishoudens!F12</f>
        <v>3230.058224801197</v>
      </c>
      <c r="H37" s="718">
        <f>huishoudens!G12</f>
        <v>0</v>
      </c>
      <c r="I37" s="718">
        <f>huishoudens!H12</f>
        <v>0</v>
      </c>
      <c r="J37" s="718">
        <f>huishoudens!I12</f>
        <v>0</v>
      </c>
      <c r="K37" s="718">
        <f>huishoudens!J12</f>
        <v>845.04194403872623</v>
      </c>
      <c r="L37" s="718">
        <f>huishoudens!K12</f>
        <v>0</v>
      </c>
      <c r="M37" s="718">
        <f>huishoudens!L12</f>
        <v>0</v>
      </c>
      <c r="N37" s="718">
        <f>huishoudens!M12</f>
        <v>0</v>
      </c>
      <c r="O37" s="718">
        <f>huishoudens!N12</f>
        <v>0</v>
      </c>
      <c r="P37" s="718">
        <f>huishoudens!O12</f>
        <v>0</v>
      </c>
      <c r="Q37" s="828">
        <f>huishoudens!P12</f>
        <v>0</v>
      </c>
      <c r="R37" s="917">
        <f ca="1">SUM(C37:Q37)</f>
        <v>21374.951480725682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2022.112957698926</v>
      </c>
      <c r="D39" s="718">
        <f ca="1">industrie!C22</f>
        <v>0</v>
      </c>
      <c r="E39" s="718">
        <f>industrie!D22</f>
        <v>17209.158509459259</v>
      </c>
      <c r="F39" s="718">
        <f>industrie!E22</f>
        <v>129.08881506997901</v>
      </c>
      <c r="G39" s="718">
        <f>industrie!F22</f>
        <v>541.11212941389385</v>
      </c>
      <c r="H39" s="718">
        <f>industrie!G22</f>
        <v>0</v>
      </c>
      <c r="I39" s="718">
        <f>industrie!H22</f>
        <v>0</v>
      </c>
      <c r="J39" s="718">
        <f>industrie!I22</f>
        <v>0</v>
      </c>
      <c r="K39" s="718">
        <f>industrie!J22</f>
        <v>1.9055317942766943</v>
      </c>
      <c r="L39" s="718">
        <f>industrie!K22</f>
        <v>0</v>
      </c>
      <c r="M39" s="718">
        <f>industrie!L22</f>
        <v>0</v>
      </c>
      <c r="N39" s="718">
        <f>industrie!M22</f>
        <v>0</v>
      </c>
      <c r="O39" s="718">
        <f>industrie!N22</f>
        <v>0</v>
      </c>
      <c r="P39" s="718">
        <f>industrie!O22</f>
        <v>0</v>
      </c>
      <c r="Q39" s="828">
        <f>industrie!P22</f>
        <v>0</v>
      </c>
      <c r="R39" s="918">
        <f ca="1">SUM(C39:Q39)</f>
        <v>19903.377943436335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8976.8273538356589</v>
      </c>
      <c r="D41" s="763">
        <f t="shared" ref="D41:R41" ca="1" si="4">SUM(D35:D40)</f>
        <v>0</v>
      </c>
      <c r="E41" s="763">
        <f t="shared" ca="1" si="4"/>
        <v>30993.819820734789</v>
      </c>
      <c r="F41" s="763">
        <f t="shared" si="4"/>
        <v>1755.9541656667895</v>
      </c>
      <c r="G41" s="763">
        <f t="shared" ca="1" si="4"/>
        <v>4259.0443483335366</v>
      </c>
      <c r="H41" s="763">
        <f t="shared" si="4"/>
        <v>0</v>
      </c>
      <c r="I41" s="763">
        <f t="shared" si="4"/>
        <v>0</v>
      </c>
      <c r="J41" s="763">
        <f t="shared" si="4"/>
        <v>0</v>
      </c>
      <c r="K41" s="763">
        <f t="shared" si="4"/>
        <v>846.95950710751299</v>
      </c>
      <c r="L41" s="763">
        <f t="shared" si="4"/>
        <v>0</v>
      </c>
      <c r="M41" s="763">
        <f t="shared" ca="1" si="4"/>
        <v>0</v>
      </c>
      <c r="N41" s="763">
        <f t="shared" si="4"/>
        <v>0</v>
      </c>
      <c r="O41" s="763">
        <f t="shared" ca="1" si="4"/>
        <v>0</v>
      </c>
      <c r="P41" s="763">
        <f t="shared" si="4"/>
        <v>0</v>
      </c>
      <c r="Q41" s="764">
        <f t="shared" si="4"/>
        <v>0</v>
      </c>
      <c r="R41" s="765">
        <f t="shared" ca="1" si="4"/>
        <v>46832.605195678283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291.09801246574239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291.09801246574239</v>
      </c>
    </row>
    <row r="45" spans="1:18" ht="15" thickBot="1">
      <c r="A45" s="888" t="s">
        <v>307</v>
      </c>
      <c r="B45" s="898"/>
      <c r="C45" s="727">
        <f ca="1">transport!B18</f>
        <v>4.9520593449592587</v>
      </c>
      <c r="D45" s="727">
        <f>transport!C18</f>
        <v>0</v>
      </c>
      <c r="E45" s="727">
        <f>transport!D18</f>
        <v>18.573448312081723</v>
      </c>
      <c r="F45" s="727">
        <f>transport!E18</f>
        <v>27.520016729059801</v>
      </c>
      <c r="G45" s="727">
        <f>transport!F18</f>
        <v>0</v>
      </c>
      <c r="H45" s="727">
        <f>transport!G18</f>
        <v>11268.277974834731</v>
      </c>
      <c r="I45" s="727">
        <f>transport!H18</f>
        <v>2569.7984757227409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13889.121974943573</v>
      </c>
    </row>
    <row r="46" spans="1:18" ht="15.75" thickBot="1">
      <c r="A46" s="886" t="s">
        <v>230</v>
      </c>
      <c r="B46" s="899"/>
      <c r="C46" s="763">
        <f t="shared" ref="C46:R46" ca="1" si="5">SUM(C43:C45)</f>
        <v>4.9520593449592587</v>
      </c>
      <c r="D46" s="763">
        <f t="shared" ca="1" si="5"/>
        <v>0</v>
      </c>
      <c r="E46" s="763">
        <f t="shared" si="5"/>
        <v>18.573448312081723</v>
      </c>
      <c r="F46" s="763">
        <f t="shared" si="5"/>
        <v>27.520016729059801</v>
      </c>
      <c r="G46" s="763">
        <f t="shared" si="5"/>
        <v>0</v>
      </c>
      <c r="H46" s="763">
        <f t="shared" si="5"/>
        <v>11559.375987300473</v>
      </c>
      <c r="I46" s="763">
        <f t="shared" si="5"/>
        <v>2569.7984757227409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14180.219987409315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684.77058435937693</v>
      </c>
      <c r="D48" s="718">
        <f ca="1">+landbouw!C12</f>
        <v>8182.5277310924375</v>
      </c>
      <c r="E48" s="718">
        <f>+landbouw!D12</f>
        <v>0</v>
      </c>
      <c r="F48" s="718">
        <f>+landbouw!E12</f>
        <v>22.442506933852279</v>
      </c>
      <c r="G48" s="718">
        <f>+landbouw!F12</f>
        <v>3741.3271610158486</v>
      </c>
      <c r="H48" s="718">
        <f>+landbouw!G12</f>
        <v>0</v>
      </c>
      <c r="I48" s="718">
        <f>+landbouw!H12</f>
        <v>0</v>
      </c>
      <c r="J48" s="718">
        <f>+landbouw!I12</f>
        <v>0</v>
      </c>
      <c r="K48" s="718">
        <f>+landbouw!J12</f>
        <v>172.50753528472433</v>
      </c>
      <c r="L48" s="718">
        <f>+landbouw!K12</f>
        <v>0</v>
      </c>
      <c r="M48" s="718">
        <f>+landbouw!L12</f>
        <v>0</v>
      </c>
      <c r="N48" s="718">
        <f>+landbouw!M12</f>
        <v>0</v>
      </c>
      <c r="O48" s="718">
        <f>+landbouw!N12</f>
        <v>0</v>
      </c>
      <c r="P48" s="718">
        <f>+landbouw!O12</f>
        <v>0</v>
      </c>
      <c r="Q48" s="719">
        <f>+landbouw!P12</f>
        <v>0</v>
      </c>
      <c r="R48" s="761">
        <f ca="1">SUM(C48:Q48)</f>
        <v>12803.575518686241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9666.5499975399962</v>
      </c>
      <c r="D53" s="773">
        <f t="shared" ref="D53:Q53" ca="1" si="6">D41+D46+D48</f>
        <v>8182.5277310924375</v>
      </c>
      <c r="E53" s="773">
        <f t="shared" ca="1" si="6"/>
        <v>31012.393269046872</v>
      </c>
      <c r="F53" s="773">
        <f t="shared" si="6"/>
        <v>1805.9166893297015</v>
      </c>
      <c r="G53" s="773">
        <f t="shared" ca="1" si="6"/>
        <v>8000.3715093493847</v>
      </c>
      <c r="H53" s="773">
        <f t="shared" si="6"/>
        <v>11559.375987300473</v>
      </c>
      <c r="I53" s="773">
        <f t="shared" si="6"/>
        <v>2569.7984757227409</v>
      </c>
      <c r="J53" s="773">
        <f t="shared" si="6"/>
        <v>0</v>
      </c>
      <c r="K53" s="773">
        <f t="shared" si="6"/>
        <v>1019.4670423922373</v>
      </c>
      <c r="L53" s="773">
        <f t="shared" si="6"/>
        <v>0</v>
      </c>
      <c r="M53" s="773">
        <f t="shared" ca="1" si="6"/>
        <v>0</v>
      </c>
      <c r="N53" s="773">
        <f t="shared" si="6"/>
        <v>0</v>
      </c>
      <c r="O53" s="773">
        <f t="shared" ca="1" si="6"/>
        <v>0</v>
      </c>
      <c r="P53" s="773">
        <f>P41+P46+P48</f>
        <v>0</v>
      </c>
      <c r="Q53" s="774">
        <f t="shared" si="6"/>
        <v>0</v>
      </c>
      <c r="R53" s="775">
        <f ca="1">R41+R46+R48</f>
        <v>73816.400701773833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0.20358430934757213</v>
      </c>
      <c r="D55" s="836">
        <f t="shared" ca="1" si="7"/>
        <v>0.23764705882352943</v>
      </c>
      <c r="E55" s="836">
        <f t="shared" ca="1" si="7"/>
        <v>0.20200000000000004</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5557.266055227009</v>
      </c>
      <c r="C66" s="795">
        <f>'lokale energieproductie'!B6</f>
        <v>5557.266055227009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24102</v>
      </c>
      <c r="C67" s="794">
        <f>B67*IFERROR(SUM(J67:L67)/SUM(D67:M67),0)</f>
        <v>0</v>
      </c>
      <c r="D67" s="826">
        <f>'lokale energieproductie'!C7</f>
        <v>28355.294117647059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5727.7694117647061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29659.26605522701</v>
      </c>
      <c r="C69" s="803">
        <f>SUM(C64:C68)</f>
        <v>5557.266055227009</v>
      </c>
      <c r="D69" s="804">
        <f t="shared" ref="D69:M69" si="8">SUM(D67:D68)</f>
        <v>28355.294117647059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5727.7694117647061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34431.428571428572</v>
      </c>
      <c r="C78" s="817">
        <f>B78*IFERROR(SUM(I78:L78)/SUM(D78:M78),0)</f>
        <v>0</v>
      </c>
      <c r="D78" s="832">
        <f>'lokale energieproductie'!C16</f>
        <v>40507.563025210089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8182.5277310924384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34431.428571428572</v>
      </c>
      <c r="C81" s="803">
        <f>SUM(C78:C80)</f>
        <v>0</v>
      </c>
      <c r="D81" s="803">
        <f t="shared" ref="D81:P81" si="9">SUM(D78:D80)</f>
        <v>40507.563025210089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8182.5277310924384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23463.369317874218</v>
      </c>
      <c r="C4" s="478">
        <f>huishoudens!C8</f>
        <v>0</v>
      </c>
      <c r="D4" s="478">
        <f>huishoudens!D8</f>
        <v>54147.390797249573</v>
      </c>
      <c r="E4" s="478">
        <f>huishoudens!E8</f>
        <v>6983.7204109907898</v>
      </c>
      <c r="F4" s="478">
        <f>huishoudens!F8</f>
        <v>12097.596347570025</v>
      </c>
      <c r="G4" s="478">
        <f>huishoudens!G8</f>
        <v>0</v>
      </c>
      <c r="H4" s="478">
        <f>huishoudens!H8</f>
        <v>0</v>
      </c>
      <c r="I4" s="478">
        <f>huishoudens!I8</f>
        <v>0</v>
      </c>
      <c r="J4" s="478">
        <f>huishoudens!J8</f>
        <v>2387.1241357026165</v>
      </c>
      <c r="K4" s="478">
        <f>huishoudens!K8</f>
        <v>0</v>
      </c>
      <c r="L4" s="478">
        <f>huishoudens!L8</f>
        <v>0</v>
      </c>
      <c r="M4" s="478">
        <f>huishoudens!M8</f>
        <v>0</v>
      </c>
      <c r="N4" s="478">
        <f>huishoudens!N8</f>
        <v>23645.593674211188</v>
      </c>
      <c r="O4" s="478">
        <f>huishoudens!O8</f>
        <v>336.11666666666667</v>
      </c>
      <c r="P4" s="479">
        <f>huishoudens!P8</f>
        <v>400.4</v>
      </c>
      <c r="Q4" s="480">
        <f>SUM(B4:P4)</f>
        <v>123461.31135026508</v>
      </c>
    </row>
    <row r="5" spans="1:17">
      <c r="A5" s="477" t="s">
        <v>156</v>
      </c>
      <c r="B5" s="478">
        <f ca="1">tertiair!B16</f>
        <v>9941.5054717690437</v>
      </c>
      <c r="C5" s="478">
        <f ca="1">tertiair!C16</f>
        <v>0</v>
      </c>
      <c r="D5" s="478">
        <f ca="1">tertiair!D16</f>
        <v>14093.506783322351</v>
      </c>
      <c r="E5" s="478">
        <f>tertiair!E16</f>
        <v>183.08730088943216</v>
      </c>
      <c r="F5" s="478">
        <f ca="1">tertiair!F16</f>
        <v>1827.2434236645886</v>
      </c>
      <c r="G5" s="478">
        <f>tertiair!G16</f>
        <v>0</v>
      </c>
      <c r="H5" s="478">
        <f>tertiair!H16</f>
        <v>0</v>
      </c>
      <c r="I5" s="478">
        <f>tertiair!I16</f>
        <v>0</v>
      </c>
      <c r="J5" s="478">
        <f>tertiair!J16</f>
        <v>3.3986651158396497E-2</v>
      </c>
      <c r="K5" s="478">
        <f>tertiair!K16</f>
        <v>0</v>
      </c>
      <c r="L5" s="478">
        <f ca="1">tertiair!L16</f>
        <v>0</v>
      </c>
      <c r="M5" s="478">
        <f>tertiair!M16</f>
        <v>0</v>
      </c>
      <c r="N5" s="478">
        <f ca="1">tertiair!N16</f>
        <v>1342.7980524801062</v>
      </c>
      <c r="O5" s="478">
        <f>tertiair!O16</f>
        <v>6.2533333333333339</v>
      </c>
      <c r="P5" s="479">
        <f>tertiair!P16</f>
        <v>38.133333333333333</v>
      </c>
      <c r="Q5" s="477">
        <f t="shared" ref="Q5:Q13" ca="1" si="0">SUM(B5:P5)</f>
        <v>27432.561685443347</v>
      </c>
    </row>
    <row r="6" spans="1:17">
      <c r="A6" s="477" t="s">
        <v>194</v>
      </c>
      <c r="B6" s="478">
        <f>'openbare verlichting'!B8</f>
        <v>756.47299999999996</v>
      </c>
      <c r="C6" s="478"/>
      <c r="D6" s="478"/>
      <c r="E6" s="478"/>
      <c r="F6" s="478"/>
      <c r="G6" s="478"/>
      <c r="H6" s="478"/>
      <c r="I6" s="478"/>
      <c r="J6" s="478"/>
      <c r="K6" s="478"/>
      <c r="L6" s="478"/>
      <c r="M6" s="478"/>
      <c r="N6" s="478"/>
      <c r="O6" s="478"/>
      <c r="P6" s="479"/>
      <c r="Q6" s="477">
        <f t="shared" si="0"/>
        <v>756.47299999999996</v>
      </c>
    </row>
    <row r="7" spans="1:17">
      <c r="A7" s="477" t="s">
        <v>112</v>
      </c>
      <c r="B7" s="478">
        <f>landbouw!B8</f>
        <v>3363.5725000313892</v>
      </c>
      <c r="C7" s="478">
        <f>landbouw!C8</f>
        <v>34431.428571428572</v>
      </c>
      <c r="D7" s="478">
        <f>landbouw!D8</f>
        <v>0</v>
      </c>
      <c r="E7" s="478">
        <f>landbouw!E8</f>
        <v>98.865669312124567</v>
      </c>
      <c r="F7" s="478">
        <f>landbouw!F8</f>
        <v>14012.461277212915</v>
      </c>
      <c r="G7" s="478">
        <f>landbouw!G8</f>
        <v>0</v>
      </c>
      <c r="H7" s="478">
        <f>landbouw!H8</f>
        <v>0</v>
      </c>
      <c r="I7" s="478">
        <f>landbouw!I8</f>
        <v>0</v>
      </c>
      <c r="J7" s="478">
        <f>landbouw!J8</f>
        <v>487.30942170826086</v>
      </c>
      <c r="K7" s="478">
        <f>landbouw!K8</f>
        <v>0</v>
      </c>
      <c r="L7" s="478">
        <f>landbouw!L8</f>
        <v>0</v>
      </c>
      <c r="M7" s="478">
        <f>landbouw!M8</f>
        <v>0</v>
      </c>
      <c r="N7" s="478">
        <f>landbouw!N8</f>
        <v>0</v>
      </c>
      <c r="O7" s="478">
        <f>landbouw!O8</f>
        <v>0</v>
      </c>
      <c r="P7" s="479">
        <f>landbouw!P8</f>
        <v>0</v>
      </c>
      <c r="Q7" s="477">
        <f t="shared" si="0"/>
        <v>52393.637439693259</v>
      </c>
    </row>
    <row r="8" spans="1:17">
      <c r="A8" s="477" t="s">
        <v>635</v>
      </c>
      <c r="B8" s="478">
        <f>industrie!B18</f>
        <v>9932.5579863163512</v>
      </c>
      <c r="C8" s="478">
        <f>industrie!C18</f>
        <v>0</v>
      </c>
      <c r="D8" s="478">
        <f>industrie!D18</f>
        <v>85193.854007224043</v>
      </c>
      <c r="E8" s="478">
        <f>industrie!E18</f>
        <v>568.6731941408766</v>
      </c>
      <c r="F8" s="478">
        <f>industrie!F18</f>
        <v>2026.6371888160818</v>
      </c>
      <c r="G8" s="478">
        <f>industrie!G18</f>
        <v>0</v>
      </c>
      <c r="H8" s="478">
        <f>industrie!H18</f>
        <v>0</v>
      </c>
      <c r="I8" s="478">
        <f>industrie!I18</f>
        <v>0</v>
      </c>
      <c r="J8" s="478">
        <f>industrie!J18</f>
        <v>5.3828581759228653</v>
      </c>
      <c r="K8" s="478">
        <f>industrie!K18</f>
        <v>0</v>
      </c>
      <c r="L8" s="478">
        <f>industrie!L18</f>
        <v>0</v>
      </c>
      <c r="M8" s="478">
        <f>industrie!M18</f>
        <v>0</v>
      </c>
      <c r="N8" s="478">
        <f>industrie!N18</f>
        <v>1340.3573532958294</v>
      </c>
      <c r="O8" s="478">
        <f>industrie!O18</f>
        <v>0</v>
      </c>
      <c r="P8" s="479">
        <f>industrie!P18</f>
        <v>0</v>
      </c>
      <c r="Q8" s="477">
        <f t="shared" si="0"/>
        <v>99067.462587969101</v>
      </c>
    </row>
    <row r="9" spans="1:17" s="483" customFormat="1">
      <c r="A9" s="481" t="s">
        <v>561</v>
      </c>
      <c r="B9" s="482">
        <f>transport!B14</f>
        <v>24.324366454512891</v>
      </c>
      <c r="C9" s="482"/>
      <c r="D9" s="482">
        <f>transport!D14</f>
        <v>91.947763921196639</v>
      </c>
      <c r="E9" s="482">
        <f>transport!E14</f>
        <v>121.23355387251013</v>
      </c>
      <c r="F9" s="482"/>
      <c r="G9" s="482">
        <f>transport!G14</f>
        <v>42203.288295261162</v>
      </c>
      <c r="H9" s="482">
        <f>transport!H14</f>
        <v>10320.475806115426</v>
      </c>
      <c r="I9" s="482"/>
      <c r="J9" s="482"/>
      <c r="K9" s="482"/>
      <c r="L9" s="482"/>
      <c r="M9" s="482">
        <f>transport!M14</f>
        <v>2772.0489872017642</v>
      </c>
      <c r="N9" s="482"/>
      <c r="O9" s="482"/>
      <c r="P9" s="482"/>
      <c r="Q9" s="481">
        <f>SUM(B9:P9)</f>
        <v>55533.318772826577</v>
      </c>
    </row>
    <row r="10" spans="1:17">
      <c r="A10" s="477" t="s">
        <v>551</v>
      </c>
      <c r="B10" s="478">
        <f>transport!B54</f>
        <v>0</v>
      </c>
      <c r="C10" s="478"/>
      <c r="D10" s="478">
        <f>transport!D54</f>
        <v>0</v>
      </c>
      <c r="E10" s="478"/>
      <c r="F10" s="478"/>
      <c r="G10" s="478">
        <f>transport!G54</f>
        <v>1090.2547283361137</v>
      </c>
      <c r="H10" s="478"/>
      <c r="I10" s="478"/>
      <c r="J10" s="478"/>
      <c r="K10" s="478"/>
      <c r="L10" s="478"/>
      <c r="M10" s="478">
        <f>transport!M54</f>
        <v>61.921655556714384</v>
      </c>
      <c r="N10" s="478"/>
      <c r="O10" s="478"/>
      <c r="P10" s="479"/>
      <c r="Q10" s="477">
        <f t="shared" si="0"/>
        <v>1152.176383892828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47481.802642445517</v>
      </c>
      <c r="C14" s="488">
        <f t="shared" ref="C14:Q14" ca="1" si="1">SUM(C4:C13)</f>
        <v>34431.428571428572</v>
      </c>
      <c r="D14" s="488">
        <f t="shared" ca="1" si="1"/>
        <v>153526.69935171716</v>
      </c>
      <c r="E14" s="488">
        <f t="shared" si="1"/>
        <v>7955.580129205734</v>
      </c>
      <c r="F14" s="488">
        <f t="shared" ca="1" si="1"/>
        <v>29963.93823726361</v>
      </c>
      <c r="G14" s="488">
        <f t="shared" si="1"/>
        <v>43293.543023597274</v>
      </c>
      <c r="H14" s="488">
        <f t="shared" si="1"/>
        <v>10320.475806115426</v>
      </c>
      <c r="I14" s="488">
        <f t="shared" si="1"/>
        <v>0</v>
      </c>
      <c r="J14" s="488">
        <f t="shared" si="1"/>
        <v>2879.8504022379589</v>
      </c>
      <c r="K14" s="488">
        <f t="shared" si="1"/>
        <v>0</v>
      </c>
      <c r="L14" s="488">
        <f t="shared" ca="1" si="1"/>
        <v>0</v>
      </c>
      <c r="M14" s="488">
        <f t="shared" si="1"/>
        <v>2833.9706427584788</v>
      </c>
      <c r="N14" s="488">
        <f t="shared" ca="1" si="1"/>
        <v>26328.749079987123</v>
      </c>
      <c r="O14" s="488">
        <f t="shared" si="1"/>
        <v>342.37</v>
      </c>
      <c r="P14" s="489">
        <f t="shared" si="1"/>
        <v>438.5333333333333</v>
      </c>
      <c r="Q14" s="489">
        <f t="shared" ca="1" si="1"/>
        <v>359796.9412200902</v>
      </c>
    </row>
    <row r="16" spans="1:17">
      <c r="A16" s="491" t="s">
        <v>556</v>
      </c>
      <c r="B16" s="841">
        <f ca="1">huishoudens!B10</f>
        <v>0.20358430934757213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4776.7738375464369</v>
      </c>
      <c r="C21" s="478">
        <f t="shared" ref="C21:C28" ca="1" si="3">C4*$C$16</f>
        <v>0</v>
      </c>
      <c r="D21" s="478">
        <f t="shared" ref="D21:D30" si="4">D4*$D$16</f>
        <v>10937.772941044414</v>
      </c>
      <c r="E21" s="478">
        <f t="shared" ref="E21:E30" si="5">E4*$E$16</f>
        <v>1585.3045332949093</v>
      </c>
      <c r="F21" s="478">
        <f t="shared" ref="F21:F28" si="6">F4*$F$16</f>
        <v>3230.058224801197</v>
      </c>
      <c r="G21" s="478">
        <f t="shared" ref="G21:G30" si="7">G4*$G$16</f>
        <v>0</v>
      </c>
      <c r="H21" s="478">
        <f t="shared" ref="H21:H30" si="8">H4*$H$16</f>
        <v>0</v>
      </c>
      <c r="I21" s="478">
        <f t="shared" ref="I21:I28" si="9">I4*$I$16</f>
        <v>0</v>
      </c>
      <c r="J21" s="478">
        <f t="shared" ref="J21:J28" si="10">J4*$J$16</f>
        <v>845.04194403872623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21374.951480725682</v>
      </c>
    </row>
    <row r="22" spans="1:17">
      <c r="A22" s="477" t="s">
        <v>156</v>
      </c>
      <c r="B22" s="478">
        <f t="shared" ca="1" si="2"/>
        <v>2023.93452534521</v>
      </c>
      <c r="C22" s="478">
        <f t="shared" ca="1" si="3"/>
        <v>0</v>
      </c>
      <c r="D22" s="478">
        <f t="shared" ca="1" si="4"/>
        <v>2846.888370231115</v>
      </c>
      <c r="E22" s="478">
        <f t="shared" si="5"/>
        <v>41.560817301901103</v>
      </c>
      <c r="F22" s="478">
        <f t="shared" ca="1" si="6"/>
        <v>487.87399411844518</v>
      </c>
      <c r="G22" s="478">
        <f t="shared" si="7"/>
        <v>0</v>
      </c>
      <c r="H22" s="478">
        <f t="shared" si="8"/>
        <v>0</v>
      </c>
      <c r="I22" s="478">
        <f t="shared" si="9"/>
        <v>0</v>
      </c>
      <c r="J22" s="478">
        <f t="shared" si="10"/>
        <v>1.2031274510072359E-2</v>
      </c>
      <c r="K22" s="478">
        <f t="shared" si="11"/>
        <v>0</v>
      </c>
      <c r="L22" s="478">
        <f t="shared" ca="1" si="12"/>
        <v>0</v>
      </c>
      <c r="M22" s="478">
        <f t="shared" si="13"/>
        <v>0</v>
      </c>
      <c r="N22" s="478">
        <f t="shared" ca="1" si="14"/>
        <v>0</v>
      </c>
      <c r="O22" s="478">
        <f t="shared" si="15"/>
        <v>0</v>
      </c>
      <c r="P22" s="479">
        <f t="shared" si="16"/>
        <v>0</v>
      </c>
      <c r="Q22" s="477">
        <f t="shared" ref="Q22:Q30" ca="1" si="17">SUM(B22:P22)</f>
        <v>5400.2697382711813</v>
      </c>
    </row>
    <row r="23" spans="1:17">
      <c r="A23" s="477" t="s">
        <v>194</v>
      </c>
      <c r="B23" s="478">
        <f t="shared" ca="1" si="2"/>
        <v>154.00603324508592</v>
      </c>
      <c r="C23" s="478"/>
      <c r="D23" s="478"/>
      <c r="E23" s="478"/>
      <c r="F23" s="478"/>
      <c r="G23" s="478"/>
      <c r="H23" s="478"/>
      <c r="I23" s="478"/>
      <c r="J23" s="478"/>
      <c r="K23" s="478"/>
      <c r="L23" s="478"/>
      <c r="M23" s="478"/>
      <c r="N23" s="478"/>
      <c r="O23" s="478"/>
      <c r="P23" s="479"/>
      <c r="Q23" s="477">
        <f t="shared" ca="1" si="17"/>
        <v>154.00603324508592</v>
      </c>
    </row>
    <row r="24" spans="1:17">
      <c r="A24" s="477" t="s">
        <v>112</v>
      </c>
      <c r="B24" s="478">
        <f t="shared" ca="1" si="2"/>
        <v>684.77058435937693</v>
      </c>
      <c r="C24" s="478">
        <f t="shared" ca="1" si="3"/>
        <v>8182.5277310924375</v>
      </c>
      <c r="D24" s="478">
        <f t="shared" si="4"/>
        <v>0</v>
      </c>
      <c r="E24" s="478">
        <f t="shared" si="5"/>
        <v>22.442506933852279</v>
      </c>
      <c r="F24" s="478">
        <f t="shared" si="6"/>
        <v>3741.3271610158486</v>
      </c>
      <c r="G24" s="478">
        <f t="shared" si="7"/>
        <v>0</v>
      </c>
      <c r="H24" s="478">
        <f t="shared" si="8"/>
        <v>0</v>
      </c>
      <c r="I24" s="478">
        <f t="shared" si="9"/>
        <v>0</v>
      </c>
      <c r="J24" s="478">
        <f t="shared" si="10"/>
        <v>172.50753528472433</v>
      </c>
      <c r="K24" s="478">
        <f t="shared" si="11"/>
        <v>0</v>
      </c>
      <c r="L24" s="478">
        <f t="shared" si="12"/>
        <v>0</v>
      </c>
      <c r="M24" s="478">
        <f t="shared" si="13"/>
        <v>0</v>
      </c>
      <c r="N24" s="478">
        <f t="shared" si="14"/>
        <v>0</v>
      </c>
      <c r="O24" s="478">
        <f t="shared" si="15"/>
        <v>0</v>
      </c>
      <c r="P24" s="479">
        <f t="shared" si="16"/>
        <v>0</v>
      </c>
      <c r="Q24" s="477">
        <f t="shared" ca="1" si="17"/>
        <v>12803.575518686241</v>
      </c>
    </row>
    <row r="25" spans="1:17">
      <c r="A25" s="477" t="s">
        <v>635</v>
      </c>
      <c r="B25" s="478">
        <f t="shared" ca="1" si="2"/>
        <v>2022.112957698926</v>
      </c>
      <c r="C25" s="478">
        <f t="shared" ca="1" si="3"/>
        <v>0</v>
      </c>
      <c r="D25" s="478">
        <f t="shared" si="4"/>
        <v>17209.158509459259</v>
      </c>
      <c r="E25" s="478">
        <f t="shared" si="5"/>
        <v>129.08881506997901</v>
      </c>
      <c r="F25" s="478">
        <f t="shared" si="6"/>
        <v>541.11212941389385</v>
      </c>
      <c r="G25" s="478">
        <f t="shared" si="7"/>
        <v>0</v>
      </c>
      <c r="H25" s="478">
        <f t="shared" si="8"/>
        <v>0</v>
      </c>
      <c r="I25" s="478">
        <f t="shared" si="9"/>
        <v>0</v>
      </c>
      <c r="J25" s="478">
        <f t="shared" si="10"/>
        <v>1.9055317942766943</v>
      </c>
      <c r="K25" s="478">
        <f t="shared" si="11"/>
        <v>0</v>
      </c>
      <c r="L25" s="478">
        <f t="shared" si="12"/>
        <v>0</v>
      </c>
      <c r="M25" s="478">
        <f t="shared" si="13"/>
        <v>0</v>
      </c>
      <c r="N25" s="478">
        <f t="shared" si="14"/>
        <v>0</v>
      </c>
      <c r="O25" s="478">
        <f t="shared" si="15"/>
        <v>0</v>
      </c>
      <c r="P25" s="479">
        <f t="shared" si="16"/>
        <v>0</v>
      </c>
      <c r="Q25" s="477">
        <f t="shared" ca="1" si="17"/>
        <v>19903.377943436335</v>
      </c>
    </row>
    <row r="26" spans="1:17" s="483" customFormat="1">
      <c r="A26" s="481" t="s">
        <v>561</v>
      </c>
      <c r="B26" s="835">
        <f t="shared" ca="1" si="2"/>
        <v>4.9520593449592587</v>
      </c>
      <c r="C26" s="482"/>
      <c r="D26" s="482">
        <f t="shared" si="4"/>
        <v>18.573448312081723</v>
      </c>
      <c r="E26" s="482">
        <f t="shared" si="5"/>
        <v>27.520016729059801</v>
      </c>
      <c r="F26" s="482"/>
      <c r="G26" s="482">
        <f t="shared" si="7"/>
        <v>11268.277974834731</v>
      </c>
      <c r="H26" s="482">
        <f t="shared" si="8"/>
        <v>2569.7984757227409</v>
      </c>
      <c r="I26" s="482"/>
      <c r="J26" s="482"/>
      <c r="K26" s="482"/>
      <c r="L26" s="482"/>
      <c r="M26" s="482">
        <f t="shared" si="13"/>
        <v>0</v>
      </c>
      <c r="N26" s="482"/>
      <c r="O26" s="482"/>
      <c r="P26" s="493"/>
      <c r="Q26" s="481">
        <f t="shared" ca="1" si="17"/>
        <v>13889.121974943573</v>
      </c>
    </row>
    <row r="27" spans="1:17">
      <c r="A27" s="477" t="s">
        <v>551</v>
      </c>
      <c r="B27" s="478">
        <f t="shared" ca="1" si="2"/>
        <v>0</v>
      </c>
      <c r="C27" s="478"/>
      <c r="D27" s="482">
        <f t="shared" si="4"/>
        <v>0</v>
      </c>
      <c r="E27" s="478"/>
      <c r="F27" s="478"/>
      <c r="G27" s="478">
        <f t="shared" si="7"/>
        <v>291.09801246574239</v>
      </c>
      <c r="H27" s="478"/>
      <c r="I27" s="478"/>
      <c r="J27" s="478"/>
      <c r="K27" s="478"/>
      <c r="L27" s="478"/>
      <c r="M27" s="478">
        <f t="shared" si="13"/>
        <v>0</v>
      </c>
      <c r="N27" s="478"/>
      <c r="O27" s="478"/>
      <c r="P27" s="479"/>
      <c r="Q27" s="477">
        <f t="shared" ca="1" si="17"/>
        <v>291.09801246574239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9666.5499975399944</v>
      </c>
      <c r="C31" s="488">
        <f t="shared" ca="1" si="18"/>
        <v>8182.5277310924375</v>
      </c>
      <c r="D31" s="488">
        <f t="shared" ca="1" si="18"/>
        <v>31012.393269046872</v>
      </c>
      <c r="E31" s="488">
        <f t="shared" si="18"/>
        <v>1805.9166893297015</v>
      </c>
      <c r="F31" s="488">
        <f t="shared" ca="1" si="18"/>
        <v>8000.3715093493847</v>
      </c>
      <c r="G31" s="488">
        <f t="shared" si="18"/>
        <v>11559.375987300473</v>
      </c>
      <c r="H31" s="488">
        <f t="shared" si="18"/>
        <v>2569.7984757227409</v>
      </c>
      <c r="I31" s="488">
        <f t="shared" si="18"/>
        <v>0</v>
      </c>
      <c r="J31" s="488">
        <f t="shared" si="18"/>
        <v>1019.4670423922373</v>
      </c>
      <c r="K31" s="488">
        <f t="shared" si="18"/>
        <v>0</v>
      </c>
      <c r="L31" s="488">
        <f t="shared" ca="1" si="18"/>
        <v>0</v>
      </c>
      <c r="M31" s="488">
        <f t="shared" si="18"/>
        <v>0</v>
      </c>
      <c r="N31" s="488">
        <f t="shared" ca="1" si="18"/>
        <v>0</v>
      </c>
      <c r="O31" s="488">
        <f t="shared" si="18"/>
        <v>0</v>
      </c>
      <c r="P31" s="489">
        <f t="shared" si="18"/>
        <v>0</v>
      </c>
      <c r="Q31" s="489">
        <f t="shared" ca="1" si="18"/>
        <v>73816.400701773833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0.20358430934757213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0.20358430934757213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0.20358430934757213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2019-01-01T21:19:44Z</dcterms:modified>
</cp:coreProperties>
</file>