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O60"/>
  <c r="C6" i="17" s="1"/>
  <c r="N60" i="18"/>
  <c r="M60"/>
  <c r="W59"/>
  <c r="V59"/>
  <c r="U59"/>
  <c r="T59"/>
  <c r="S59"/>
  <c r="R59"/>
  <c r="Q59"/>
  <c r="P59"/>
  <c r="O59"/>
  <c r="C13" i="15" s="1"/>
  <c r="N59" i="18"/>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13" i="15"/>
  <c r="F6" i="17"/>
  <c r="D16" i="16"/>
  <c r="B8" i="9"/>
  <c r="D6" i="17"/>
  <c r="I8" i="18"/>
  <c r="J68" i="14" s="1"/>
  <c r="O4" i="48"/>
  <c r="E16"/>
  <c r="I16"/>
  <c r="F16"/>
  <c r="J16"/>
  <c r="K16"/>
  <c r="K24" s="1"/>
  <c r="D16"/>
  <c r="D27" s="1"/>
  <c r="H16"/>
  <c r="H28"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K25"/>
  <c r="Q11" i="14"/>
  <c r="P12" i="13"/>
  <c r="Q37" i="14" s="1"/>
  <c r="P4" i="48"/>
  <c r="P21" s="1"/>
  <c r="D12" i="13"/>
  <c r="E37" i="14" s="1"/>
  <c r="D4" i="48"/>
  <c r="E11" i="14"/>
  <c r="G25" i="48"/>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D10" i="14"/>
  <c r="M17" i="18"/>
  <c r="M18"/>
  <c r="K28" i="48" l="1"/>
  <c r="J24"/>
  <c r="D28"/>
  <c r="D30"/>
  <c r="H25"/>
  <c r="H24"/>
  <c r="D21"/>
  <c r="H21"/>
  <c r="K21"/>
  <c r="K31" s="1"/>
  <c r="K22"/>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Q15" i="14" l="1"/>
  <c r="Q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B22" i="6" l="1"/>
  <c r="C20" i="16" s="1"/>
  <c r="C22" s="1"/>
  <c r="D39" i="14" s="1"/>
  <c r="J5" i="48"/>
  <c r="J22" s="1"/>
  <c r="E41" i="14"/>
  <c r="E53" s="1"/>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7" i="19"/>
  <c r="C19" s="1"/>
  <c r="D35" i="14" s="1"/>
  <c r="C29" i="20"/>
  <c r="C17" i="49"/>
  <c r="C56" i="22"/>
  <c r="C58" s="1"/>
  <c r="D44" i="14" s="1"/>
  <c r="D46" s="1"/>
  <c r="Q4" i="48"/>
  <c r="N22"/>
  <c r="R11" i="14"/>
  <c r="J21" i="48"/>
  <c r="Q5" l="1"/>
  <c r="C10" i="13"/>
  <c r="C16" i="48" s="1"/>
  <c r="C18" i="15"/>
  <c r="C20" s="1"/>
  <c r="D36" i="14" s="1"/>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E14" i="48"/>
  <c r="N25"/>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<sst xmlns="http://schemas.openxmlformats.org/spreadsheetml/2006/main" count="2108" uniqueCount="851">
  <si>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</si>
  <si>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</si>
  <si>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</si>
  <si>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</si>
  <si>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</si>
  <si>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</si>
  <si>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</si>
  <si>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</si>
  <si>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</si>
  <si>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</si>
  <si>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</si>
  <si>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</si>
  <si>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</si>
  <si>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</si>
  <si>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</si>
  <si>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</si>
  <si>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</si>
  <si>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</si>
  <si>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</si>
  <si>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</si>
  <si>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</si>
  <si>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</si>
  <si>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</si>
  <si>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</si>
  <si>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</si>
  <si>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</si>
  <si>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</si>
  <si>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</si>
  <si>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</si>
  <si>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</si>
  <si>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</si>
  <si>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</si>
  <si>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</si>
  <si>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</si>
  <si>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</si>
  <si>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</si>
  <si>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</si>
  <si>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</si>
  <si>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</si>
  <si>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</si>
  <si>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</si>
  <si>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</si>
  <si>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</si>
  <si>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</si>
  <si>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</si>
  <si>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</si>
  <si>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</si>
  <si>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</si>
  <si>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</si>
  <si>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</si>
  <si>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</si>
  <si>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</si>
  <si>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</si>
  <si>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</si>
  <si>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</si>
  <si>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</si>
  <si>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</si>
  <si>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</si>
  <si>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</si>
  <si>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</si>
  <si>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</si>
  <si>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</si>
  <si>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</si>
  <si>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</si>
  <si>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</si>
  <si>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</si>
  <si>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</si>
  <si>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</si>
  <si>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</si>
  <si>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</si>
  <si>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</si>
  <si>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</si>
  <si>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</si>
  <si>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</si>
  <si>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</si>
  <si>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</si>
  <si>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</si>
  <si>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</si>
  <si>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</si>
  <si>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</si>
  <si>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</si>
  <si>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</si>
  <si>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</si>
  <si>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</si>
  <si>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</si>
  <si>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</si>
  <si>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</si>
  <si>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</si>
  <si>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</si>
  <si>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</si>
  <si>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</si>
  <si>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</si>
  <si>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</si>
  <si>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</si>
  <si>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</si>
  <si>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</si>
  <si>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</si>
  <si>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</si>
  <si>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</si>
  <si>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</si>
  <si>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</si>
  <si>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</si>
  <si>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</si>
  <si>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</si>
  <si>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</si>
  <si>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</si>
  <si>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</si>
  <si>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</si>
  <si>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</si>
  <si>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</si>
  <si>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</si>
  <si>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</si>
  <si>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</si>
  <si>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</si>
  <si>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</si>
  <si>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</si>
  <si>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</si>
  <si>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</si>
  <si>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</si>
  <si>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</si>
  <si>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</si>
  <si>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</si>
  <si>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</si>
  <si>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</si>
  <si>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</si>
  <si>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</si>
  <si>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</si>
  <si>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</si>
  <si>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</si>
  <si>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</si>
  <si>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</si>
  <si>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</si>
  <si>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</si>
  <si>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</si>
  <si>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</si>
  <si>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</si>
  <si>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</si>
  <si>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</si>
  <si>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</si>
  <si>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</si>
  <si>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</si>
  <si>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</si>
  <si>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</si>
  <si>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</si>
  <si>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</si>
  <si>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</si>
  <si>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</si>
  <si>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</si>
  <si>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</si>
  <si>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</si>
  <si>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</si>
  <si>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</si>
  <si>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</si>
  <si>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</si>
  <si>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</si>
  <si>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</si>
  <si>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</si>
  <si>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</si>
  <si>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</si>
  <si>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</si>
  <si>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</si>
  <si>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</si>
  <si>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</si>
  <si>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</si>
  <si>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</si>
  <si>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</si>
  <si>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</si>
  <si>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</si>
  <si>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</si>
  <si>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</si>
  <si>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</si>
  <si>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</si>
  <si>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</si>
  <si>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</si>
  <si>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</si>
  <si>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</si>
  <si>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</si>
  <si>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</si>
  <si>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</si>
  <si>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</si>
  <si>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</si>
  <si>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</si>
  <si>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</si>
  <si>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</si>
  <si>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</si>
  <si>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</si>
  <si>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</si>
  <si>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</si>
  <si>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</si>
  <si>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</si>
  <si>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</si>
  <si>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</si>
  <si>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</si>
  <si>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</si>
  <si>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</si>
  <si>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</si>
  <si>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</si>
  <si>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</si>
  <si>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</si>
  <si>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</si>
  <si>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</si>
  <si>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</si>
  <si>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</si>
  <si>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</si>
  <si>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</si>
  <si>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</si>
  <si>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</si>
  <si>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</si>
  <si>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</si>
  <si>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</si>
  <si>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</si>
  <si>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</si>
  <si>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</si>
  <si>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</si>
  <si>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</si>
  <si>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</si>
  <si>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</si>
  <si>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</si>
  <si>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</si>
  <si>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</si>
  <si>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</si>
  <si>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</si>
  <si>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</si>
  <si>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</si>
  <si>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</si>
  <si>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</si>
  <si>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</si>
  <si>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</si>
  <si>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</si>
  <si>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</si>
  <si>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</si>
  <si>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</si>
  <si>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</si>
  <si>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</si>
  <si>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</si>
  <si>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</si>
  <si>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</si>
  <si>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</si>
  <si>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</si>
  <si>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</si>
  <si>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</si>
  <si>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</si>
  <si>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</si>
  <si>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</si>
  <si>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</si>
  <si>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</si>
  <si>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</si>
  <si>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</si>
  <si>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</si>
  <si>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</si>
  <si>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</si>
  <si>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</si>
  <si>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</si>
  <si>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</si>
  <si>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</si>
  <si>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</si>
  <si>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</si>
  <si>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</si>
  <si>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</si>
  <si>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</si>
  <si>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</si>
  <si>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</si>
  <si>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</si>
  <si>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</si>
  <si>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</si>
  <si>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</si>
  <si>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</si>
  <si>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</si>
  <si>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</si>
  <si>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</si>
  <si>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</si>
  <si>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</si>
  <si>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</si>
  <si>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</si>
  <si>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</si>
  <si>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</si>
  <si>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</si>
  <si>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</si>
  <si>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</si>
  <si>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</si>
  <si>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</si>
  <si>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</si>
  <si>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</si>
  <si>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</si>
  <si>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</si>
  <si>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</si>
  <si>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</si>
  <si>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</si>
  <si>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</si>
  <si>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</si>
  <si>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</si>
  <si>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</si>
  <si>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</si>
  <si>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</si>
  <si>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</si>
  <si>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</si>
  <si>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</si>
  <si>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</si>
  <si>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</si>
  <si>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</si>
  <si>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</si>
  <si>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</si>
  <si>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</si>
  <si>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</si>
  <si>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</si>
  <si>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</si>
  <si>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</si>
  <si>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</si>
  <si>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</si>
  <si>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</si>
  <si>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</si>
  <si>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</si>
  <si>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</si>
  <si>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</si>
  <si>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</si>
  <si>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</si>
  <si>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</si>
  <si>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</si>
  <si>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</si>
  <si>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</si>
  <si>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</si>
  <si>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</si>
  <si>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</si>
  <si>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</si>
  <si>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</si>
  <si>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</si>
  <si>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</si>
  <si>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</si>
  <si>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</si>
  <si>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</si>
  <si>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</si>
  <si>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</si>
  <si>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</si>
  <si>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</si>
  <si>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</si>
  <si>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</si>
  <si>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</si>
  <si>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</si>
  <si>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</si>
  <si>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</si>
  <si>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</si>
  <si>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</si>
  <si>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</si>
  <si>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</si>
  <si>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</si>
  <si>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</si>
  <si>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</si>
  <si>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</si>
  <si>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</si>
  <si>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</si>
  <si>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</si>
  <si>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</si>
  <si>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</si>
  <si>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</si>
  <si>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</si>
  <si>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</si>
  <si>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</si>
  <si>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</si>
  <si>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</si>
  <si>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</si>
  <si>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</si>
  <si>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</si>
  <si>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</si>
  <si>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</si>
  <si>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</si>
  <si>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</si>
  <si>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</si>
  <si>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</si>
  <si>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</si>
  <si>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</si>
  <si>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</si>
  <si>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</si>
  <si>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</si>
  <si>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</si>
  <si>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</si>
  <si>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</si>
  <si>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</si>
  <si>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</si>
  <si>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</si>
  <si>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</si>
  <si>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</si>
  <si>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</si>
  <si>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</si>
  <si>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</si>
  <si>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</si>
  <si>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</si>
  <si>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</si>
  <si>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</si>
  <si>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</si>
  <si>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</si>
  <si>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</si>
  <si>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</si>
  <si>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</si>
  <si>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</si>
  <si>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</si>
  <si>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</si>
  <si>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</si>
  <si>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</si>
  <si>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</si>
  <si>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</si>
  <si>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</si>
  <si>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</si>
  <si>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</si>
  <si>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</si>
  <si>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</si>
  <si>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</si>
  <si>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</si>
  <si>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</si>
  <si>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</si>
  <si>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</si>
  <si>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</si>
  <si>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</si>
  <si>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</si>
  <si>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</si>
  <si>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</si>
  <si>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</si>
  <si>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</si>
  <si>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</si>
  <si>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</si>
  <si>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</si>
  <si>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</si>
  <si>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</si>
  <si>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</si>
  <si>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</si>
  <si>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</si>
  <si>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</si>
  <si>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</si>
  <si>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</si>
  <si>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</si>
  <si>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</si>
  <si>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</si>
  <si>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</si>
  <si>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</si>
  <si>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</si>
  <si>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</si>
  <si>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</si>
  <si>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</si>
  <si>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</si>
  <si>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</si>
  <si>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</si>
  <si>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</si>
  <si>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</si>
  <si>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</si>
  <si>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</si>
  <si>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</si>
  <si>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</si>
  <si>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</si>
  <si>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</si>
  <si>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</si>
  <si>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</si>
  <si>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</si>
  <si>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</si>
  <si>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</si>
  <si>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</si>
  <si>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</si>
  <si>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</si>
  <si>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</si>
  <si>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</si>
  <si>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</si>
  <si>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</si>
  <si>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</si>
  <si>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</si>
  <si>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</si>
  <si>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</si>
  <si>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</si>
  <si>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</si>
  <si>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</si>
  <si>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</si>
  <si>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</si>
  <si>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</si>
  <si>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</si>
  <si>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</si>
  <si>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</si>
  <si>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</si>
  <si>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</si>
  <si>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</si>
  <si>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</si>
  <si>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</si>
  <si>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</si>
  <si>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</si>
  <si>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</si>
  <si>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</si>
  <si>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</si>
  <si>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</si>
  <si>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</si>
  <si>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</si>
  <si>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</si>
  <si>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</si>
  <si>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</si>
  <si>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</si>
  <si>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</si>
  <si>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</si>
  <si>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</si>
  <si>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</si>
  <si>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</si>
  <si>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</si>
  <si>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</si>
  <si>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</si>
  <si>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</si>
  <si>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</si>
  <si>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</si>
  <si>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</si>
  <si>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</si>
  <si>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</si>
  <si>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</si>
  <si>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</si>
  <si>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</si>
  <si>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</si>
  <si>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</si>
  <si>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</si>
  <si>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</si>
  <si>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</si>
  <si>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</si>
  <si>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</si>
  <si>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</si>
  <si>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</si>
  <si>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</si>
  <si>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</si>
  <si>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</si>
  <si>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</si>
  <si>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</si>
  <si>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</si>
  <si>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</si>
  <si>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</si>
  <si>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</si>
  <si>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</si>
  <si>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</si>
  <si>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</si>
  <si>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</si>
  <si>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</si>
  <si>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</si>
  <si>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</si>
  <si>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</si>
  <si>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</si>
  <si>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</si>
  <si>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</si>
  <si>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</si>
  <si>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</si>
  <si>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</si>
  <si>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</si>
  <si>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</si>
  <si>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</si>
  <si>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</si>
  <si>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</si>
  <si>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</si>
  <si>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</si>
  <si>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</si>
  <si>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</si>
  <si>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</si>
  <si>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</si>
  <si>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</si>
  <si>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</si>
  <si>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</si>
  <si>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</si>
  <si>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</si>
  <si>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</si>
  <si>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</si>
  <si>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</si>
  <si>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</si>
  <si>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</si>
  <si>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</si>
  <si>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</si>
  <si>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</si>
  <si>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</si>
  <si>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</si>
  <si>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</si>
  <si>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</si>
  <si>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</si>
  <si>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</si>
  <si>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</si>
  <si>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</si>
  <si>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</si>
  <si>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</si>
  <si>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</si>
  <si>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</si>
  <si>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</si>
  <si>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</si>
  <si>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</si>
  <si>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</si>
  <si>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</si>
  <si>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</si>
  <si>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</si>
  <si>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</si>
  <si>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</si>
  <si>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</si>
  <si>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</si>
  <si>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</si>
  <si>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</si>
  <si>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</si>
  <si>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</si>
  <si>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</si>
  <si>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</si>
  <si>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</si>
  <si>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</si>
  <si>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</si>
  <si>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</si>
  <si>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</si>
  <si>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</si>
  <si>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</si>
  <si>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</si>
  <si>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</si>
  <si>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</si>
  <si>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</si>
  <si>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</si>
  <si>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</si>
  <si>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</si>
  <si>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</si>
  <si>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</si>
  <si>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</si>
  <si>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</si>
  <si>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</si>
  <si>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</si>
  <si>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</si>
  <si>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</si>
  <si>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</si>
  <si>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</si>
  <si>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</si>
  <si>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</si>
  <si>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</si>
  <si>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</si>
  <si>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</si>
  <si>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</si>
  <si>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</si>
  <si>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</si>
  <si>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</si>
  <si>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</si>
  <si>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</si>
  <si>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</si>
  <si>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</si>
  <si>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</si>
  <si>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</si>
  <si>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</si>
  <si>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</si>
  <si>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</si>
  <si>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</si>
  <si>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</si>
  <si>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</si>
  <si>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</si>
  <si>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</si>
  <si>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</si>
  <si>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</si>
  <si>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</si>
  <si>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</si>
  <si>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</si>
  <si>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</si>
  <si>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</si>
  <si>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</si>
  <si>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</si>
  <si>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</si>
  <si>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</si>
  <si>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</si>
  <si>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</si>
  <si>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</si>
  <si>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</si>
  <si>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</si>
  <si>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</si>
  <si>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</si>
  <si>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</si>
  <si>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</si>
  <si>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</si>
  <si>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</si>
  <si>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</si>
  <si>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</si>
  <si>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</si>
  <si>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</si>
  <si>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</si>
  <si>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</si>
  <si>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</si>
  <si>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</si>
  <si>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</si>
  <si>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</si>
  <si>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</si>
  <si>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</si>
  <si>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</si>
  <si>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</si>
  <si>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</si>
  <si>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</si>
  <si>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</si>
  <si>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</si>
  <si>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</si>
  <si>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</si>
  <si>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</si>
  <si>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</si>
  <si>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</si>
  <si>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</si>
  <si>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</si>
  <si>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</si>
  <si>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</si>
  <si>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</si>
  <si>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</si>
  <si>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</si>
  <si>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</si>
  <si>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</si>
  <si>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</si>
  <si>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</si>
  <si>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</si>
  <si>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</si>
  <si>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</si>
  <si>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</si>
  <si>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</si>
  <si>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</si>
  <si>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</si>
  <si>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</si>
  <si>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</si>
  <si>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</si>
  <si>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</si>
  <si>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</si>
  <si>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</si>
  <si>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</si>
  <si>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</si>
  <si>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</si>
  <si>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</si>
  <si>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</si>
  <si>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</si>
  <si>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</si>
  <si>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</si>
  <si>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</si>
  <si>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</si>
  <si>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</si>
  <si>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</si>
  <si>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</si>
  <si>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</si>
  <si>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</si>
  <si>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</si>
  <si>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</si>
  <si>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</si>
  <si>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</si>
  <si>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</si>
  <si>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</si>
  <si>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</si>
  <si>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</si>
  <si>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</si>
  <si>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</si>
  <si>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</si>
  <si>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</si>
  <si>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</si>
  <si>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</si>
  <si>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</si>
  <si>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</si>
  <si>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</si>
  <si>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</si>
  <si>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</si>
  <si>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</si>
  <si>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</si>
  <si>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</si>
  <si>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</si>
  <si>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</si>
  <si>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</si>
  <si>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</si>
  <si>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</si>
  <si>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</si>
  <si>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</si>
  <si>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</si>
  <si>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</si>
  <si>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</si>
  <si>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</si>
  <si>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</si>
  <si>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</si>
  <si>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</si>
  <si>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</si>
  <si>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</si>
  <si>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</si>
  <si>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</si>
  <si>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</si>
  <si>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</si>
  <si>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</si>
  <si>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</si>
  <si>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</si>
  <si>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</si>
  <si>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</si>
  <si>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</si>
  <si>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</si>
  <si>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</si>
  <si>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</si>
  <si>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</si>
  <si>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</si>
  <si>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</si>
  <si>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</si>
  <si>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</si>
  <si>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</si>
  <si>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</si>
  <si>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</si>
  <si>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</si>
  <si>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</si>
  <si>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</si>
  <si>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</si>
  <si>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</si>
  <si>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</si>
  <si>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</si>
  <si>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</si>
  <si>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</si>
  <si>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</si>
  <si>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</si>
  <si>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</si>
  <si>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</si>
  <si>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</si>
  <si>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</si>
  <si>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</si>
  <si>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</si>
  <si>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</si>
  <si>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</si>
  <si>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</si>
  <si>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</si>
  <si>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</si>
  <si>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</si>
  <si>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</si>
  <si>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</si>
  <si>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</si>
  <si>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</si>
  <si>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</si>
  <si>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</si>
  <si>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</si>
  <si>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</si>
  <si>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</si>
  <si>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</si>
  <si>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</si>
  <si>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</si>
  <si>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</si>
  <si>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</si>
  <si>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</si>
  <si>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</si>
  <si>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</si>
  <si>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</si>
  <si>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</si>
  <si>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</si>
  <si>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</si>
  <si>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</si>
  <si>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</si>
  <si>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</si>
  <si>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</si>
  <si>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</si>
  <si>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</si>
  <si>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</si>
  <si>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</si>
  <si>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</si>
  <si>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</si>
  <si>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34027</t>
  </si>
  <si>
    <t>MENEN</t>
  </si>
  <si>
    <t>Eandis (januari 2018); Infrax (juni 2018)</t>
  </si>
  <si>
    <t>MOW (september 2017)</t>
  </si>
  <si>
    <t>referentietaak LNE (2017); Jaarverslag De Lijn (2016)</t>
  </si>
  <si>
    <t>VEA (april 2018)</t>
  </si>
  <si>
    <t>VEA (januari 2017)</t>
  </si>
  <si>
    <t>VEA (juni 2018)</t>
  </si>
  <si>
    <t>Leiestroom NV</t>
  </si>
  <si>
    <t>Dulle-Grietlaan 17/6 , 9050 Gentbrugge</t>
  </si>
  <si>
    <t>WKK-0533 Leiestroom</t>
  </si>
  <si>
    <t>interne verbrandingsmotor</t>
  </si>
  <si>
    <t>WKK interne verbrandinsgmotor (gas)</t>
  </si>
  <si>
    <t>Ropswalle 26 , 8930 Menen</t>
  </si>
  <si>
    <t>GASELWEST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</si>
</sst>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231703.74630104267</c:v>
                </c:pt>
                <c:pt idx="1">
                  <c:v>151051.12912062564</c:v>
                </c:pt>
                <c:pt idx="2">
                  <c:v>2293.3820000000001</c:v>
                </c:pt>
                <c:pt idx="3">
                  <c:v>10475.218567462909</c:v>
                </c:pt>
                <c:pt idx="4">
                  <c:v>128529.63182745336</c:v>
                </c:pt>
                <c:pt idx="5">
                  <c:v>197875.13454129966</c:v>
                </c:pt>
                <c:pt idx="6">
                  <c:v>2270.5413223567843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83776"/>
        <c:axId val="183493760"/>
      </c:barChart>
      <c:catAx>
        <c:axId val="183483776"/>
        <c:scaling>
          <c:orientation val="minMax"/>
        </c:scaling>
        <c:axPos val="b"/>
        <c:numFmt formatCode="General" sourceLinked="0"/>
        <c:tickLblPos val="nextTo"/>
        <c:crossAx val="183493760"/>
        <c:crosses val="autoZero"/>
        <c:auto val="1"/>
        <c:lblAlgn val="ctr"/>
        <c:lblOffset val="100"/>
      </c:catAx>
      <c:valAx>
        <c:axId val="183493760"/>
        <c:scaling>
          <c:orientation val="minMax"/>
        </c:scaling>
        <c:axPos val="l"/>
        <c:majorGridlines>
          <c:spPr>
            <a:ln>
              <a:noFill/>
            </a:ln>
          </c:spPr>
        </c:majorGridlines>
        <c:numFmt formatCode="#,##0" sourceLinked="1"/>
        <c:tickLblPos val="nextTo"/>
        <c:crossAx val="1834837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231703.74630104267</c:v>
                </c:pt>
                <c:pt idx="1">
                  <c:v>151051.12912062564</c:v>
                </c:pt>
                <c:pt idx="2">
                  <c:v>2293.3820000000001</c:v>
                </c:pt>
                <c:pt idx="3">
                  <c:v>10475.218567462909</c:v>
                </c:pt>
                <c:pt idx="4">
                  <c:v>128529.63182745336</c:v>
                </c:pt>
                <c:pt idx="5">
                  <c:v>197875.13454129966</c:v>
                </c:pt>
                <c:pt idx="6">
                  <c:v>2270.5413223567843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42544.818415428686</c:v>
                </c:pt>
                <c:pt idx="1">
                  <c:v>25161.899326471532</c:v>
                </c:pt>
                <c:pt idx="2">
                  <c:v>397.54339764985303</c:v>
                </c:pt>
                <c:pt idx="3">
                  <c:v>2384.4233270319273</c:v>
                </c:pt>
                <c:pt idx="4">
                  <c:v>23977.577288568529</c:v>
                </c:pt>
                <c:pt idx="5">
                  <c:v>49564.105441749416</c:v>
                </c:pt>
                <c:pt idx="6">
                  <c:v>573.65354419630069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42544.818415428686</c:v>
                </c:pt>
                <c:pt idx="1">
                  <c:v>25161.899326471532</c:v>
                </c:pt>
                <c:pt idx="2">
                  <c:v>397.54339764985303</c:v>
                </c:pt>
                <c:pt idx="3">
                  <c:v>2384.4233270319273</c:v>
                </c:pt>
                <c:pt idx="4">
                  <c:v>23977.577288568529</c:v>
                </c:pt>
                <c:pt idx="5">
                  <c:v>49564.105441749416</c:v>
                </c:pt>
                <c:pt idx="6">
                  <c:v>573.65354419630069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34027</v>
      </c>
      <c r="B6" s="415"/>
      <c r="C6" s="416"/>
    </row>
    <row r="7" spans="1:7" s="413" customFormat="1" ht="15.75" customHeight="1">
      <c r="A7" s="417" t="str">
        <f>txtMunicipality</f>
        <v>MENEN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14225</v>
      </c>
      <c r="C9" s="342">
        <v>14721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1469.88</v>
      </c>
    </row>
    <row r="15" spans="1:6">
      <c r="A15" s="348" t="s">
        <v>184</v>
      </c>
      <c r="B15" s="334">
        <v>18</v>
      </c>
    </row>
    <row r="16" spans="1:6">
      <c r="A16" s="348" t="s">
        <v>6</v>
      </c>
      <c r="B16" s="334">
        <v>511</v>
      </c>
    </row>
    <row r="17" spans="1:6">
      <c r="A17" s="348" t="s">
        <v>7</v>
      </c>
      <c r="B17" s="334">
        <v>325</v>
      </c>
    </row>
    <row r="18" spans="1:6">
      <c r="A18" s="348" t="s">
        <v>8</v>
      </c>
      <c r="B18" s="334">
        <v>422</v>
      </c>
    </row>
    <row r="19" spans="1:6">
      <c r="A19" s="348" t="s">
        <v>9</v>
      </c>
      <c r="B19" s="334">
        <v>428</v>
      </c>
    </row>
    <row r="20" spans="1:6">
      <c r="A20" s="348" t="s">
        <v>10</v>
      </c>
      <c r="B20" s="334">
        <v>431</v>
      </c>
    </row>
    <row r="21" spans="1:6">
      <c r="A21" s="348" t="s">
        <v>11</v>
      </c>
      <c r="B21" s="334">
        <v>2758</v>
      </c>
    </row>
    <row r="22" spans="1:6">
      <c r="A22" s="348" t="s">
        <v>12</v>
      </c>
      <c r="B22" s="334">
        <v>8006</v>
      </c>
    </row>
    <row r="23" spans="1:6">
      <c r="A23" s="348" t="s">
        <v>13</v>
      </c>
      <c r="B23" s="334">
        <v>153</v>
      </c>
    </row>
    <row r="24" spans="1:6">
      <c r="A24" s="348" t="s">
        <v>14</v>
      </c>
      <c r="B24" s="334">
        <v>4</v>
      </c>
    </row>
    <row r="25" spans="1:6">
      <c r="A25" s="348" t="s">
        <v>15</v>
      </c>
      <c r="B25" s="334">
        <v>659</v>
      </c>
    </row>
    <row r="26" spans="1:6">
      <c r="A26" s="348" t="s">
        <v>16</v>
      </c>
      <c r="B26" s="334">
        <v>175</v>
      </c>
    </row>
    <row r="27" spans="1:6">
      <c r="A27" s="348" t="s">
        <v>17</v>
      </c>
      <c r="B27" s="334">
        <v>1</v>
      </c>
    </row>
    <row r="28" spans="1:6" s="356" customFormat="1">
      <c r="A28" s="355" t="s">
        <v>18</v>
      </c>
      <c r="B28" s="355">
        <v>116719</v>
      </c>
    </row>
    <row r="29" spans="1:6">
      <c r="A29" s="355" t="s">
        <v>744</v>
      </c>
      <c r="B29" s="355">
        <v>103</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28190.774397721401</v>
      </c>
      <c r="E36" s="334">
        <v>6</v>
      </c>
      <c r="F36" s="334">
        <v>17197.232966882599</v>
      </c>
    </row>
    <row r="37" spans="1:6">
      <c r="A37" s="348" t="s">
        <v>25</v>
      </c>
      <c r="B37" s="348" t="s">
        <v>28</v>
      </c>
      <c r="C37" s="334">
        <v>0</v>
      </c>
      <c r="D37" s="334">
        <v>0</v>
      </c>
      <c r="E37" s="334">
        <v>0</v>
      </c>
      <c r="F37" s="334">
        <v>0</v>
      </c>
    </row>
    <row r="38" spans="1:6">
      <c r="A38" s="348" t="s">
        <v>25</v>
      </c>
      <c r="B38" s="348" t="s">
        <v>29</v>
      </c>
      <c r="C38" s="334">
        <v>0</v>
      </c>
      <c r="D38" s="334">
        <v>0</v>
      </c>
      <c r="E38" s="334">
        <v>2</v>
      </c>
      <c r="F38" s="334">
        <v>11817</v>
      </c>
    </row>
    <row r="39" spans="1:6">
      <c r="A39" s="348" t="s">
        <v>30</v>
      </c>
      <c r="B39" s="348" t="s">
        <v>31</v>
      </c>
      <c r="C39" s="334">
        <v>12247</v>
      </c>
      <c r="D39" s="334">
        <v>168960702.500727</v>
      </c>
      <c r="E39" s="334">
        <v>14160</v>
      </c>
      <c r="F39" s="334">
        <v>42851942.198674202</v>
      </c>
    </row>
    <row r="40" spans="1:6">
      <c r="A40" s="348" t="s">
        <v>30</v>
      </c>
      <c r="B40" s="348" t="s">
        <v>29</v>
      </c>
      <c r="C40" s="334">
        <v>0</v>
      </c>
      <c r="D40" s="334">
        <v>0</v>
      </c>
      <c r="E40" s="334">
        <v>0</v>
      </c>
      <c r="F40" s="334">
        <v>0</v>
      </c>
    </row>
    <row r="41" spans="1:6">
      <c r="A41" s="348" t="s">
        <v>32</v>
      </c>
      <c r="B41" s="348" t="s">
        <v>33</v>
      </c>
      <c r="C41" s="334">
        <v>173</v>
      </c>
      <c r="D41" s="334">
        <v>3442117.4671403398</v>
      </c>
      <c r="E41" s="334">
        <v>313</v>
      </c>
      <c r="F41" s="334">
        <v>13201109.548433499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264860.20927647298</v>
      </c>
      <c r="E44" s="334">
        <v>42</v>
      </c>
      <c r="F44" s="334">
        <v>1420872.75486936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73997.384650822103</v>
      </c>
      <c r="E47" s="334">
        <v>4</v>
      </c>
      <c r="F47" s="334">
        <v>42200.391058137997</v>
      </c>
    </row>
    <row r="48" spans="1:6">
      <c r="A48" s="348" t="s">
        <v>32</v>
      </c>
      <c r="B48" s="348" t="s">
        <v>29</v>
      </c>
      <c r="C48" s="334">
        <v>51</v>
      </c>
      <c r="D48" s="334">
        <v>55317382.346971601</v>
      </c>
      <c r="E48" s="334">
        <v>55</v>
      </c>
      <c r="F48" s="334">
        <v>22168365.5149673</v>
      </c>
    </row>
    <row r="49" spans="1:6">
      <c r="A49" s="348" t="s">
        <v>32</v>
      </c>
      <c r="B49" s="348" t="s">
        <v>40</v>
      </c>
      <c r="C49" s="334">
        <v>4</v>
      </c>
      <c r="D49" s="334">
        <v>928983.18177864503</v>
      </c>
      <c r="E49" s="334">
        <v>12</v>
      </c>
      <c r="F49" s="334">
        <v>1588018.4453279399</v>
      </c>
    </row>
    <row r="50" spans="1:6">
      <c r="A50" s="348" t="s">
        <v>32</v>
      </c>
      <c r="B50" s="348" t="s">
        <v>41</v>
      </c>
      <c r="C50" s="334">
        <v>55</v>
      </c>
      <c r="D50" s="334">
        <v>3754449.2990735802</v>
      </c>
      <c r="E50" s="334">
        <v>114</v>
      </c>
      <c r="F50" s="334">
        <v>2237524.4250176498</v>
      </c>
    </row>
    <row r="51" spans="1:6">
      <c r="A51" s="348" t="s">
        <v>42</v>
      </c>
      <c r="B51" s="348" t="s">
        <v>43</v>
      </c>
      <c r="C51" s="334">
        <v>7</v>
      </c>
      <c r="D51" s="334">
        <v>151616.24485066801</v>
      </c>
      <c r="E51" s="334">
        <v>60</v>
      </c>
      <c r="F51" s="334">
        <v>894822.82361182896</v>
      </c>
    </row>
    <row r="52" spans="1:6">
      <c r="A52" s="348" t="s">
        <v>42</v>
      </c>
      <c r="B52" s="348" t="s">
        <v>29</v>
      </c>
      <c r="C52" s="334">
        <v>5</v>
      </c>
      <c r="D52" s="334">
        <v>216593.24553024801</v>
      </c>
      <c r="E52" s="334">
        <v>8</v>
      </c>
      <c r="F52" s="334">
        <v>118551.17747353599</v>
      </c>
    </row>
    <row r="53" spans="1:6">
      <c r="A53" s="348" t="s">
        <v>44</v>
      </c>
      <c r="B53" s="348" t="s">
        <v>45</v>
      </c>
      <c r="C53" s="334">
        <v>336</v>
      </c>
      <c r="D53" s="334">
        <v>5245516.6186189502</v>
      </c>
      <c r="E53" s="334">
        <v>510</v>
      </c>
      <c r="F53" s="334">
        <v>1462941.3487477701</v>
      </c>
    </row>
    <row r="54" spans="1:6">
      <c r="A54" s="348" t="s">
        <v>46</v>
      </c>
      <c r="B54" s="348" t="s">
        <v>47</v>
      </c>
      <c r="C54" s="334">
        <v>0</v>
      </c>
      <c r="D54" s="334">
        <v>0</v>
      </c>
      <c r="E54" s="334">
        <v>1</v>
      </c>
      <c r="F54" s="334">
        <v>2293382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120</v>
      </c>
      <c r="D57" s="334">
        <v>3819383.6020074999</v>
      </c>
      <c r="E57" s="334">
        <v>193</v>
      </c>
      <c r="F57" s="334">
        <v>6314077.6383113703</v>
      </c>
    </row>
    <row r="58" spans="1:6">
      <c r="A58" s="348" t="s">
        <v>49</v>
      </c>
      <c r="B58" s="348" t="s">
        <v>51</v>
      </c>
      <c r="C58" s="334">
        <v>130</v>
      </c>
      <c r="D58" s="334">
        <v>13551173.5906229</v>
      </c>
      <c r="E58" s="334">
        <v>147</v>
      </c>
      <c r="F58" s="334">
        <v>6577050.5773154702</v>
      </c>
    </row>
    <row r="59" spans="1:6">
      <c r="A59" s="348" t="s">
        <v>49</v>
      </c>
      <c r="B59" s="348" t="s">
        <v>52</v>
      </c>
      <c r="C59" s="334">
        <v>389</v>
      </c>
      <c r="D59" s="334">
        <v>13228508.9028625</v>
      </c>
      <c r="E59" s="334">
        <v>586</v>
      </c>
      <c r="F59" s="334">
        <v>16906804.9200956</v>
      </c>
    </row>
    <row r="60" spans="1:6">
      <c r="A60" s="348" t="s">
        <v>49</v>
      </c>
      <c r="B60" s="348" t="s">
        <v>53</v>
      </c>
      <c r="C60" s="334">
        <v>160</v>
      </c>
      <c r="D60" s="334">
        <v>4960697.1750400998</v>
      </c>
      <c r="E60" s="334">
        <v>188</v>
      </c>
      <c r="F60" s="334">
        <v>3157971.3712835698</v>
      </c>
    </row>
    <row r="61" spans="1:6">
      <c r="A61" s="348" t="s">
        <v>49</v>
      </c>
      <c r="B61" s="348" t="s">
        <v>54</v>
      </c>
      <c r="C61" s="334">
        <v>303</v>
      </c>
      <c r="D61" s="334">
        <v>11949976.9214681</v>
      </c>
      <c r="E61" s="334">
        <v>532</v>
      </c>
      <c r="F61" s="334">
        <v>16086383.4519406</v>
      </c>
    </row>
    <row r="62" spans="1:6">
      <c r="A62" s="348" t="s">
        <v>49</v>
      </c>
      <c r="B62" s="348" t="s">
        <v>55</v>
      </c>
      <c r="C62" s="334">
        <v>28</v>
      </c>
      <c r="D62" s="334">
        <v>3594670.3974741399</v>
      </c>
      <c r="E62" s="334">
        <v>31</v>
      </c>
      <c r="F62" s="334">
        <v>1162207.59881053</v>
      </c>
    </row>
    <row r="63" spans="1:6">
      <c r="A63" s="348" t="s">
        <v>49</v>
      </c>
      <c r="B63" s="348" t="s">
        <v>29</v>
      </c>
      <c r="C63" s="334">
        <v>91</v>
      </c>
      <c r="D63" s="334">
        <v>9910486.8139212299</v>
      </c>
      <c r="E63" s="334">
        <v>74</v>
      </c>
      <c r="F63" s="334">
        <v>1644723.8154178699</v>
      </c>
    </row>
    <row r="64" spans="1:6">
      <c r="A64" s="348" t="s">
        <v>56</v>
      </c>
      <c r="B64" s="348" t="s">
        <v>57</v>
      </c>
      <c r="C64" s="334">
        <v>0</v>
      </c>
      <c r="D64" s="334">
        <v>0</v>
      </c>
      <c r="E64" s="334">
        <v>0</v>
      </c>
      <c r="F64" s="334">
        <v>0</v>
      </c>
    </row>
    <row r="65" spans="1:6">
      <c r="A65" s="348" t="s">
        <v>56</v>
      </c>
      <c r="B65" s="348" t="s">
        <v>29</v>
      </c>
      <c r="C65" s="334">
        <v>2</v>
      </c>
      <c r="D65" s="334">
        <v>95939.965010373897</v>
      </c>
      <c r="E65" s="334">
        <v>4</v>
      </c>
      <c r="F65" s="334">
        <v>34609.391463874199</v>
      </c>
    </row>
    <row r="66" spans="1:6">
      <c r="A66" s="348" t="s">
        <v>56</v>
      </c>
      <c r="B66" s="348" t="s">
        <v>58</v>
      </c>
      <c r="C66" s="334">
        <v>0</v>
      </c>
      <c r="D66" s="334">
        <v>0</v>
      </c>
      <c r="E66" s="334">
        <v>16</v>
      </c>
      <c r="F66" s="334">
        <v>660177.66441487905</v>
      </c>
    </row>
    <row r="67" spans="1:6">
      <c r="A67" s="355" t="s">
        <v>56</v>
      </c>
      <c r="B67" s="355" t="s">
        <v>59</v>
      </c>
      <c r="C67" s="334">
        <v>0</v>
      </c>
      <c r="D67" s="334">
        <v>0</v>
      </c>
      <c r="E67" s="334">
        <v>0</v>
      </c>
      <c r="F67" s="334">
        <v>0</v>
      </c>
    </row>
    <row r="68" spans="1:6">
      <c r="A68" s="341" t="s">
        <v>56</v>
      </c>
      <c r="B68" s="341" t="s">
        <v>60</v>
      </c>
      <c r="C68" s="334">
        <v>18</v>
      </c>
      <c r="D68" s="334">
        <v>644750.75242090505</v>
      </c>
      <c r="E68" s="334">
        <v>35</v>
      </c>
      <c r="F68" s="334">
        <v>1306789.21139534</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90536437</v>
      </c>
      <c r="E73" s="476">
        <v>93354821.22715503</v>
      </c>
    </row>
    <row r="74" spans="1:6">
      <c r="A74" s="348" t="s">
        <v>64</v>
      </c>
      <c r="B74" s="348" t="s">
        <v>657</v>
      </c>
      <c r="C74" s="1272" t="s">
        <v>659</v>
      </c>
      <c r="D74" s="476">
        <v>6973003.623187257</v>
      </c>
      <c r="E74" s="476">
        <v>7122219.0609698892</v>
      </c>
    </row>
    <row r="75" spans="1:6">
      <c r="A75" s="348" t="s">
        <v>65</v>
      </c>
      <c r="B75" s="348" t="s">
        <v>656</v>
      </c>
      <c r="C75" s="1272" t="s">
        <v>660</v>
      </c>
      <c r="D75" s="476">
        <v>29053965</v>
      </c>
      <c r="E75" s="476">
        <v>30080283.85625685</v>
      </c>
    </row>
    <row r="76" spans="1:6">
      <c r="A76" s="348" t="s">
        <v>65</v>
      </c>
      <c r="B76" s="348" t="s">
        <v>657</v>
      </c>
      <c r="C76" s="1272" t="s">
        <v>661</v>
      </c>
      <c r="D76" s="476">
        <v>1061333.623187257</v>
      </c>
      <c r="E76" s="476">
        <v>1089101.6705230277</v>
      </c>
    </row>
    <row r="77" spans="1:6">
      <c r="A77" s="348" t="s">
        <v>66</v>
      </c>
      <c r="B77" s="348" t="s">
        <v>656</v>
      </c>
      <c r="C77" s="1272" t="s">
        <v>662</v>
      </c>
      <c r="D77" s="476">
        <v>76363703</v>
      </c>
      <c r="E77" s="476">
        <v>84638890.109517947</v>
      </c>
    </row>
    <row r="78" spans="1:6">
      <c r="A78" s="341" t="s">
        <v>66</v>
      </c>
      <c r="B78" s="341" t="s">
        <v>657</v>
      </c>
      <c r="C78" s="341" t="s">
        <v>663</v>
      </c>
      <c r="D78" s="1273">
        <v>16910210</v>
      </c>
      <c r="E78" s="1273">
        <v>17284873.574308287</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615808.75362548605</v>
      </c>
      <c r="C83" s="476">
        <v>615293.36382031394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7922.8263142127898</v>
      </c>
    </row>
    <row r="91" spans="1:6">
      <c r="A91" s="348" t="s">
        <v>68</v>
      </c>
      <c r="B91" s="334">
        <v>4786.168849777061</v>
      </c>
    </row>
    <row r="92" spans="1:6">
      <c r="A92" s="341" t="s">
        <v>69</v>
      </c>
      <c r="B92" s="342">
        <v>7186.7624562101182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9352</v>
      </c>
    </row>
    <row r="98" spans="1:6">
      <c r="A98" s="348" t="s">
        <v>72</v>
      </c>
      <c r="B98" s="334">
        <v>4</v>
      </c>
    </row>
    <row r="99" spans="1:6">
      <c r="A99" s="348" t="s">
        <v>73</v>
      </c>
      <c r="B99" s="334">
        <v>84</v>
      </c>
    </row>
    <row r="100" spans="1:6">
      <c r="A100" s="348" t="s">
        <v>74</v>
      </c>
      <c r="B100" s="334">
        <v>634</v>
      </c>
    </row>
    <row r="101" spans="1:6">
      <c r="A101" s="348" t="s">
        <v>75</v>
      </c>
      <c r="B101" s="334">
        <v>133</v>
      </c>
    </row>
    <row r="102" spans="1:6">
      <c r="A102" s="348" t="s">
        <v>76</v>
      </c>
      <c r="B102" s="334">
        <v>247</v>
      </c>
    </row>
    <row r="103" spans="1:6">
      <c r="A103" s="348" t="s">
        <v>77</v>
      </c>
      <c r="B103" s="334">
        <v>504</v>
      </c>
    </row>
    <row r="104" spans="1:6">
      <c r="A104" s="348" t="s">
        <v>78</v>
      </c>
      <c r="B104" s="334">
        <v>2008</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39</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199</v>
      </c>
    </row>
    <row r="130" spans="1:6">
      <c r="A130" s="348" t="s">
        <v>295</v>
      </c>
      <c r="B130" s="334">
        <v>3</v>
      </c>
    </row>
    <row r="131" spans="1:6">
      <c r="A131" s="348" t="s">
        <v>296</v>
      </c>
      <c r="B131" s="334">
        <v>2</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157623.26649658071</v>
      </c>
      <c r="C3" s="43" t="s">
        <v>170</v>
      </c>
      <c r="D3" s="43"/>
      <c r="E3" s="154"/>
      <c r="F3" s="43"/>
      <c r="G3" s="43"/>
      <c r="H3" s="43"/>
      <c r="I3" s="43"/>
      <c r="J3" s="43"/>
      <c r="K3" s="96"/>
    </row>
    <row r="4" spans="1:11">
      <c r="A4" s="383" t="s">
        <v>171</v>
      </c>
      <c r="B4" s="49">
        <f>IF(ISERROR('SEAP template'!B69),0,'SEAP template'!B69)</f>
        <v>33989.757620199969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0.17334373325065472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20134.285714285714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2293.3820000000001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2293.3820000000001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0.17334373325065472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397.54339764985303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42851.942198674202</v>
      </c>
      <c r="C5" s="17">
        <f>IF(ISERROR('Eigen informatie GS &amp; warmtenet'!B57),0,'Eigen informatie GS &amp; warmtenet'!B57)</f>
        <v>0</v>
      </c>
      <c r="D5" s="30">
        <f>(SUM(HH_hh_gas_kWh,HH_rest_gas_kWh)/1000)*0.902</f>
        <v>152402.55365565576</v>
      </c>
      <c r="E5" s="17">
        <f>B46*B57</f>
        <v>3631.3310802291694</v>
      </c>
      <c r="F5" s="17">
        <f>B51*B62</f>
        <v>0</v>
      </c>
      <c r="G5" s="18"/>
      <c r="H5" s="17"/>
      <c r="I5" s="17"/>
      <c r="J5" s="17">
        <f>B50*B61+C50*C61</f>
        <v>7563.3401345378325</v>
      </c>
      <c r="K5" s="17"/>
      <c r="L5" s="17"/>
      <c r="M5" s="17"/>
      <c r="N5" s="17">
        <f>B48*B59+C48*C59</f>
        <v>19594.350382168621</v>
      </c>
      <c r="O5" s="17">
        <f>B69*B70*B71</f>
        <v>378.32666666666671</v>
      </c>
      <c r="P5" s="17">
        <f>B77*B78*B79/1000-B77*B78*B79/1000/B80</f>
        <v>495.73333333333335</v>
      </c>
    </row>
    <row r="6" spans="1:16">
      <c r="A6" s="16" t="s">
        <v>621</v>
      </c>
      <c r="B6" s="843">
        <f>kWh_PV_kleiner_dan_10kW</f>
        <v>4786.168849777061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47638.111048451261</v>
      </c>
      <c r="C8" s="21">
        <f>C5</f>
        <v>0</v>
      </c>
      <c r="D8" s="21">
        <f>D5</f>
        <v>152402.55365565576</v>
      </c>
      <c r="E8" s="21">
        <f>E5</f>
        <v>3631.3310802291694</v>
      </c>
      <c r="F8" s="21">
        <f>F5</f>
        <v>0</v>
      </c>
      <c r="G8" s="21"/>
      <c r="H8" s="21"/>
      <c r="I8" s="21"/>
      <c r="J8" s="21">
        <f>J5</f>
        <v>7563.3401345378325</v>
      </c>
      <c r="K8" s="21"/>
      <c r="L8" s="21">
        <f>L5</f>
        <v>0</v>
      </c>
      <c r="M8" s="21">
        <f>M5</f>
        <v>0</v>
      </c>
      <c r="N8" s="21">
        <f>N5</f>
        <v>19594.350382168621</v>
      </c>
      <c r="O8" s="21">
        <f>O5</f>
        <v>378.32666666666671</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0.17334373325065472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8257.7680141478031</v>
      </c>
      <c r="C12" s="23">
        <f ca="1">C10*C8</f>
        <v>0</v>
      </c>
      <c r="D12" s="23">
        <f>D8*D10</f>
        <v>30785.315838442468</v>
      </c>
      <c r="E12" s="23">
        <f>E10*E8</f>
        <v>824.31215521202148</v>
      </c>
      <c r="F12" s="23">
        <f>F10*F8</f>
        <v>0</v>
      </c>
      <c r="G12" s="23"/>
      <c r="H12" s="23"/>
      <c r="I12" s="23"/>
      <c r="J12" s="23">
        <f>J10*J8</f>
        <v>2677.4224076263927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9352</v>
      </c>
      <c r="C18" s="166" t="s">
        <v>111</v>
      </c>
      <c r="D18" s="228"/>
      <c r="E18" s="15"/>
    </row>
    <row r="19" spans="1:7">
      <c r="A19" s="171" t="s">
        <v>72</v>
      </c>
      <c r="B19" s="37">
        <f>aantalw2001_ander</f>
        <v>4</v>
      </c>
      <c r="C19" s="166" t="s">
        <v>111</v>
      </c>
      <c r="D19" s="229"/>
      <c r="E19" s="15"/>
    </row>
    <row r="20" spans="1:7">
      <c r="A20" s="171" t="s">
        <v>73</v>
      </c>
      <c r="B20" s="37">
        <f>aantalw2001_propaan</f>
        <v>84</v>
      </c>
      <c r="C20" s="167">
        <f>IF(ISERROR(B20/SUM($B$20,$B$21,$B$22)*100),0,B20/SUM($B$20,$B$21,$B$22)*100)</f>
        <v>9.8707403055229133</v>
      </c>
      <c r="D20" s="229"/>
      <c r="E20" s="15"/>
    </row>
    <row r="21" spans="1:7">
      <c r="A21" s="171" t="s">
        <v>74</v>
      </c>
      <c r="B21" s="37">
        <f>aantalw2001_elektriciteit</f>
        <v>634</v>
      </c>
      <c r="C21" s="167">
        <f>IF(ISERROR(B21/SUM($B$20,$B$21,$B$22)*100),0,B21/SUM($B$20,$B$21,$B$22)*100)</f>
        <v>74.500587544065795</v>
      </c>
      <c r="D21" s="229"/>
      <c r="E21" s="15"/>
    </row>
    <row r="22" spans="1:7">
      <c r="A22" s="171" t="s">
        <v>75</v>
      </c>
      <c r="B22" s="37">
        <f>aantalw2001_hout</f>
        <v>133</v>
      </c>
      <c r="C22" s="167">
        <f>IF(ISERROR(B22/SUM($B$20,$B$21,$B$22)*100),0,B22/SUM($B$20,$B$21,$B$22)*100)</f>
        <v>15.62867215041128</v>
      </c>
      <c r="D22" s="229"/>
      <c r="E22" s="15"/>
    </row>
    <row r="23" spans="1:7">
      <c r="A23" s="171" t="s">
        <v>76</v>
      </c>
      <c r="B23" s="37">
        <f>aantalw2001_niet_gespec</f>
        <v>247</v>
      </c>
      <c r="C23" s="166" t="s">
        <v>111</v>
      </c>
      <c r="D23" s="228"/>
      <c r="E23" s="15"/>
    </row>
    <row r="24" spans="1:7">
      <c r="A24" s="171" t="s">
        <v>77</v>
      </c>
      <c r="B24" s="37">
        <f>aantalw2001_steenkool</f>
        <v>504</v>
      </c>
      <c r="C24" s="166" t="s">
        <v>111</v>
      </c>
      <c r="D24" s="229"/>
      <c r="E24" s="15"/>
    </row>
    <row r="25" spans="1:7">
      <c r="A25" s="171" t="s">
        <v>78</v>
      </c>
      <c r="B25" s="37">
        <f>aantalw2001_stookolie</f>
        <v>2008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14225</v>
      </c>
      <c r="C28" s="36"/>
      <c r="D28" s="228"/>
    </row>
    <row r="29" spans="1:7" s="15" customFormat="1">
      <c r="A29" s="230" t="s">
        <v>795</v>
      </c>
      <c r="B29" s="37">
        <f>SUM(HH_hh_gas_aantal,HH_rest_gas_aantal)</f>
        <v>12247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12247</v>
      </c>
      <c r="C32" s="167">
        <f>IF(ISERROR(B32/SUM($B$32,$B$34,$B$35,$B$36,$B$38,$B$39)*100),0,B32/SUM($B$32,$B$34,$B$35,$B$36,$B$38,$B$39)*100)</f>
        <v>86.252552996689914</v>
      </c>
      <c r="D32" s="233"/>
      <c r="G32" s="15"/>
    </row>
    <row r="33" spans="1:7">
      <c r="A33" s="171" t="s">
        <v>72</v>
      </c>
      <c r="B33" s="34" t="s">
        <v>111</v>
      </c>
      <c r="C33" s="167"/>
      <c r="D33" s="233"/>
      <c r="G33" s="15"/>
    </row>
    <row r="34" spans="1:7">
      <c r="A34" s="171" t="s">
        <v>73</v>
      </c>
      <c r="B34" s="33">
        <f>IF((($B$28-$B$32-$B$39-$B$77-$B$38)*C20/100)&lt;0,0,($B$28-$B$32-$B$39-$B$77-$B$38)*C20/100)</f>
        <v>171.50411280846063</v>
      </c>
      <c r="C34" s="167">
        <f>IF(ISERROR(B34/SUM($B$32,$B$34,$B$35,$B$36,$B$38,$B$39)*100),0,B34/SUM($B$32,$B$34,$B$35,$B$36,$B$38,$B$39)*100)</f>
        <v>1.2078605029118996</v>
      </c>
      <c r="D34" s="233"/>
      <c r="G34" s="15"/>
    </row>
    <row r="35" spans="1:7">
      <c r="A35" s="171" t="s">
        <v>74</v>
      </c>
      <c r="B35" s="33">
        <f>IF((($B$28-$B$32-$B$39-$B$77-$B$38)*C21/100)&lt;0,0,($B$28-$B$32-$B$39-$B$77-$B$38)*C21/100)</f>
        <v>1294.4477085781432</v>
      </c>
      <c r="C35" s="167">
        <f>IF(ISERROR(B35/SUM($B$32,$B$34,$B$35,$B$36,$B$38,$B$39)*100),0,B35/SUM($B$32,$B$34,$B$35,$B$36,$B$38,$B$39)*100)</f>
        <v>9.116470938644575</v>
      </c>
      <c r="D35" s="233"/>
      <c r="G35" s="15"/>
    </row>
    <row r="36" spans="1:7">
      <c r="A36" s="171" t="s">
        <v>75</v>
      </c>
      <c r="B36" s="33">
        <f>IF((($B$28-$B$32-$B$39-$B$77-$B$38)*C22/100)&lt;0,0,($B$28-$B$32-$B$39-$B$77-$B$38)*C22/100)</f>
        <v>271.54817861339598</v>
      </c>
      <c r="C36" s="167">
        <f>IF(ISERROR(B36/SUM($B$32,$B$34,$B$35,$B$36,$B$38,$B$39)*100),0,B36/SUM($B$32,$B$34,$B$35,$B$36,$B$38,$B$39)*100)</f>
        <v>1.9124457962771741</v>
      </c>
      <c r="D36" s="233"/>
      <c r="G36" s="15"/>
    </row>
    <row r="37" spans="1:7">
      <c r="A37" s="171" t="s">
        <v>76</v>
      </c>
      <c r="B37" s="34" t="s">
        <v>111</v>
      </c>
      <c r="C37" s="167"/>
      <c r="D37" s="173"/>
      <c r="G37" s="15"/>
    </row>
    <row r="38" spans="1:7">
      <c r="A38" s="171" t="s">
        <v>77</v>
      </c>
      <c r="B38" s="33">
        <f>IF((B24-(B29-B18)*0.1)&lt;0,0,B24-(B29-B18)*0.1)</f>
        <v>214.5</v>
      </c>
      <c r="C38" s="167">
        <f>IF(ISERROR(B38/SUM($B$32,$B$34,$B$35,$B$36,$B$38,$B$39)*100),0,B38/SUM($B$32,$B$34,$B$35,$B$36,$B$38,$B$39)*100)</f>
        <v>1.5106697654764421</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12247</v>
      </c>
      <c r="C44" s="34" t="s">
        <v>111</v>
      </c>
      <c r="D44" s="174"/>
    </row>
    <row r="45" spans="1:7">
      <c r="A45" s="171" t="s">
        <v>72</v>
      </c>
      <c r="B45" s="33" t="str">
        <f t="shared" si="0"/>
        <v>-</v>
      </c>
      <c r="C45" s="34" t="s">
        <v>111</v>
      </c>
      <c r="D45" s="174"/>
    </row>
    <row r="46" spans="1:7">
      <c r="A46" s="171" t="s">
        <v>73</v>
      </c>
      <c r="B46" s="33">
        <f t="shared" si="0"/>
        <v>171.50411280846063</v>
      </c>
      <c r="C46" s="34" t="s">
        <v>111</v>
      </c>
      <c r="D46" s="174"/>
    </row>
    <row r="47" spans="1:7">
      <c r="A47" s="171" t="s">
        <v>74</v>
      </c>
      <c r="B47" s="33">
        <f t="shared" si="0"/>
        <v>1294.4477085781432</v>
      </c>
      <c r="C47" s="34" t="s">
        <v>111</v>
      </c>
      <c r="D47" s="174"/>
    </row>
    <row r="48" spans="1:7">
      <c r="A48" s="171" t="s">
        <v>75</v>
      </c>
      <c r="B48" s="33">
        <f t="shared" si="0"/>
        <v>271.54817861339598</v>
      </c>
      <c r="C48" s="33">
        <f>B48*10</f>
        <v>2715.4817861339598</v>
      </c>
      <c r="D48" s="234"/>
    </row>
    <row r="49" spans="1:6">
      <c r="A49" s="171" t="s">
        <v>76</v>
      </c>
      <c r="B49" s="33" t="str">
        <f t="shared" si="0"/>
        <v>-</v>
      </c>
      <c r="C49" s="34" t="s">
        <v>111</v>
      </c>
      <c r="D49" s="234"/>
    </row>
    <row r="50" spans="1:6">
      <c r="A50" s="171" t="s">
        <v>77</v>
      </c>
      <c r="B50" s="33">
        <f t="shared" si="0"/>
        <v>214.5</v>
      </c>
      <c r="C50" s="33">
        <f>B50*2</f>
        <v>429</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51849.219373175016</v>
      </c>
      <c r="C5" s="17">
        <f>IF(ISERROR('Eigen informatie GS &amp; warmtenet'!B58),0,'Eigen informatie GS &amp; warmtenet'!B58)</f>
        <v>0</v>
      </c>
      <c r="D5" s="30">
        <f>SUM(D6:D12)</f>
        <v>55035.43745786362</v>
      </c>
      <c r="E5" s="17">
        <f>SUM(E6:E12)</f>
        <v>704.42811302404505</v>
      </c>
      <c r="F5" s="17">
        <f>SUM(F6:F12)</f>
        <v>9190.7940923287097</v>
      </c>
      <c r="G5" s="18"/>
      <c r="H5" s="17"/>
      <c r="I5" s="17"/>
      <c r="J5" s="17">
        <f>SUM(J6:J12)</f>
        <v>0.14103661525294428</v>
      </c>
      <c r="K5" s="17"/>
      <c r="L5" s="17"/>
      <c r="M5" s="17"/>
      <c r="N5" s="17">
        <f>SUM(N6:N12)</f>
        <v>5665.7368070765015</v>
      </c>
      <c r="O5" s="17">
        <f>B38*B39*B40</f>
        <v>4.6900000000000004</v>
      </c>
      <c r="P5" s="17">
        <f>B46*B47*B48/1000-B46*B47*B48/1000/B49</f>
        <v>38.133333333333333</v>
      </c>
      <c r="R5" s="32"/>
    </row>
    <row r="6" spans="1:18">
      <c r="A6" s="32" t="s">
        <v>54</v>
      </c>
      <c r="B6" s="37">
        <f>B26</f>
        <v>16086.383451940599</v>
      </c>
      <c r="C6" s="33"/>
      <c r="D6" s="37">
        <f>IF(ISERROR(TER_kantoor_gas_kWh/1000),0,TER_kantoor_gas_kWh/1000)*0.902</f>
        <v>10778.879183164227</v>
      </c>
      <c r="E6" s="33">
        <f>$C$26*'E Balans VL '!I12/100/3.6*1000000</f>
        <v>0.10082410122944674</v>
      </c>
      <c r="F6" s="33">
        <f>$C$26*('E Balans VL '!L12+'E Balans VL '!N12)/100/3.6*1000000</f>
        <v>2417.3339364028598</v>
      </c>
      <c r="G6" s="34"/>
      <c r="H6" s="33"/>
      <c r="I6" s="33"/>
      <c r="J6" s="33">
        <f>$C$26*('E Balans VL '!D12+'E Balans VL '!E12)/100/3.6*1000000</f>
        <v>0</v>
      </c>
      <c r="K6" s="33"/>
      <c r="L6" s="33"/>
      <c r="M6" s="33"/>
      <c r="N6" s="33">
        <f>$C$26*'E Balans VL '!Y12/100/3.6*1000000</f>
        <v>15.384240703687126</v>
      </c>
      <c r="O6" s="33"/>
      <c r="P6" s="33"/>
      <c r="R6" s="32"/>
    </row>
    <row r="7" spans="1:18">
      <c r="A7" s="32" t="s">
        <v>53</v>
      </c>
      <c r="B7" s="37">
        <f t="shared" ref="B7:B12" si="0">B27</f>
        <v>3157.9713712835696</v>
      </c>
      <c r="C7" s="33"/>
      <c r="D7" s="37">
        <f>IF(ISERROR(TER_horeca_gas_kWh/1000),0,TER_horeca_gas_kWh/1000)*0.902</f>
        <v>4474.5488518861703</v>
      </c>
      <c r="E7" s="33">
        <f>$C$27*'E Balans VL '!I9/100/3.6*1000000</f>
        <v>45.221624019166022</v>
      </c>
      <c r="F7" s="33">
        <f>$C$27*('E Balans VL '!L9+'E Balans VL '!N9)/100/3.6*1000000</f>
        <v>399.9033295129442</v>
      </c>
      <c r="G7" s="34"/>
      <c r="H7" s="33"/>
      <c r="I7" s="33"/>
      <c r="J7" s="33">
        <f>$C$27*('E Balans VL '!D9+'E Balans VL '!E9)/100/3.6*1000000</f>
        <v>0</v>
      </c>
      <c r="K7" s="33"/>
      <c r="L7" s="33"/>
      <c r="M7" s="33"/>
      <c r="N7" s="33">
        <f>$C$27*'E Balans VL '!Y9/100/3.6*1000000</f>
        <v>0.90784714195207283</v>
      </c>
      <c r="O7" s="33"/>
      <c r="P7" s="33"/>
      <c r="R7" s="32"/>
    </row>
    <row r="8" spans="1:18">
      <c r="A8" s="6" t="s">
        <v>52</v>
      </c>
      <c r="B8" s="37">
        <f t="shared" si="0"/>
        <v>16906.804920095601</v>
      </c>
      <c r="C8" s="33"/>
      <c r="D8" s="37">
        <f>IF(ISERROR(TER_handel_gas_kWh/1000),0,TER_handel_gas_kWh/1000)*0.902</f>
        <v>11932.115030381976</v>
      </c>
      <c r="E8" s="33">
        <f>$C$28*'E Balans VL '!I13/100/3.6*1000000</f>
        <v>613.20772959808937</v>
      </c>
      <c r="F8" s="33">
        <f>$C$28*('E Balans VL '!L13+'E Balans VL '!N13)/100/3.6*1000000</f>
        <v>3256.421819894294</v>
      </c>
      <c r="G8" s="34"/>
      <c r="H8" s="33"/>
      <c r="I8" s="33"/>
      <c r="J8" s="33">
        <f>$C$28*('E Balans VL '!D13+'E Balans VL '!E13)/100/3.6*1000000</f>
        <v>0</v>
      </c>
      <c r="K8" s="33"/>
      <c r="L8" s="33"/>
      <c r="M8" s="33"/>
      <c r="N8" s="33">
        <f>$C$28*'E Balans VL '!Y13/100/3.6*1000000</f>
        <v>23.419814896652046</v>
      </c>
      <c r="O8" s="33"/>
      <c r="P8" s="33"/>
      <c r="R8" s="32"/>
    </row>
    <row r="9" spans="1:18">
      <c r="A9" s="32" t="s">
        <v>51</v>
      </c>
      <c r="B9" s="37">
        <f t="shared" si="0"/>
        <v>6577.05057731547</v>
      </c>
      <c r="C9" s="33"/>
      <c r="D9" s="37">
        <f>IF(ISERROR(TER_gezond_gas_kWh/1000),0,TER_gezond_gas_kWh/1000)*0.902</f>
        <v>12223.158578741857</v>
      </c>
      <c r="E9" s="33">
        <f>$C$29*'E Balans VL '!I10/100/3.6*1000000</f>
        <v>0.4117883027829165</v>
      </c>
      <c r="F9" s="33">
        <f>$C$29*('E Balans VL '!L10+'E Balans VL '!N10)/100/3.6*1000000</f>
        <v>977.04088847212051</v>
      </c>
      <c r="G9" s="34"/>
      <c r="H9" s="33"/>
      <c r="I9" s="33"/>
      <c r="J9" s="33">
        <f>$C$29*('E Balans VL '!D10+'E Balans VL '!E10)/100/3.6*1000000</f>
        <v>0</v>
      </c>
      <c r="K9" s="33"/>
      <c r="L9" s="33"/>
      <c r="M9" s="33"/>
      <c r="N9" s="33">
        <f>$C$29*'E Balans VL '!Y10/100/3.6*1000000</f>
        <v>101.73445296104801</v>
      </c>
      <c r="O9" s="33"/>
      <c r="P9" s="33"/>
      <c r="R9" s="32"/>
    </row>
    <row r="10" spans="1:18">
      <c r="A10" s="32" t="s">
        <v>50</v>
      </c>
      <c r="B10" s="37">
        <f t="shared" si="0"/>
        <v>6314.0776383113707</v>
      </c>
      <c r="C10" s="33"/>
      <c r="D10" s="37">
        <f>IF(ISERROR(TER_ander_gas_kWh/1000),0,TER_ander_gas_kWh/1000)*0.902</f>
        <v>3445.0840090107649</v>
      </c>
      <c r="E10" s="33">
        <f>$C$30*'E Balans VL '!I14/100/3.6*1000000</f>
        <v>7.5261549178566263</v>
      </c>
      <c r="F10" s="33">
        <f>$C$30*('E Balans VL '!L14+'E Balans VL '!N14)/100/3.6*1000000</f>
        <v>1652.0434120268487</v>
      </c>
      <c r="G10" s="34"/>
      <c r="H10" s="33"/>
      <c r="I10" s="33"/>
      <c r="J10" s="33">
        <f>$C$30*('E Balans VL '!D14+'E Balans VL '!E14)/100/3.6*1000000</f>
        <v>0.13705387502680752</v>
      </c>
      <c r="K10" s="33"/>
      <c r="L10" s="33"/>
      <c r="M10" s="33"/>
      <c r="N10" s="33">
        <f>$C$30*'E Balans VL '!Y14/100/3.6*1000000</f>
        <v>5361.760227148995</v>
      </c>
      <c r="O10" s="33"/>
      <c r="P10" s="33"/>
      <c r="R10" s="32"/>
    </row>
    <row r="11" spans="1:18">
      <c r="A11" s="32" t="s">
        <v>55</v>
      </c>
      <c r="B11" s="37">
        <f t="shared" si="0"/>
        <v>1162.20759881053</v>
      </c>
      <c r="C11" s="33"/>
      <c r="D11" s="37">
        <f>IF(ISERROR(TER_onderwijs_gas_kWh/1000),0,TER_onderwijs_gas_kWh/1000)*0.902</f>
        <v>3242.3926985216744</v>
      </c>
      <c r="E11" s="33">
        <f>$C$31*'E Balans VL '!I11/100/3.6*1000000</f>
        <v>17.535840752713348</v>
      </c>
      <c r="F11" s="33">
        <f>$C$31*('E Balans VL '!L11+'E Balans VL '!N11)/100/3.6*1000000</f>
        <v>203.63733813035256</v>
      </c>
      <c r="G11" s="34"/>
      <c r="H11" s="33"/>
      <c r="I11" s="33"/>
      <c r="J11" s="33">
        <f>$C$31*('E Balans VL '!D11+'E Balans VL '!E11)/100/3.6*1000000</f>
        <v>0</v>
      </c>
      <c r="K11" s="33"/>
      <c r="L11" s="33"/>
      <c r="M11" s="33"/>
      <c r="N11" s="33">
        <f>$C$31*'E Balans VL '!Y11/100/3.6*1000000</f>
        <v>3.2705405374391936</v>
      </c>
      <c r="O11" s="33"/>
      <c r="P11" s="33"/>
      <c r="R11" s="32"/>
    </row>
    <row r="12" spans="1:18">
      <c r="A12" s="32" t="s">
        <v>260</v>
      </c>
      <c r="B12" s="37">
        <f t="shared" si="0"/>
        <v>1644.7238154178699</v>
      </c>
      <c r="C12" s="33"/>
      <c r="D12" s="37">
        <f>IF(ISERROR(TER_rest_gas_kWh/1000),0,TER_rest_gas_kWh/1000)*0.902</f>
        <v>8939.2591061569492</v>
      </c>
      <c r="E12" s="33">
        <f>$C$32*'E Balans VL '!I8/100/3.6*1000000</f>
        <v>20.424151332207185</v>
      </c>
      <c r="F12" s="33">
        <f>$C$32*('E Balans VL '!L8+'E Balans VL '!N8)/100/3.6*1000000</f>
        <v>284.41336788928794</v>
      </c>
      <c r="G12" s="34"/>
      <c r="H12" s="33"/>
      <c r="I12" s="33"/>
      <c r="J12" s="33">
        <f>$C$32*('E Balans VL '!D8+'E Balans VL '!E8)/100/3.6*1000000</f>
        <v>3.9827402261367649E-3</v>
      </c>
      <c r="K12" s="33"/>
      <c r="L12" s="33"/>
      <c r="M12" s="33"/>
      <c r="N12" s="33">
        <f>$C$32*'E Balans VL '!Y8/100/3.6*1000000</f>
        <v>159.25968368672827</v>
      </c>
      <c r="O12" s="33"/>
      <c r="P12" s="33"/>
      <c r="R12" s="32"/>
    </row>
    <row r="13" spans="1:18">
      <c r="A13" s="16" t="s">
        <v>488</v>
      </c>
      <c r="B13" s="247">
        <f ca="1">'lokale energieproductie'!N90+'lokale energieproductie'!N59</f>
        <v>14094</v>
      </c>
      <c r="C13" s="247">
        <f ca="1">'lokale energieproductie'!O90+'lokale energieproductie'!O59</f>
        <v>20134.285714285714</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-40268.571428571428</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65943.219373175016</v>
      </c>
      <c r="C16" s="21">
        <f t="shared" ca="1" si="1"/>
        <v>20134.285714285714</v>
      </c>
      <c r="D16" s="21">
        <f t="shared" ca="1" si="1"/>
        <v>55035.43745786362</v>
      </c>
      <c r="E16" s="21">
        <f t="shared" si="1"/>
        <v>704.42811302404505</v>
      </c>
      <c r="F16" s="21">
        <f t="shared" ca="1" si="1"/>
        <v>9190.7940923287097</v>
      </c>
      <c r="G16" s="21">
        <f t="shared" si="1"/>
        <v>0</v>
      </c>
      <c r="H16" s="21">
        <f t="shared" si="1"/>
        <v>0</v>
      </c>
      <c r="I16" s="21">
        <f t="shared" si="1"/>
        <v>0</v>
      </c>
      <c r="J16" s="21">
        <f t="shared" si="1"/>
        <v>0.14103661525294428</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0.17334373325065472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11430.843828713056</v>
      </c>
      <c r="C20" s="23">
        <f t="shared" ref="C20:P20" ca="1" si="2">C16*C18</f>
        <v>0</v>
      </c>
      <c r="D20" s="23">
        <f t="shared" ca="1" si="2"/>
        <v>11117.158366488451</v>
      </c>
      <c r="E20" s="23">
        <f t="shared" si="2"/>
        <v>159.90518165645824</v>
      </c>
      <c r="F20" s="23">
        <f t="shared" ca="1" si="2"/>
        <v>2453.9420226517655</v>
      </c>
      <c r="G20" s="23">
        <f t="shared" si="2"/>
        <v>0</v>
      </c>
      <c r="H20" s="23">
        <f t="shared" si="2"/>
        <v>0</v>
      </c>
      <c r="I20" s="23">
        <f t="shared" si="2"/>
        <v>0</v>
      </c>
      <c r="J20" s="23">
        <f t="shared" si="2"/>
        <v>4.9926961799542272E-2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16086.383451940599</v>
      </c>
      <c r="C26" s="39">
        <f>IF(ISERROR(B26*3.6/1000000/'E Balans VL '!Z12*100),0,B26*3.6/1000000/'E Balans VL '!Z12*100)</f>
        <v>0.3400406632842542</v>
      </c>
      <c r="D26" s="237" t="s">
        <v>754</v>
      </c>
      <c r="F26" s="6"/>
    </row>
    <row r="27" spans="1:18">
      <c r="A27" s="231" t="s">
        <v>53</v>
      </c>
      <c r="B27" s="33">
        <f>IF(ISERROR(TER_horeca_ele_kWh/1000),0,TER_horeca_ele_kWh/1000)</f>
        <v>3157.9713712835696</v>
      </c>
      <c r="C27" s="39">
        <f>IF(ISERROR(B27*3.6/1000000/'E Balans VL '!Z9*100),0,B27*3.6/1000000/'E Balans VL '!Z9*100)</f>
        <v>0.24894170616226383</v>
      </c>
      <c r="D27" s="237" t="s">
        <v>754</v>
      </c>
      <c r="F27" s="6"/>
    </row>
    <row r="28" spans="1:18">
      <c r="A28" s="171" t="s">
        <v>52</v>
      </c>
      <c r="B28" s="33">
        <f>IF(ISERROR(TER_handel_ele_kWh/1000),0,TER_handel_ele_kWh/1000)</f>
        <v>16906.804920095601</v>
      </c>
      <c r="C28" s="39">
        <f>IF(ISERROR(B28*3.6/1000000/'E Balans VL '!Z13*100),0,B28*3.6/1000000/'E Balans VL '!Z13*100)</f>
        <v>0.4907037899277325</v>
      </c>
      <c r="D28" s="237" t="s">
        <v>754</v>
      </c>
      <c r="F28" s="6"/>
    </row>
    <row r="29" spans="1:18">
      <c r="A29" s="231" t="s">
        <v>51</v>
      </c>
      <c r="B29" s="33">
        <f>IF(ISERROR(TER_gezond_ele_kWh/1000),0,TER_gezond_ele_kWh/1000)</f>
        <v>6577.05057731547</v>
      </c>
      <c r="C29" s="39">
        <f>IF(ISERROR(B29*3.6/1000000/'E Balans VL '!Z10*100),0,B29*3.6/1000000/'E Balans VL '!Z10*100)</f>
        <v>0.69267142381252877</v>
      </c>
      <c r="D29" s="237" t="s">
        <v>754</v>
      </c>
      <c r="F29" s="6"/>
    </row>
    <row r="30" spans="1:18">
      <c r="A30" s="231" t="s">
        <v>50</v>
      </c>
      <c r="B30" s="33">
        <f>IF(ISERROR(TER_ander_ele_kWh/1000),0,TER_ander_ele_kWh/1000)</f>
        <v>6314.0776383113707</v>
      </c>
      <c r="C30" s="39">
        <f>IF(ISERROR(B30*3.6/1000000/'E Balans VL '!Z14*100),0,B30*3.6/1000000/'E Balans VL '!Z14*100)</f>
        <v>0.46572773801268785</v>
      </c>
      <c r="D30" s="237" t="s">
        <v>754</v>
      </c>
      <c r="F30" s="6"/>
    </row>
    <row r="31" spans="1:18">
      <c r="A31" s="231" t="s">
        <v>55</v>
      </c>
      <c r="B31" s="33">
        <f>IF(ISERROR(TER_onderwijs_ele_kWh/1000),0,TER_onderwijs_ele_kWh/1000)</f>
        <v>1162.20759881053</v>
      </c>
      <c r="C31" s="39">
        <f>IF(ISERROR(B31*3.6/1000000/'E Balans VL '!Z11*100),0,B31*3.6/1000000/'E Balans VL '!Z11*100)</f>
        <v>0.28863058779472611</v>
      </c>
      <c r="D31" s="237" t="s">
        <v>754</v>
      </c>
    </row>
    <row r="32" spans="1:18">
      <c r="A32" s="231" t="s">
        <v>260</v>
      </c>
      <c r="B32" s="33">
        <f>IF(ISERROR(TER_rest_ele_kWh/1000),0,TER_rest_ele_kWh/1000)</f>
        <v>1644.7238154178699</v>
      </c>
      <c r="C32" s="39">
        <f>IF(ISERROR(B32*3.6/1000000/'E Balans VL '!Z8*100),0,B32*3.6/1000000/'E Balans VL '!Z8*100)</f>
        <v>1.3533893851946954E-2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40658.09107967389</v>
      </c>
      <c r="C5" s="17">
        <f>IF(ISERROR('Eigen informatie GS &amp; warmtenet'!B59),0,'Eigen informatie GS &amp; warmtenet'!B59)</f>
        <v>0</v>
      </c>
      <c r="D5" s="30">
        <f>SUM(D6:D15)</f>
        <v>57531.174479780093</v>
      </c>
      <c r="E5" s="17">
        <f>SUM(E6:E15)</f>
        <v>5105.5617053618571</v>
      </c>
      <c r="F5" s="17">
        <f>SUM(F6:F15)</f>
        <v>15435.938830470212</v>
      </c>
      <c r="G5" s="18"/>
      <c r="H5" s="17"/>
      <c r="I5" s="17"/>
      <c r="J5" s="17">
        <f>SUM(J6:J15)</f>
        <v>79.368853684874693</v>
      </c>
      <c r="K5" s="17"/>
      <c r="L5" s="17"/>
      <c r="M5" s="17"/>
      <c r="N5" s="17">
        <f>SUM(N6:N15)</f>
        <v>9719.4968784824196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1420.8727548693601</v>
      </c>
      <c r="C8" s="33"/>
      <c r="D8" s="37">
        <f>IF( ISERROR(IND_metaal_Gas_kWH/1000),0,IND_metaal_Gas_kWH/1000)*0.902</f>
        <v>238.90390876737862</v>
      </c>
      <c r="E8" s="33">
        <f>C30*'E Balans VL '!I18/100/3.6*1000000</f>
        <v>13.063552689066574</v>
      </c>
      <c r="F8" s="33">
        <f>C30*'E Balans VL '!L18/100/3.6*1000000+C30*'E Balans VL '!N18/100/3.6*1000000</f>
        <v>133.23055876424237</v>
      </c>
      <c r="G8" s="34"/>
      <c r="H8" s="33"/>
      <c r="I8" s="33"/>
      <c r="J8" s="40">
        <f>C30*'E Balans VL '!D18/100/3.6*1000000+C30*'E Balans VL '!E18/100/3.6*1000000</f>
        <v>0</v>
      </c>
      <c r="K8" s="33"/>
      <c r="L8" s="33"/>
      <c r="M8" s="33"/>
      <c r="N8" s="33">
        <f>C30*'E Balans VL '!Y18/100/3.6*1000000</f>
        <v>20.271097939319418</v>
      </c>
      <c r="O8" s="33"/>
      <c r="P8" s="33"/>
      <c r="R8" s="32"/>
    </row>
    <row r="9" spans="1:18">
      <c r="A9" s="6" t="s">
        <v>33</v>
      </c>
      <c r="B9" s="37">
        <f t="shared" si="0"/>
        <v>13201.1095484335</v>
      </c>
      <c r="C9" s="33"/>
      <c r="D9" s="37">
        <f>IF( ISERROR(IND_andere_gas_kWh/1000),0,IND_andere_gas_kWh/1000)*0.902</f>
        <v>3104.7899553605862</v>
      </c>
      <c r="E9" s="33">
        <f>C31*'E Balans VL '!I19/100/3.6*1000000</f>
        <v>3858.9413162976007</v>
      </c>
      <c r="F9" s="33">
        <f>C31*'E Balans VL '!L19/100/3.6*1000000+C31*'E Balans VL '!N19/100/3.6*1000000</f>
        <v>10608.090754343766</v>
      </c>
      <c r="G9" s="34"/>
      <c r="H9" s="33"/>
      <c r="I9" s="33"/>
      <c r="J9" s="40">
        <f>C31*'E Balans VL '!D19/100/3.6*1000000+C31*'E Balans VL '!E19/100/3.6*1000000</f>
        <v>0</v>
      </c>
      <c r="K9" s="33"/>
      <c r="L9" s="33"/>
      <c r="M9" s="33"/>
      <c r="N9" s="33">
        <f>C31*'E Balans VL '!Y19/100/3.6*1000000</f>
        <v>4361.8513294958229</v>
      </c>
      <c r="O9" s="33"/>
      <c r="P9" s="33"/>
      <c r="R9" s="32"/>
    </row>
    <row r="10" spans="1:18">
      <c r="A10" s="6" t="s">
        <v>41</v>
      </c>
      <c r="B10" s="37">
        <f t="shared" si="0"/>
        <v>2237.5244250176497</v>
      </c>
      <c r="C10" s="33"/>
      <c r="D10" s="37">
        <f>IF( ISERROR(IND_voed_gas_kWh/1000),0,IND_voed_gas_kWh/1000)*0.902</f>
        <v>3386.5132677643696</v>
      </c>
      <c r="E10" s="33">
        <f>C32*'E Balans VL '!I20/100/3.6*1000000</f>
        <v>4.7335176143519497</v>
      </c>
      <c r="F10" s="33">
        <f>C32*'E Balans VL '!L20/100/3.6*1000000+C32*'E Balans VL '!N20/100/3.6*1000000</f>
        <v>142.26408850679923</v>
      </c>
      <c r="G10" s="34"/>
      <c r="H10" s="33"/>
      <c r="I10" s="33"/>
      <c r="J10" s="40">
        <f>C32*'E Balans VL '!D20/100/3.6*1000000+C32*'E Balans VL '!E20/100/3.6*1000000</f>
        <v>0</v>
      </c>
      <c r="K10" s="33"/>
      <c r="L10" s="33"/>
      <c r="M10" s="33"/>
      <c r="N10" s="33">
        <f>C32*'E Balans VL '!Y20/100/3.6*1000000</f>
        <v>154.41126575677001</v>
      </c>
      <c r="O10" s="33"/>
      <c r="P10" s="33"/>
      <c r="R10" s="32"/>
    </row>
    <row r="11" spans="1:18">
      <c r="A11" s="6" t="s">
        <v>40</v>
      </c>
      <c r="B11" s="37">
        <f t="shared" si="0"/>
        <v>1588.0184453279398</v>
      </c>
      <c r="C11" s="33"/>
      <c r="D11" s="37">
        <f>IF( ISERROR(IND_textiel_gas_kWh/1000),0,IND_textiel_gas_kWh/1000)*0.902</f>
        <v>837.94282996433788</v>
      </c>
      <c r="E11" s="33">
        <f>C33*'E Balans VL '!I21/100/3.6*1000000</f>
        <v>4.7162778691133891</v>
      </c>
      <c r="F11" s="33">
        <f>C33*'E Balans VL '!L21/100/3.6*1000000+C33*'E Balans VL '!N21/100/3.6*1000000</f>
        <v>160.43346062170346</v>
      </c>
      <c r="G11" s="34"/>
      <c r="H11" s="33"/>
      <c r="I11" s="33"/>
      <c r="J11" s="40">
        <f>C33*'E Balans VL '!D21/100/3.6*1000000+C33*'E Balans VL '!E21/100/3.6*1000000</f>
        <v>0</v>
      </c>
      <c r="K11" s="33"/>
      <c r="L11" s="33"/>
      <c r="M11" s="33"/>
      <c r="N11" s="33">
        <f>C33*'E Balans VL '!Y21/100/3.6*1000000</f>
        <v>87.584285189252498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42.200391058137996</v>
      </c>
      <c r="C13" s="33"/>
      <c r="D13" s="37">
        <f>IF( ISERROR(IND_papier_gas_kWh/1000),0,IND_papier_gas_kWh/1000)*0.902</f>
        <v>66.745640955041537</v>
      </c>
      <c r="E13" s="33">
        <f>C35*'E Balans VL '!I23/100/3.6*1000000</f>
        <v>5.9872703756984551E-2</v>
      </c>
      <c r="F13" s="33">
        <f>C35*'E Balans VL '!L23/100/3.6*1000000+C35*'E Balans VL '!N23/100/3.6*1000000</f>
        <v>1.030270229430565</v>
      </c>
      <c r="G13" s="34"/>
      <c r="H13" s="33"/>
      <c r="I13" s="33"/>
      <c r="J13" s="40">
        <f>C35*'E Balans VL '!D23/100/3.6*1000000+C35*'E Balans VL '!E23/100/3.6*1000000</f>
        <v>6.5266866785558004E-3</v>
      </c>
      <c r="K13" s="33"/>
      <c r="L13" s="33"/>
      <c r="M13" s="33"/>
      <c r="N13" s="33">
        <f>C35*'E Balans VL '!Y23/100/3.6*1000000</f>
        <v>122.66654728729803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22168.3655149673</v>
      </c>
      <c r="C15" s="33"/>
      <c r="D15" s="37">
        <f>IF( ISERROR(IND_rest_gas_kWh/1000),0,IND_rest_gas_kWh/1000)*0.902</f>
        <v>49896.278876968383</v>
      </c>
      <c r="E15" s="33">
        <f>C37*'E Balans VL '!I15/100/3.6*1000000</f>
        <v>1224.0471681879676</v>
      </c>
      <c r="F15" s="33">
        <f>C37*'E Balans VL '!L15/100/3.6*1000000+C37*'E Balans VL '!N15/100/3.6*1000000</f>
        <v>4390.8896980042691</v>
      </c>
      <c r="G15" s="34"/>
      <c r="H15" s="33"/>
      <c r="I15" s="33"/>
      <c r="J15" s="40">
        <f>C37*'E Balans VL '!D15/100/3.6*1000000+C37*'E Balans VL '!E15/100/3.6*1000000</f>
        <v>79.362326998196139</v>
      </c>
      <c r="K15" s="33"/>
      <c r="L15" s="33"/>
      <c r="M15" s="33"/>
      <c r="N15" s="33">
        <f>C37*'E Balans VL '!Y15/100/3.6*1000000</f>
        <v>4972.7123528139564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40658.09107967389</v>
      </c>
      <c r="C18" s="21">
        <f>C5+C16</f>
        <v>0</v>
      </c>
      <c r="D18" s="21">
        <f>MAX((D5+D16),0)</f>
        <v>57531.174479780093</v>
      </c>
      <c r="E18" s="21">
        <f>MAX((E5+E16),0)</f>
        <v>5105.5617053618571</v>
      </c>
      <c r="F18" s="21">
        <f>MAX((F5+F16),0)</f>
        <v>15435.938830470212</v>
      </c>
      <c r="G18" s="21"/>
      <c r="H18" s="21"/>
      <c r="I18" s="21"/>
      <c r="J18" s="21">
        <f>MAX((J5+J16),0)</f>
        <v>79.368853684874693</v>
      </c>
      <c r="K18" s="21"/>
      <c r="L18" s="21">
        <f>MAX((L5+L16),0)</f>
        <v>0</v>
      </c>
      <c r="M18" s="21"/>
      <c r="N18" s="21">
        <f>MAX((N5+N16),0)</f>
        <v>9719.4968784824196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0.17334373325065472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7047.8252945958147</v>
      </c>
      <c r="C22" s="23">
        <f ca="1">C18*C20</f>
        <v>0</v>
      </c>
      <c r="D22" s="23">
        <f>D18*D20</f>
        <v>11621.297244915579</v>
      </c>
      <c r="E22" s="23">
        <f>E18*E20</f>
        <v>1158.9625071171415</v>
      </c>
      <c r="F22" s="23">
        <f>F18*F20</f>
        <v>4121.3956677355463</v>
      </c>
      <c r="G22" s="23"/>
      <c r="H22" s="23"/>
      <c r="I22" s="23"/>
      <c r="J22" s="23">
        <f>J18*J20</f>
        <v>28.096574204445641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1420.8727548693601</v>
      </c>
      <c r="C30" s="39">
        <f>IF(ISERROR(B30*3.6/1000000/'E Balans VL '!Z18*100),0,B30*3.6/1000000/'E Balans VL '!Z18*100)</f>
        <v>8.0524502374483234E-2</v>
      </c>
      <c r="D30" s="237" t="s">
        <v>754</v>
      </c>
    </row>
    <row r="31" spans="1:18">
      <c r="A31" s="6" t="s">
        <v>33</v>
      </c>
      <c r="B31" s="37">
        <f>IF( ISERROR(IND_ander_ele_kWh/1000),0,IND_ander_ele_kWh/1000)</f>
        <v>13201.1095484335</v>
      </c>
      <c r="C31" s="39">
        <f>IF(ISERROR(B31*3.6/1000000/'E Balans VL '!Z19*100),0,B31*3.6/1000000/'E Balans VL '!Z19*100)</f>
        <v>0.59874736065349321</v>
      </c>
      <c r="D31" s="237" t="s">
        <v>754</v>
      </c>
    </row>
    <row r="32" spans="1:18">
      <c r="A32" s="171" t="s">
        <v>41</v>
      </c>
      <c r="B32" s="37">
        <f>IF( ISERROR(IND_voed_ele_kWh/1000),0,IND_voed_ele_kWh/1000)</f>
        <v>2237.5244250176497</v>
      </c>
      <c r="C32" s="39">
        <f>IF(ISERROR(B32*3.6/1000000/'E Balans VL '!Z20*100),0,B32*3.6/1000000/'E Balans VL '!Z20*100)</f>
        <v>6.921678796903169E-2</v>
      </c>
      <c r="D32" s="237" t="s">
        <v>754</v>
      </c>
    </row>
    <row r="33" spans="1:5">
      <c r="A33" s="171" t="s">
        <v>40</v>
      </c>
      <c r="B33" s="37">
        <f>IF( ISERROR(IND_textiel_ele_kWh/1000),0,IND_textiel_ele_kWh/1000)</f>
        <v>1588.0184453279398</v>
      </c>
      <c r="C33" s="39">
        <f>IF(ISERROR(B33*3.6/1000000/'E Balans VL '!Z21*100),0,B33*3.6/1000000/'E Balans VL '!Z21*100)</f>
        <v>0.20705995354691537</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42.200391058137996</v>
      </c>
      <c r="C35" s="39">
        <f>IF(ISERROR(B35*3.6/1000000/'E Balans VL '!Z22*100),0,B35*3.6/1000000/'E Balans VL '!Z22*100)</f>
        <v>7.5905337143216097E-3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22168.3655149673</v>
      </c>
      <c r="C37" s="39">
        <f>IF(ISERROR(B37*3.6/1000000/'E Balans VL '!Z15*100),0,B37*3.6/1000000/'E Balans VL '!Z15*100)</f>
        <v>0.17571152204822932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1013.374001085365</v>
      </c>
      <c r="C5" s="17">
        <f>'Eigen informatie GS &amp; warmtenet'!B60</f>
        <v>0</v>
      </c>
      <c r="D5" s="30">
        <f>IF(ISERROR(SUM(LB_lb_gas_kWh,LB_rest_gas_kWh,onbekend_gas_kWh)/1000),0,SUM(LB_lb_gas_kWh,LB_rest_gas_kWh,onbekend_gas_kWh)/1000)*0.902</f>
        <v>5063.5809503178798</v>
      </c>
      <c r="E5" s="17">
        <f>B17*'E Balans VL '!I25/3.6*1000000/100</f>
        <v>29.78615709335098</v>
      </c>
      <c r="F5" s="17">
        <f>B17*('E Balans VL '!L25/3.6*1000000+'E Balans VL '!N25/3.6*1000000)/100</f>
        <v>4221.6613286648289</v>
      </c>
      <c r="G5" s="18"/>
      <c r="H5" s="17"/>
      <c r="I5" s="17"/>
      <c r="J5" s="17">
        <f>('E Balans VL '!D25+'E Balans VL '!E25)/3.6*1000000*landbouw!B17/100</f>
        <v>146.81613030148367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1013.374001085365</v>
      </c>
      <c r="C8" s="21">
        <f>C5+C6</f>
        <v>0</v>
      </c>
      <c r="D8" s="21">
        <f>MAX((D5+D6),0)</f>
        <v>5063.5809503178798</v>
      </c>
      <c r="E8" s="21">
        <f>MAX((E5+E6),0)</f>
        <v>29.78615709335098</v>
      </c>
      <c r="F8" s="21">
        <f>MAX((F5+F6),0)</f>
        <v>4221.6613286648289</v>
      </c>
      <c r="G8" s="21"/>
      <c r="H8" s="21"/>
      <c r="I8" s="21"/>
      <c r="J8" s="21">
        <f>MAX((J5+J6),0)</f>
        <v>146.81613030148367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0.17334373325065472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175.66203252729019</v>
      </c>
      <c r="C12" s="23">
        <f ca="1">C8*C10</f>
        <v>0</v>
      </c>
      <c r="D12" s="23">
        <f>D8*D10</f>
        <v>1022.8433519642118</v>
      </c>
      <c r="E12" s="23">
        <f>E8*E10</f>
        <v>6.7614576601906728</v>
      </c>
      <c r="F12" s="23">
        <f>F8*F10</f>
        <v>1127.1835747535094</v>
      </c>
      <c r="G12" s="23"/>
      <c r="H12" s="23"/>
      <c r="I12" s="23"/>
      <c r="J12" s="23">
        <f>J8*J10</f>
        <v>51.972910126725218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0.14380095011798097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182.1432584616104</v>
      </c>
      <c r="C26" s="247">
        <f>B26*'GWP N2O_CH4'!B5</f>
        <v>3825.0084276938182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79.321179202949267</v>
      </c>
      <c r="C27" s="247">
        <f>B27*'GWP N2O_CH4'!B5</f>
        <v>1665.7447632619346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2.3921342865222286</v>
      </c>
      <c r="C28" s="247">
        <f>B28*'GWP N2O_CH4'!B4</f>
        <v>741.56162882189085</v>
      </c>
      <c r="D28" s="50"/>
    </row>
    <row r="29" spans="1:4">
      <c r="A29" s="41" t="s">
        <v>277</v>
      </c>
      <c r="B29" s="247">
        <f>B34*'ha_N2O bodem landbouw'!B4</f>
        <v>9.5633926171320969</v>
      </c>
      <c r="C29" s="247">
        <f>B29*'GWP N2O_CH4'!B4</f>
        <v>2964.6517113109498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2.1823332383124291E-3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2.7752037910268605E-4</v>
      </c>
      <c r="C5" s="463" t="s">
        <v>211</v>
      </c>
      <c r="D5" s="448">
        <f>SUM(D6:D11)</f>
        <v>9.4335946143047234E-4</v>
      </c>
      <c r="E5" s="448">
        <f>SUM(E6:E11)</f>
        <v>1.3803628229147652E-3</v>
      </c>
      <c r="F5" s="461" t="s">
        <v>211</v>
      </c>
      <c r="G5" s="448">
        <f>SUM(G6:G11)</f>
        <v>0.56525532129397771</v>
      </c>
      <c r="H5" s="448">
        <f>SUM(H6:H11)</f>
        <v>0.10825542736637916</v>
      </c>
      <c r="I5" s="463" t="s">
        <v>211</v>
      </c>
      <c r="J5" s="463" t="s">
        <v>211</v>
      </c>
      <c r="K5" s="463" t="s">
        <v>211</v>
      </c>
      <c r="L5" s="463" t="s">
        <v>211</v>
      </c>
      <c r="M5" s="448">
        <f>SUM(M6:M11)</f>
        <v>3.6238493024873808E-2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1.2822240350028111E-4</v>
      </c>
      <c r="C6" s="449"/>
      <c r="D6" s="962">
        <f>vkm_2011_GW_PW*SUMIFS(TableVerdeelsleutelVkm[CNG],TableVerdeelsleutelVkm[Voertuigtype],"Lichte voertuigen")*SUMIFS(TableECFTransport[EnergieConsumptieFactor (PJ per km)],TableECFTransport[Index],CONCATENATE($A6,"_CNG_CNG"))</f>
        <v>3.8459361753532292E-4</v>
      </c>
      <c r="E6" s="962">
        <f>vkm_2011_GW_PW*SUMIFS(TableVerdeelsleutelVkm[LPG],TableVerdeelsleutelVkm[Voertuigtype],"Lichte voertuigen")*SUMIFS(TableECFTransport[EnergieConsumptieFactor (PJ per km)],TableECFTransport[Index],CONCATENATE($A6,"_LPG_LPG"))</f>
        <v>5.2541012570385371E-4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0.135846973332506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4.3735447710473933E-2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9.2348570623191698E-3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6.5435008287894253E-2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1.9939772677871898E-5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3.8238046073597004E-3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4.1147733961665002E-5</v>
      </c>
      <c r="C8" s="449"/>
      <c r="D8" s="451">
        <f>vkm_2011_NGW_PW*SUMIFS(TableVerdeelsleutelVkm[CNG],TableVerdeelsleutelVkm[Voertuigtype],"Lichte voertuigen")*SUMIFS(TableECFTransport[EnergieConsumptieFactor (PJ per km)],TableECFTransport[Index],CONCATENATE($A8,"_CNG_CNG"))</f>
        <v>2.1944140513642293E-4</v>
      </c>
      <c r="E8" s="451">
        <f>vkm_2011_NGW_PW*SUMIFS(TableVerdeelsleutelVkm[LPG],TableVerdeelsleutelVkm[Voertuigtype],"Lichte voertuigen")*SUMIFS(TableECFTransport[EnergieConsumptieFactor (PJ per km)],TableECFTransport[Index],CONCATENATE($A8,"_LPG_LPG"))</f>
        <v>2.7763815120154881E-4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6.6895557435949646E-2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2.4250375646072547E-2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4.6280627967338599E-3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1.2770643084237109E-2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3.6635595922042289E-6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7.4626721234338919E-4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1.0815024164073991E-4</v>
      </c>
      <c r="C10" s="449"/>
      <c r="D10" s="451">
        <f>vkm_2011_SW_PW*SUMIFS(TableVerdeelsleutelVkm[CNG],TableVerdeelsleutelVkm[Voertuigtype],"Lichte voertuigen")*SUMIFS(TableECFTransport[EnergieConsumptieFactor (PJ per km)],TableECFTransport[Index],CONCATENATE($A10,"_CNG_CNG"))</f>
        <v>3.3932443875872657E-4</v>
      </c>
      <c r="E10" s="451">
        <f>vkm_2011_SW_PW*SUMIFS(TableVerdeelsleutelVkm[LPG],TableVerdeelsleutelVkm[Voertuigtype],"Lichte voertuigen")*SUMIFS(TableECFTransport[EnergieConsumptieFactor (PJ per km)],TableECFTransport[Index],CONCATENATE($A10,"_LPG_LPG"))</f>
        <v>5.7731454600936272E-4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0.13307231087533214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4.0196233686293763E-2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8.9677309186260677E-3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0.15123482827805851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4.9766991268855151E-5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8.8377704274916237E-3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77.08899419519058</v>
      </c>
      <c r="C14" s="21"/>
      <c r="D14" s="21">
        <f t="shared" ref="D14:M14" si="0">((D5)*10^9/3600)+D12</f>
        <v>262.04429484179786</v>
      </c>
      <c r="E14" s="21">
        <f t="shared" si="0"/>
        <v>383.43411747632365</v>
      </c>
      <c r="F14" s="21"/>
      <c r="G14" s="21">
        <f t="shared" si="0"/>
        <v>157015.36702610494</v>
      </c>
      <c r="H14" s="21">
        <f t="shared" si="0"/>
        <v>30070.952046216436</v>
      </c>
      <c r="I14" s="21"/>
      <c r="J14" s="21"/>
      <c r="K14" s="21"/>
      <c r="L14" s="21"/>
      <c r="M14" s="21">
        <f t="shared" si="0"/>
        <v>10066.248062464947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0.17334373325065472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13.362894046332386</v>
      </c>
      <c r="C18" s="23"/>
      <c r="D18" s="23">
        <f t="shared" ref="D18:M18" si="1">D14*D16</f>
        <v>52.932947558043175</v>
      </c>
      <c r="E18" s="23">
        <f t="shared" si="1"/>
        <v>87.039544667125469</v>
      </c>
      <c r="F18" s="23"/>
      <c r="G18" s="23">
        <f t="shared" si="1"/>
        <v>41923.102995970024</v>
      </c>
      <c r="H18" s="23">
        <f t="shared" si="1"/>
        <v>7487.6670595078922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7.734654528489448E-3</v>
      </c>
      <c r="H50" s="321">
        <f t="shared" si="2"/>
        <v>0</v>
      </c>
      <c r="I50" s="321">
        <f t="shared" si="2"/>
        <v>0</v>
      </c>
      <c r="J50" s="321">
        <f t="shared" si="2"/>
        <v>0</v>
      </c>
      <c r="K50" s="321">
        <f t="shared" si="2"/>
        <v>0</v>
      </c>
      <c r="L50" s="321">
        <f t="shared" si="2"/>
        <v>0</v>
      </c>
      <c r="M50" s="321">
        <f t="shared" si="2"/>
        <v>4.3929423199497646E-4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7.734654528489448E-3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4.3929423199497646E-4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2148.5151468026243</v>
      </c>
      <c r="H54" s="21">
        <f t="shared" si="3"/>
        <v>0</v>
      </c>
      <c r="I54" s="21">
        <f t="shared" si="3"/>
        <v>0</v>
      </c>
      <c r="J54" s="21">
        <f t="shared" si="3"/>
        <v>0</v>
      </c>
      <c r="K54" s="21">
        <f t="shared" si="3"/>
        <v>0</v>
      </c>
      <c r="L54" s="21">
        <f t="shared" si="3"/>
        <v>0</v>
      </c>
      <c r="M54" s="21">
        <f t="shared" si="3"/>
        <v>122.02617555416013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0.17334373325065472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573.65354419630069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7922.8263142127898</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11972.931305987178</v>
      </c>
      <c r="C6" s="1263"/>
      <c r="D6" s="1248"/>
      <c r="E6" s="1248"/>
      <c r="F6" s="1266"/>
      <c r="G6" s="1269"/>
      <c r="H6" s="1260"/>
      <c r="I6" s="1248"/>
      <c r="J6" s="1248"/>
      <c r="K6" s="1248"/>
      <c r="L6" s="1252"/>
      <c r="M6" s="575"/>
      <c r="N6" s="1226"/>
      <c r="O6" s="1227"/>
      <c r="Q6" s="573"/>
      <c r="R6" s="1214"/>
      <c r="S6" s="1214"/>
    </row>
    <row r="7" spans="1:19" s="563" customFormat="1">
      <c r="A7" s="576" t="s">
        <v>252</v>
      </c>
      <c r="B7" s="577">
        <f>N57</f>
        <v>14094</v>
      </c>
      <c r="C7" s="578">
        <f>B100</f>
        <v>0</v>
      </c>
      <c r="D7" s="579"/>
      <c r="E7" s="579">
        <f>E100</f>
        <v>0</v>
      </c>
      <c r="F7" s="580"/>
      <c r="G7" s="581"/>
      <c r="H7" s="579">
        <f>I100</f>
        <v>0</v>
      </c>
      <c r="I7" s="579">
        <f>G100+F100</f>
        <v>0</v>
      </c>
      <c r="J7" s="579">
        <f>H100+D100+C100</f>
        <v>16581.176470588238</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33989.757620199969</v>
      </c>
      <c r="C9" s="594">
        <f t="shared" ref="C9:L9" si="0">SUM(C7:C8)</f>
        <v>0</v>
      </c>
      <c r="D9" s="594">
        <f t="shared" si="0"/>
        <v>0</v>
      </c>
      <c r="E9" s="594">
        <f t="shared" si="0"/>
        <v>0</v>
      </c>
      <c r="F9" s="594">
        <f t="shared" si="0"/>
        <v>0</v>
      </c>
      <c r="G9" s="594">
        <f t="shared" si="0"/>
        <v>0</v>
      </c>
      <c r="H9" s="594">
        <f t="shared" si="0"/>
        <v>0</v>
      </c>
      <c r="I9" s="594">
        <f t="shared" si="0"/>
        <v>0</v>
      </c>
      <c r="J9" s="594">
        <f t="shared" si="0"/>
        <v>16581.176470588238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20134.285714285714</v>
      </c>
      <c r="C16" s="610">
        <f>B101</f>
        <v>0</v>
      </c>
      <c r="D16" s="611"/>
      <c r="E16" s="611">
        <f>E101</f>
        <v>0</v>
      </c>
      <c r="F16" s="612"/>
      <c r="G16" s="613"/>
      <c r="H16" s="610">
        <f>I101</f>
        <v>0</v>
      </c>
      <c r="I16" s="611">
        <f>G101+F101</f>
        <v>0</v>
      </c>
      <c r="J16" s="611">
        <f>H101+D101+C101</f>
        <v>23687.394957983193</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20134.285714285714</v>
      </c>
      <c r="C19" s="593">
        <f>SUM(C16:C18)</f>
        <v>0</v>
      </c>
      <c r="D19" s="593">
        <f t="shared" ref="D19:M19" si="1">SUM(D16:D18)</f>
        <v>0</v>
      </c>
      <c r="E19" s="593">
        <f t="shared" si="1"/>
        <v>0</v>
      </c>
      <c r="F19" s="593">
        <f t="shared" si="1"/>
        <v>0</v>
      </c>
      <c r="G19" s="593">
        <f t="shared" si="1"/>
        <v>0</v>
      </c>
      <c r="H19" s="593">
        <f t="shared" si="1"/>
        <v>0</v>
      </c>
      <c r="I19" s="593">
        <f t="shared" si="1"/>
        <v>0</v>
      </c>
      <c r="J19" s="593">
        <f t="shared" si="1"/>
        <v>23687.394957983193</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34027</v>
      </c>
      <c r="C27" s="851">
        <v>8930</v>
      </c>
      <c r="D27" s="672" t="s">
        <v>844</v>
      </c>
      <c r="E27" s="671" t="s">
        <v>845</v>
      </c>
      <c r="F27" s="671" t="s">
        <v>846</v>
      </c>
      <c r="G27" s="671" t="s">
        <v>847</v>
      </c>
      <c r="H27" s="671" t="s">
        <v>848</v>
      </c>
      <c r="I27" s="671" t="s">
        <v>849</v>
      </c>
      <c r="J27" s="850">
        <v>41613</v>
      </c>
      <c r="K27" s="850">
        <v>41613</v>
      </c>
      <c r="L27" s="671" t="s">
        <v>850</v>
      </c>
      <c r="M27" s="671">
        <v>3132</v>
      </c>
      <c r="N27" s="671">
        <v>14094</v>
      </c>
      <c r="O27" s="671">
        <v>20134.285714285714</v>
      </c>
      <c r="P27" s="671">
        <v>0</v>
      </c>
      <c r="Q27" s="671">
        <v>40268.571428571428</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3132</v>
      </c>
      <c r="N57" s="629">
        <f>SUM(N27:N56)</f>
        <v>14094</v>
      </c>
      <c r="O57" s="629">
        <f t="shared" ref="O57:W57" si="2">SUM(O27:O56)</f>
        <v>20134.285714285714</v>
      </c>
      <c r="P57" s="629">
        <f t="shared" si="2"/>
        <v>0</v>
      </c>
      <c r="Q57" s="629">
        <f t="shared" si="2"/>
        <v>40268.571428571428</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3132</v>
      </c>
      <c r="N59" s="629">
        <f ca="1">SUMIF($Z$27:AB56,"tertiair",N27:N56)</f>
        <v>14094</v>
      </c>
      <c r="O59" s="629">
        <f ca="1">SUMIF($Z$27:AC56,"tertiair",O27:O56)</f>
        <v>20134.285714285714</v>
      </c>
      <c r="P59" s="629">
        <f ca="1">SUMIF($Z$27:AD56,"tertiair",P27:P56)</f>
        <v>0</v>
      </c>
      <c r="Q59" s="629">
        <f ca="1">SUMIF($Z$27:AE56,"tertiair",Q27:Q56)</f>
        <v>40268.571428571428</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16581.176470588238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23687.394957983193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68236.601373175014</v>
      </c>
      <c r="D10" s="718">
        <f ca="1">tertiair!C16</f>
        <v>20134.285714285714</v>
      </c>
      <c r="E10" s="718">
        <f ca="1">tertiair!D16</f>
        <v>55035.43745786362</v>
      </c>
      <c r="F10" s="718">
        <f>tertiair!E16</f>
        <v>704.42811302404505</v>
      </c>
      <c r="G10" s="718">
        <f ca="1">tertiair!F16</f>
        <v>9190.7940923287097</v>
      </c>
      <c r="H10" s="718">
        <f>tertiair!G16</f>
        <v>0</v>
      </c>
      <c r="I10" s="718">
        <f>tertiair!H16</f>
        <v>0</v>
      </c>
      <c r="J10" s="718">
        <f>tertiair!I16</f>
        <v>0</v>
      </c>
      <c r="K10" s="718">
        <f>tertiair!J16</f>
        <v>0.14103661525294428</v>
      </c>
      <c r="L10" s="718">
        <f>tertiair!K16</f>
        <v>0</v>
      </c>
      <c r="M10" s="718">
        <f ca="1">tertiair!L16</f>
        <v>0</v>
      </c>
      <c r="N10" s="718">
        <f>tertiair!M16</f>
        <v>0</v>
      </c>
      <c r="O10" s="718">
        <f ca="1">tertiair!N16</f>
        <v>0</v>
      </c>
      <c r="P10" s="718">
        <f>tertiair!O16</f>
        <v>4.6900000000000004</v>
      </c>
      <c r="Q10" s="719">
        <f>tertiair!P16</f>
        <v>38.133333333333333</v>
      </c>
      <c r="R10" s="721">
        <f ca="1">SUM(C10:Q10)</f>
        <v>153344.51112062568</v>
      </c>
      <c r="S10" s="67"/>
    </row>
    <row r="11" spans="1:19" s="474" customFormat="1">
      <c r="A11" s="870" t="s">
        <v>225</v>
      </c>
      <c r="B11" s="875"/>
      <c r="C11" s="718">
        <f>huishoudens!B8</f>
        <v>47638.111048451261</v>
      </c>
      <c r="D11" s="718">
        <f>huishoudens!C8</f>
        <v>0</v>
      </c>
      <c r="E11" s="718">
        <f>huishoudens!D8</f>
        <v>152402.55365565576</v>
      </c>
      <c r="F11" s="718">
        <f>huishoudens!E8</f>
        <v>3631.3310802291694</v>
      </c>
      <c r="G11" s="718">
        <f>huishoudens!F8</f>
        <v>0</v>
      </c>
      <c r="H11" s="718">
        <f>huishoudens!G8</f>
        <v>0</v>
      </c>
      <c r="I11" s="718">
        <f>huishoudens!H8</f>
        <v>0</v>
      </c>
      <c r="J11" s="718">
        <f>huishoudens!I8</f>
        <v>0</v>
      </c>
      <c r="K11" s="718">
        <f>huishoudens!J8</f>
        <v>7563.3401345378325</v>
      </c>
      <c r="L11" s="718">
        <f>huishoudens!K8</f>
        <v>0</v>
      </c>
      <c r="M11" s="718">
        <f>huishoudens!L8</f>
        <v>0</v>
      </c>
      <c r="N11" s="718">
        <f>huishoudens!M8</f>
        <v>0</v>
      </c>
      <c r="O11" s="718">
        <f>huishoudens!N8</f>
        <v>19594.350382168621</v>
      </c>
      <c r="P11" s="718">
        <f>huishoudens!O8</f>
        <v>378.32666666666671</v>
      </c>
      <c r="Q11" s="719">
        <f>huishoudens!P8</f>
        <v>495.73333333333335</v>
      </c>
      <c r="R11" s="721">
        <f>SUM(C11:Q11)</f>
        <v>231703.74630104267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40658.09107967389</v>
      </c>
      <c r="D13" s="718">
        <f>industrie!C18</f>
        <v>0</v>
      </c>
      <c r="E13" s="718">
        <f>industrie!D18</f>
        <v>57531.174479780093</v>
      </c>
      <c r="F13" s="718">
        <f>industrie!E18</f>
        <v>5105.5617053618571</v>
      </c>
      <c r="G13" s="718">
        <f>industrie!F18</f>
        <v>15435.938830470212</v>
      </c>
      <c r="H13" s="718">
        <f>industrie!G18</f>
        <v>0</v>
      </c>
      <c r="I13" s="718">
        <f>industrie!H18</f>
        <v>0</v>
      </c>
      <c r="J13" s="718">
        <f>industrie!I18</f>
        <v>0</v>
      </c>
      <c r="K13" s="718">
        <f>industrie!J18</f>
        <v>79.368853684874693</v>
      </c>
      <c r="L13" s="718">
        <f>industrie!K18</f>
        <v>0</v>
      </c>
      <c r="M13" s="718">
        <f>industrie!L18</f>
        <v>0</v>
      </c>
      <c r="N13" s="718">
        <f>industrie!M18</f>
        <v>0</v>
      </c>
      <c r="O13" s="718">
        <f>industrie!N18</f>
        <v>9719.4968784824196</v>
      </c>
      <c r="P13" s="718">
        <f>industrie!O18</f>
        <v>0</v>
      </c>
      <c r="Q13" s="719">
        <f>industrie!P18</f>
        <v>0</v>
      </c>
      <c r="R13" s="721">
        <f>SUM(C13:Q13)</f>
        <v>128529.63182745336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156532.80350130016</v>
      </c>
      <c r="D15" s="723">
        <f t="shared" ref="D15:Q15" ca="1" si="0">SUM(D9:D14)</f>
        <v>20134.285714285714</v>
      </c>
      <c r="E15" s="723">
        <f t="shared" ca="1" si="0"/>
        <v>264969.16559329949</v>
      </c>
      <c r="F15" s="723">
        <f t="shared" si="0"/>
        <v>9441.3208986150712</v>
      </c>
      <c r="G15" s="723">
        <f t="shared" ca="1" si="0"/>
        <v>24626.732922798921</v>
      </c>
      <c r="H15" s="723">
        <f t="shared" si="0"/>
        <v>0</v>
      </c>
      <c r="I15" s="723">
        <f t="shared" si="0"/>
        <v>0</v>
      </c>
      <c r="J15" s="723">
        <f t="shared" si="0"/>
        <v>0</v>
      </c>
      <c r="K15" s="723">
        <f t="shared" si="0"/>
        <v>7642.8500248379605</v>
      </c>
      <c r="L15" s="723">
        <f t="shared" si="0"/>
        <v>0</v>
      </c>
      <c r="M15" s="723">
        <f t="shared" ca="1" si="0"/>
        <v>0</v>
      </c>
      <c r="N15" s="723">
        <f t="shared" si="0"/>
        <v>0</v>
      </c>
      <c r="O15" s="723">
        <f t="shared" ca="1" si="0"/>
        <v>29313.84726065104</v>
      </c>
      <c r="P15" s="723">
        <f t="shared" si="0"/>
        <v>383.01666666666671</v>
      </c>
      <c r="Q15" s="724">
        <f t="shared" si="0"/>
        <v>533.86666666666667</v>
      </c>
      <c r="R15" s="725">
        <f ca="1">SUM(R9:R14)</f>
        <v>513577.88924912177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2148.5151468026243</v>
      </c>
      <c r="I18" s="718">
        <f>transport!H54</f>
        <v>0</v>
      </c>
      <c r="J18" s="718">
        <f>transport!I54</f>
        <v>0</v>
      </c>
      <c r="K18" s="718">
        <f>transport!J54</f>
        <v>0</v>
      </c>
      <c r="L18" s="718">
        <f>transport!K54</f>
        <v>0</v>
      </c>
      <c r="M18" s="718">
        <f>transport!L54</f>
        <v>0</v>
      </c>
      <c r="N18" s="718">
        <f>transport!M54</f>
        <v>122.02617555416013</v>
      </c>
      <c r="O18" s="718">
        <f>transport!N54</f>
        <v>0</v>
      </c>
      <c r="P18" s="718">
        <f>transport!O54</f>
        <v>0</v>
      </c>
      <c r="Q18" s="719">
        <f>transport!P54</f>
        <v>0</v>
      </c>
      <c r="R18" s="721">
        <f>SUM(C18:Q18)</f>
        <v>2270.5413223567843</v>
      </c>
      <c r="S18" s="67"/>
    </row>
    <row r="19" spans="1:19" s="474" customFormat="1" ht="15" thickBot="1">
      <c r="A19" s="870" t="s">
        <v>307</v>
      </c>
      <c r="B19" s="875"/>
      <c r="C19" s="727">
        <f>transport!B14</f>
        <v>77.08899419519058</v>
      </c>
      <c r="D19" s="727">
        <f>transport!C14</f>
        <v>0</v>
      </c>
      <c r="E19" s="727">
        <f>transport!D14</f>
        <v>262.04429484179786</v>
      </c>
      <c r="F19" s="727">
        <f>transport!E14</f>
        <v>383.43411747632365</v>
      </c>
      <c r="G19" s="727">
        <f>transport!F14</f>
        <v>0</v>
      </c>
      <c r="H19" s="727">
        <f>transport!G14</f>
        <v>157015.36702610494</v>
      </c>
      <c r="I19" s="727">
        <f>transport!H14</f>
        <v>30070.952046216436</v>
      </c>
      <c r="J19" s="727">
        <f>transport!I14</f>
        <v>0</v>
      </c>
      <c r="K19" s="727">
        <f>transport!J14</f>
        <v>0</v>
      </c>
      <c r="L19" s="727">
        <f>transport!K14</f>
        <v>0</v>
      </c>
      <c r="M19" s="727">
        <f>transport!L14</f>
        <v>0</v>
      </c>
      <c r="N19" s="727">
        <f>transport!M14</f>
        <v>10066.248062464947</v>
      </c>
      <c r="O19" s="727">
        <f>transport!N14</f>
        <v>0</v>
      </c>
      <c r="P19" s="727">
        <f>transport!O14</f>
        <v>0</v>
      </c>
      <c r="Q19" s="728">
        <f>transport!P14</f>
        <v>0</v>
      </c>
      <c r="R19" s="729">
        <f>SUM(C19:Q19)</f>
        <v>197875.13454129966</v>
      </c>
      <c r="S19" s="67"/>
    </row>
    <row r="20" spans="1:19" s="474" customFormat="1" ht="15.75" thickBot="1">
      <c r="A20" s="730" t="s">
        <v>230</v>
      </c>
      <c r="B20" s="878"/>
      <c r="C20" s="873">
        <f>SUM(C17:C19)</f>
        <v>77.08899419519058</v>
      </c>
      <c r="D20" s="731">
        <f t="shared" ref="D20:R20" si="1">SUM(D17:D19)</f>
        <v>0</v>
      </c>
      <c r="E20" s="731">
        <f t="shared" si="1"/>
        <v>262.04429484179786</v>
      </c>
      <c r="F20" s="731">
        <f t="shared" si="1"/>
        <v>383.43411747632365</v>
      </c>
      <c r="G20" s="731">
        <f t="shared" si="1"/>
        <v>0</v>
      </c>
      <c r="H20" s="731">
        <f t="shared" si="1"/>
        <v>159163.88217290756</v>
      </c>
      <c r="I20" s="731">
        <f t="shared" si="1"/>
        <v>30070.952046216436</v>
      </c>
      <c r="J20" s="731">
        <f t="shared" si="1"/>
        <v>0</v>
      </c>
      <c r="K20" s="731">
        <f t="shared" si="1"/>
        <v>0</v>
      </c>
      <c r="L20" s="731">
        <f t="shared" si="1"/>
        <v>0</v>
      </c>
      <c r="M20" s="731">
        <f t="shared" si="1"/>
        <v>0</v>
      </c>
      <c r="N20" s="731">
        <f t="shared" si="1"/>
        <v>10188.274238019107</v>
      </c>
      <c r="O20" s="731">
        <f t="shared" si="1"/>
        <v>0</v>
      </c>
      <c r="P20" s="731">
        <f t="shared" si="1"/>
        <v>0</v>
      </c>
      <c r="Q20" s="732">
        <f t="shared" si="1"/>
        <v>0</v>
      </c>
      <c r="R20" s="733">
        <f t="shared" si="1"/>
        <v>200145.67586365645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1013.374001085365</v>
      </c>
      <c r="D22" s="727">
        <f>+landbouw!C8</f>
        <v>0</v>
      </c>
      <c r="E22" s="727">
        <f>+landbouw!D8</f>
        <v>5063.5809503178798</v>
      </c>
      <c r="F22" s="727">
        <f>+landbouw!E8</f>
        <v>29.78615709335098</v>
      </c>
      <c r="G22" s="727">
        <f>+landbouw!F8</f>
        <v>4221.6613286648289</v>
      </c>
      <c r="H22" s="727">
        <f>+landbouw!G8</f>
        <v>0</v>
      </c>
      <c r="I22" s="727">
        <f>+landbouw!H8</f>
        <v>0</v>
      </c>
      <c r="J22" s="727">
        <f>+landbouw!I8</f>
        <v>0</v>
      </c>
      <c r="K22" s="727">
        <f>+landbouw!J8</f>
        <v>146.81613030148367</v>
      </c>
      <c r="L22" s="727">
        <f>+landbouw!K8</f>
        <v>0</v>
      </c>
      <c r="M22" s="727">
        <f>+landbouw!L8</f>
        <v>0</v>
      </c>
      <c r="N22" s="727">
        <f>+landbouw!M8</f>
        <v>0</v>
      </c>
      <c r="O22" s="727">
        <f>+landbouw!N8</f>
        <v>0</v>
      </c>
      <c r="P22" s="727">
        <f>+landbouw!O8</f>
        <v>0</v>
      </c>
      <c r="Q22" s="728">
        <f>+landbouw!P8</f>
        <v>0</v>
      </c>
      <c r="R22" s="729">
        <f>SUM(C22:Q22)</f>
        <v>10475.218567462909</v>
      </c>
      <c r="S22" s="67"/>
    </row>
    <row r="23" spans="1:19" s="474" customFormat="1" ht="17.25" thickTop="1" thickBot="1">
      <c r="A23" s="734" t="s">
        <v>116</v>
      </c>
      <c r="B23" s="864"/>
      <c r="C23" s="735">
        <f ca="1">C20+C15+C22</f>
        <v>157623.26649658071</v>
      </c>
      <c r="D23" s="735">
        <f t="shared" ref="D23:Q23" ca="1" si="2">D20+D15+D22</f>
        <v>20134.285714285714</v>
      </c>
      <c r="E23" s="735">
        <f t="shared" ca="1" si="2"/>
        <v>270294.79083845922</v>
      </c>
      <c r="F23" s="735">
        <f t="shared" si="2"/>
        <v>9854.5411731847453</v>
      </c>
      <c r="G23" s="735">
        <f t="shared" ca="1" si="2"/>
        <v>28848.394251463749</v>
      </c>
      <c r="H23" s="735">
        <f t="shared" si="2"/>
        <v>159163.88217290756</v>
      </c>
      <c r="I23" s="735">
        <f t="shared" si="2"/>
        <v>30070.952046216436</v>
      </c>
      <c r="J23" s="735">
        <f t="shared" si="2"/>
        <v>0</v>
      </c>
      <c r="K23" s="735">
        <f t="shared" si="2"/>
        <v>7789.6661551394445</v>
      </c>
      <c r="L23" s="735">
        <f t="shared" si="2"/>
        <v>0</v>
      </c>
      <c r="M23" s="735">
        <f t="shared" ca="1" si="2"/>
        <v>0</v>
      </c>
      <c r="N23" s="735">
        <f t="shared" si="2"/>
        <v>10188.274238019107</v>
      </c>
      <c r="O23" s="735">
        <f t="shared" ca="1" si="2"/>
        <v>29313.84726065104</v>
      </c>
      <c r="P23" s="735">
        <f t="shared" si="2"/>
        <v>383.01666666666671</v>
      </c>
      <c r="Q23" s="736">
        <f t="shared" si="2"/>
        <v>533.86666666666667</v>
      </c>
      <c r="R23" s="737">
        <f ca="1">R20+R15+R22</f>
        <v>724198.78368024109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11828.387226362909</v>
      </c>
      <c r="D36" s="718">
        <f ca="1">tertiair!C20</f>
        <v>0</v>
      </c>
      <c r="E36" s="718">
        <f ca="1">tertiair!D20</f>
        <v>11117.158366488451</v>
      </c>
      <c r="F36" s="718">
        <f>tertiair!E20</f>
        <v>159.90518165645824</v>
      </c>
      <c r="G36" s="718">
        <f ca="1">tertiair!F20</f>
        <v>2453.9420226517655</v>
      </c>
      <c r="H36" s="718">
        <f>tertiair!G20</f>
        <v>0</v>
      </c>
      <c r="I36" s="718">
        <f>tertiair!H20</f>
        <v>0</v>
      </c>
      <c r="J36" s="718">
        <f>tertiair!I20</f>
        <v>0</v>
      </c>
      <c r="K36" s="718">
        <f>tertiair!J20</f>
        <v>4.9926961799542272E-2</v>
      </c>
      <c r="L36" s="718">
        <f>tertiair!K20</f>
        <v>0</v>
      </c>
      <c r="M36" s="718">
        <f ca="1">tertiair!L20</f>
        <v>0</v>
      </c>
      <c r="N36" s="718">
        <f>tertiair!M20</f>
        <v>0</v>
      </c>
      <c r="O36" s="718">
        <f ca="1">tertiair!N20</f>
        <v>0</v>
      </c>
      <c r="P36" s="718">
        <f>tertiair!O20</f>
        <v>0</v>
      </c>
      <c r="Q36" s="828">
        <f>tertiair!P20</f>
        <v>0</v>
      </c>
      <c r="R36" s="917">
        <f ca="1">SUM(C36:Q36)</f>
        <v>25559.442724121385</v>
      </c>
    </row>
    <row r="37" spans="1:18">
      <c r="A37" s="885" t="s">
        <v>225</v>
      </c>
      <c r="B37" s="892"/>
      <c r="C37" s="718">
        <f ca="1">huishoudens!B12</f>
        <v>8257.7680141478031</v>
      </c>
      <c r="D37" s="718">
        <f ca="1">huishoudens!C12</f>
        <v>0</v>
      </c>
      <c r="E37" s="718">
        <f>huishoudens!D12</f>
        <v>30785.315838442468</v>
      </c>
      <c r="F37" s="718">
        <f>huishoudens!E12</f>
        <v>824.31215521202148</v>
      </c>
      <c r="G37" s="718">
        <f>huishoudens!F12</f>
        <v>0</v>
      </c>
      <c r="H37" s="718">
        <f>huishoudens!G12</f>
        <v>0</v>
      </c>
      <c r="I37" s="718">
        <f>huishoudens!H12</f>
        <v>0</v>
      </c>
      <c r="J37" s="718">
        <f>huishoudens!I12</f>
        <v>0</v>
      </c>
      <c r="K37" s="718">
        <f>huishoudens!J12</f>
        <v>2677.4224076263927</v>
      </c>
      <c r="L37" s="718">
        <f>huishoudens!K12</f>
        <v>0</v>
      </c>
      <c r="M37" s="718">
        <f>huishoudens!L12</f>
        <v>0</v>
      </c>
      <c r="N37" s="718">
        <f>huishoudens!M12</f>
        <v>0</v>
      </c>
      <c r="O37" s="718">
        <f>huishoudens!N12</f>
        <v>0</v>
      </c>
      <c r="P37" s="718">
        <f>huishoudens!O12</f>
        <v>0</v>
      </c>
      <c r="Q37" s="828">
        <f>huishoudens!P12</f>
        <v>0</v>
      </c>
      <c r="R37" s="917">
        <f ca="1">SUM(C37:Q37)</f>
        <v>42544.818415428686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7047.8252945958147</v>
      </c>
      <c r="D39" s="718">
        <f ca="1">industrie!C22</f>
        <v>0</v>
      </c>
      <c r="E39" s="718">
        <f>industrie!D22</f>
        <v>11621.297244915579</v>
      </c>
      <c r="F39" s="718">
        <f>industrie!E22</f>
        <v>1158.9625071171415</v>
      </c>
      <c r="G39" s="718">
        <f>industrie!F22</f>
        <v>4121.3956677355463</v>
      </c>
      <c r="H39" s="718">
        <f>industrie!G22</f>
        <v>0</v>
      </c>
      <c r="I39" s="718">
        <f>industrie!H22</f>
        <v>0</v>
      </c>
      <c r="J39" s="718">
        <f>industrie!I22</f>
        <v>0</v>
      </c>
      <c r="K39" s="718">
        <f>industrie!J22</f>
        <v>28.096574204445641</v>
      </c>
      <c r="L39" s="718">
        <f>industrie!K22</f>
        <v>0</v>
      </c>
      <c r="M39" s="718">
        <f>industrie!L22</f>
        <v>0</v>
      </c>
      <c r="N39" s="718">
        <f>industrie!M22</f>
        <v>0</v>
      </c>
      <c r="O39" s="718">
        <f>industrie!N22</f>
        <v>0</v>
      </c>
      <c r="P39" s="718">
        <f>industrie!O22</f>
        <v>0</v>
      </c>
      <c r="Q39" s="828">
        <f>industrie!P22</f>
        <v>0</v>
      </c>
      <c r="R39" s="918">
        <f ca="1">SUM(C39:Q39)</f>
        <v>23977.577288568529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27133.98053510653</v>
      </c>
      <c r="D41" s="763">
        <f t="shared" ref="D41:R41" ca="1" si="4">SUM(D35:D40)</f>
        <v>0</v>
      </c>
      <c r="E41" s="763">
        <f t="shared" ca="1" si="4"/>
        <v>53523.771449846499</v>
      </c>
      <c r="F41" s="763">
        <f t="shared" si="4"/>
        <v>2143.1798439856211</v>
      </c>
      <c r="G41" s="763">
        <f t="shared" ca="1" si="4"/>
        <v>6575.3376903873123</v>
      </c>
      <c r="H41" s="763">
        <f t="shared" si="4"/>
        <v>0</v>
      </c>
      <c r="I41" s="763">
        <f t="shared" si="4"/>
        <v>0</v>
      </c>
      <c r="J41" s="763">
        <f t="shared" si="4"/>
        <v>0</v>
      </c>
      <c r="K41" s="763">
        <f t="shared" si="4"/>
        <v>2705.5689087926376</v>
      </c>
      <c r="L41" s="763">
        <f t="shared" si="4"/>
        <v>0</v>
      </c>
      <c r="M41" s="763">
        <f t="shared" ca="1" si="4"/>
        <v>0</v>
      </c>
      <c r="N41" s="763">
        <f t="shared" si="4"/>
        <v>0</v>
      </c>
      <c r="O41" s="763">
        <f t="shared" ca="1" si="4"/>
        <v>0</v>
      </c>
      <c r="P41" s="763">
        <f t="shared" si="4"/>
        <v>0</v>
      </c>
      <c r="Q41" s="764">
        <f t="shared" si="4"/>
        <v>0</v>
      </c>
      <c r="R41" s="765">
        <f t="shared" ca="1" si="4"/>
        <v>92081.838428118601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573.65354419630069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573.65354419630069</v>
      </c>
    </row>
    <row r="45" spans="1:18" ht="15" thickBot="1">
      <c r="A45" s="888" t="s">
        <v>307</v>
      </c>
      <c r="B45" s="898"/>
      <c r="C45" s="727">
        <f ca="1">transport!B18</f>
        <v>13.362894046332386</v>
      </c>
      <c r="D45" s="727">
        <f>transport!C18</f>
        <v>0</v>
      </c>
      <c r="E45" s="727">
        <f>transport!D18</f>
        <v>52.932947558043175</v>
      </c>
      <c r="F45" s="727">
        <f>transport!E18</f>
        <v>87.039544667125469</v>
      </c>
      <c r="G45" s="727">
        <f>transport!F18</f>
        <v>0</v>
      </c>
      <c r="H45" s="727">
        <f>transport!G18</f>
        <v>41923.102995970024</v>
      </c>
      <c r="I45" s="727">
        <f>transport!H18</f>
        <v>7487.6670595078922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49564.105441749416</v>
      </c>
    </row>
    <row r="46" spans="1:18" ht="15.75" thickBot="1">
      <c r="A46" s="886" t="s">
        <v>230</v>
      </c>
      <c r="B46" s="899"/>
      <c r="C46" s="763">
        <f t="shared" ref="C46:R46" ca="1" si="5">SUM(C43:C45)</f>
        <v>13.362894046332386</v>
      </c>
      <c r="D46" s="763">
        <f t="shared" ca="1" si="5"/>
        <v>0</v>
      </c>
      <c r="E46" s="763">
        <f t="shared" si="5"/>
        <v>52.932947558043175</v>
      </c>
      <c r="F46" s="763">
        <f t="shared" si="5"/>
        <v>87.039544667125469</v>
      </c>
      <c r="G46" s="763">
        <f t="shared" si="5"/>
        <v>0</v>
      </c>
      <c r="H46" s="763">
        <f t="shared" si="5"/>
        <v>42496.756540166323</v>
      </c>
      <c r="I46" s="763">
        <f t="shared" si="5"/>
        <v>7487.6670595078922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50137.758985945715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175.66203252729019</v>
      </c>
      <c r="D48" s="718">
        <f ca="1">+landbouw!C12</f>
        <v>0</v>
      </c>
      <c r="E48" s="718">
        <f>+landbouw!D12</f>
        <v>1022.8433519642118</v>
      </c>
      <c r="F48" s="718">
        <f>+landbouw!E12</f>
        <v>6.7614576601906728</v>
      </c>
      <c r="G48" s="718">
        <f>+landbouw!F12</f>
        <v>1127.1835747535094</v>
      </c>
      <c r="H48" s="718">
        <f>+landbouw!G12</f>
        <v>0</v>
      </c>
      <c r="I48" s="718">
        <f>+landbouw!H12</f>
        <v>0</v>
      </c>
      <c r="J48" s="718">
        <f>+landbouw!I12</f>
        <v>0</v>
      </c>
      <c r="K48" s="718">
        <f>+landbouw!J12</f>
        <v>51.972910126725218</v>
      </c>
      <c r="L48" s="718">
        <f>+landbouw!K12</f>
        <v>0</v>
      </c>
      <c r="M48" s="718">
        <f>+landbouw!L12</f>
        <v>0</v>
      </c>
      <c r="N48" s="718">
        <f>+landbouw!M12</f>
        <v>0</v>
      </c>
      <c r="O48" s="718">
        <f>+landbouw!N12</f>
        <v>0</v>
      </c>
      <c r="P48" s="718">
        <f>+landbouw!O12</f>
        <v>0</v>
      </c>
      <c r="Q48" s="719">
        <f>+landbouw!P12</f>
        <v>0</v>
      </c>
      <c r="R48" s="761">
        <f ca="1">SUM(C48:Q48)</f>
        <v>2384.4233270319273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27323.00546168015</v>
      </c>
      <c r="D53" s="773">
        <f t="shared" ref="D53:Q53" ca="1" si="6">D41+D46+D48</f>
        <v>0</v>
      </c>
      <c r="E53" s="773">
        <f t="shared" ca="1" si="6"/>
        <v>54599.547749368758</v>
      </c>
      <c r="F53" s="773">
        <f t="shared" si="6"/>
        <v>2236.9808463129375</v>
      </c>
      <c r="G53" s="773">
        <f t="shared" ca="1" si="6"/>
        <v>7702.5212651408219</v>
      </c>
      <c r="H53" s="773">
        <f t="shared" si="6"/>
        <v>42496.756540166323</v>
      </c>
      <c r="I53" s="773">
        <f t="shared" si="6"/>
        <v>7487.6670595078922</v>
      </c>
      <c r="J53" s="773">
        <f t="shared" si="6"/>
        <v>0</v>
      </c>
      <c r="K53" s="773">
        <f t="shared" si="6"/>
        <v>2757.5418189193629</v>
      </c>
      <c r="L53" s="773">
        <f t="shared" si="6"/>
        <v>0</v>
      </c>
      <c r="M53" s="773">
        <f t="shared" ca="1" si="6"/>
        <v>0</v>
      </c>
      <c r="N53" s="773">
        <f t="shared" si="6"/>
        <v>0</v>
      </c>
      <c r="O53" s="773">
        <f t="shared" ca="1" si="6"/>
        <v>0</v>
      </c>
      <c r="P53" s="773">
        <f>P41+P46+P48</f>
        <v>0</v>
      </c>
      <c r="Q53" s="774">
        <f t="shared" si="6"/>
        <v>0</v>
      </c>
      <c r="R53" s="775">
        <f ca="1">R41+R46+R48</f>
        <v>144604.02074109623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0.17334373325065475</v>
      </c>
      <c r="D55" s="836">
        <f t="shared" ca="1" si="7"/>
        <v>0</v>
      </c>
      <c r="E55" s="836">
        <f t="shared" ca="1" si="7"/>
        <v>0.20199999999999999</v>
      </c>
      <c r="F55" s="836">
        <f t="shared" si="7"/>
        <v>0.22700000000000004</v>
      </c>
      <c r="G55" s="836">
        <f t="shared" ca="1" si="7"/>
        <v>0.26700000000000002</v>
      </c>
      <c r="H55" s="836">
        <f t="shared" si="7"/>
        <v>0.26700000000000002</v>
      </c>
      <c r="I55" s="836">
        <f t="shared" si="7"/>
        <v>0.24899999999999997</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7922.8263142127898</v>
      </c>
      <c r="C64" s="795">
        <f>'lokale energieproductie'!B4</f>
        <v>7922.8263142127898</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11972.931305987178</v>
      </c>
      <c r="C66" s="795">
        <f>'lokale energieproductie'!B6</f>
        <v>11972.931305987178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14094</v>
      </c>
      <c r="C67" s="794">
        <f>B67*IFERROR(SUM(J67:L67)/SUM(D67:M67),0)</f>
        <v>14094</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16581.176470588238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33989.757620199969</v>
      </c>
      <c r="C69" s="803">
        <f>SUM(C64:C68)</f>
        <v>33989.757620199969</v>
      </c>
      <c r="D69" s="804">
        <f t="shared" ref="D69:M69" si="8">SUM(D67:D68)</f>
        <v>0</v>
      </c>
      <c r="E69" s="804">
        <f t="shared" si="8"/>
        <v>0</v>
      </c>
      <c r="F69" s="804">
        <f t="shared" si="8"/>
        <v>0</v>
      </c>
      <c r="G69" s="804">
        <f t="shared" si="8"/>
        <v>0</v>
      </c>
      <c r="H69" s="804">
        <f t="shared" si="8"/>
        <v>0</v>
      </c>
      <c r="I69" s="804">
        <f t="shared" si="8"/>
        <v>0</v>
      </c>
      <c r="J69" s="804">
        <f t="shared" si="8"/>
        <v>0</v>
      </c>
      <c r="K69" s="804">
        <f t="shared" si="8"/>
        <v>16581.176470588238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20134.285714285714</v>
      </c>
      <c r="C78" s="817">
        <f>B78*IFERROR(SUM(I78:L78)/SUM(D78:M78),0)</f>
        <v>20134.285714285714</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23687.394957983193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20134.285714285714</v>
      </c>
      <c r="C81" s="803">
        <f>SUM(C78:C80)</f>
        <v>20134.285714285714</v>
      </c>
      <c r="D81" s="803">
        <f t="shared" ref="D81:P81" si="9">SUM(D78:D80)</f>
        <v>0</v>
      </c>
      <c r="E81" s="803">
        <f t="shared" si="9"/>
        <v>0</v>
      </c>
      <c r="F81" s="803">
        <f t="shared" si="9"/>
        <v>0</v>
      </c>
      <c r="G81" s="803">
        <f t="shared" si="9"/>
        <v>0</v>
      </c>
      <c r="H81" s="803">
        <f t="shared" si="9"/>
        <v>0</v>
      </c>
      <c r="I81" s="803">
        <f t="shared" si="9"/>
        <v>0</v>
      </c>
      <c r="J81" s="803">
        <f t="shared" si="9"/>
        <v>0</v>
      </c>
      <c r="K81" s="803">
        <f t="shared" si="9"/>
        <v>23687.394957983193</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47638.111048451261</v>
      </c>
      <c r="C4" s="478">
        <f>huishoudens!C8</f>
        <v>0</v>
      </c>
      <c r="D4" s="478">
        <f>huishoudens!D8</f>
        <v>152402.55365565576</v>
      </c>
      <c r="E4" s="478">
        <f>huishoudens!E8</f>
        <v>3631.3310802291694</v>
      </c>
      <c r="F4" s="478">
        <f>huishoudens!F8</f>
        <v>0</v>
      </c>
      <c r="G4" s="478">
        <f>huishoudens!G8</f>
        <v>0</v>
      </c>
      <c r="H4" s="478">
        <f>huishoudens!H8</f>
        <v>0</v>
      </c>
      <c r="I4" s="478">
        <f>huishoudens!I8</f>
        <v>0</v>
      </c>
      <c r="J4" s="478">
        <f>huishoudens!J8</f>
        <v>7563.3401345378325</v>
      </c>
      <c r="K4" s="478">
        <f>huishoudens!K8</f>
        <v>0</v>
      </c>
      <c r="L4" s="478">
        <f>huishoudens!L8</f>
        <v>0</v>
      </c>
      <c r="M4" s="478">
        <f>huishoudens!M8</f>
        <v>0</v>
      </c>
      <c r="N4" s="478">
        <f>huishoudens!N8</f>
        <v>19594.350382168621</v>
      </c>
      <c r="O4" s="478">
        <f>huishoudens!O8</f>
        <v>378.32666666666671</v>
      </c>
      <c r="P4" s="479">
        <f>huishoudens!P8</f>
        <v>495.73333333333335</v>
      </c>
      <c r="Q4" s="480">
        <f>SUM(B4:P4)</f>
        <v>231703.74630104267</v>
      </c>
    </row>
    <row r="5" spans="1:17">
      <c r="A5" s="477" t="s">
        <v>156</v>
      </c>
      <c r="B5" s="478">
        <f ca="1">tertiair!B16</f>
        <v>65943.219373175016</v>
      </c>
      <c r="C5" s="478">
        <f ca="1">tertiair!C16</f>
        <v>20134.285714285714</v>
      </c>
      <c r="D5" s="478">
        <f ca="1">tertiair!D16</f>
        <v>55035.43745786362</v>
      </c>
      <c r="E5" s="478">
        <f>tertiair!E16</f>
        <v>704.42811302404505</v>
      </c>
      <c r="F5" s="478">
        <f ca="1">tertiair!F16</f>
        <v>9190.7940923287097</v>
      </c>
      <c r="G5" s="478">
        <f>tertiair!G16</f>
        <v>0</v>
      </c>
      <c r="H5" s="478">
        <f>tertiair!H16</f>
        <v>0</v>
      </c>
      <c r="I5" s="478">
        <f>tertiair!I16</f>
        <v>0</v>
      </c>
      <c r="J5" s="478">
        <f>tertiair!J16</f>
        <v>0.14103661525294428</v>
      </c>
      <c r="K5" s="478">
        <f>tertiair!K16</f>
        <v>0</v>
      </c>
      <c r="L5" s="478">
        <f ca="1">tertiair!L16</f>
        <v>0</v>
      </c>
      <c r="M5" s="478">
        <f>tertiair!M16</f>
        <v>0</v>
      </c>
      <c r="N5" s="478">
        <f ca="1">tertiair!N16</f>
        <v>0</v>
      </c>
      <c r="O5" s="478">
        <f>tertiair!O16</f>
        <v>4.6900000000000004</v>
      </c>
      <c r="P5" s="479">
        <f>tertiair!P16</f>
        <v>38.133333333333333</v>
      </c>
      <c r="Q5" s="477">
        <f t="shared" ref="Q5:Q13" ca="1" si="0">SUM(B5:P5)</f>
        <v>151051.12912062564</v>
      </c>
    </row>
    <row r="6" spans="1:17">
      <c r="A6" s="477" t="s">
        <v>194</v>
      </c>
      <c r="B6" s="478">
        <f>'openbare verlichting'!B8</f>
        <v>2293.3820000000001</v>
      </c>
      <c r="C6" s="478"/>
      <c r="D6" s="478"/>
      <c r="E6" s="478"/>
      <c r="F6" s="478"/>
      <c r="G6" s="478"/>
      <c r="H6" s="478"/>
      <c r="I6" s="478"/>
      <c r="J6" s="478"/>
      <c r="K6" s="478"/>
      <c r="L6" s="478"/>
      <c r="M6" s="478"/>
      <c r="N6" s="478"/>
      <c r="O6" s="478"/>
      <c r="P6" s="479"/>
      <c r="Q6" s="477">
        <f t="shared" si="0"/>
        <v>2293.3820000000001</v>
      </c>
    </row>
    <row r="7" spans="1:17">
      <c r="A7" s="477" t="s">
        <v>112</v>
      </c>
      <c r="B7" s="478">
        <f>landbouw!B8</f>
        <v>1013.374001085365</v>
      </c>
      <c r="C7" s="478">
        <f>landbouw!C8</f>
        <v>0</v>
      </c>
      <c r="D7" s="478">
        <f>landbouw!D8</f>
        <v>5063.5809503178798</v>
      </c>
      <c r="E7" s="478">
        <f>landbouw!E8</f>
        <v>29.78615709335098</v>
      </c>
      <c r="F7" s="478">
        <f>landbouw!F8</f>
        <v>4221.6613286648289</v>
      </c>
      <c r="G7" s="478">
        <f>landbouw!G8</f>
        <v>0</v>
      </c>
      <c r="H7" s="478">
        <f>landbouw!H8</f>
        <v>0</v>
      </c>
      <c r="I7" s="478">
        <f>landbouw!I8</f>
        <v>0</v>
      </c>
      <c r="J7" s="478">
        <f>landbouw!J8</f>
        <v>146.81613030148367</v>
      </c>
      <c r="K7" s="478">
        <f>landbouw!K8</f>
        <v>0</v>
      </c>
      <c r="L7" s="478">
        <f>landbouw!L8</f>
        <v>0</v>
      </c>
      <c r="M7" s="478">
        <f>landbouw!M8</f>
        <v>0</v>
      </c>
      <c r="N7" s="478">
        <f>landbouw!N8</f>
        <v>0</v>
      </c>
      <c r="O7" s="478">
        <f>landbouw!O8</f>
        <v>0</v>
      </c>
      <c r="P7" s="479">
        <f>landbouw!P8</f>
        <v>0</v>
      </c>
      <c r="Q7" s="477">
        <f t="shared" si="0"/>
        <v>10475.218567462909</v>
      </c>
    </row>
    <row r="8" spans="1:17">
      <c r="A8" s="477" t="s">
        <v>635</v>
      </c>
      <c r="B8" s="478">
        <f>industrie!B18</f>
        <v>40658.09107967389</v>
      </c>
      <c r="C8" s="478">
        <f>industrie!C18</f>
        <v>0</v>
      </c>
      <c r="D8" s="478">
        <f>industrie!D18</f>
        <v>57531.174479780093</v>
      </c>
      <c r="E8" s="478">
        <f>industrie!E18</f>
        <v>5105.5617053618571</v>
      </c>
      <c r="F8" s="478">
        <f>industrie!F18</f>
        <v>15435.938830470212</v>
      </c>
      <c r="G8" s="478">
        <f>industrie!G18</f>
        <v>0</v>
      </c>
      <c r="H8" s="478">
        <f>industrie!H18</f>
        <v>0</v>
      </c>
      <c r="I8" s="478">
        <f>industrie!I18</f>
        <v>0</v>
      </c>
      <c r="J8" s="478">
        <f>industrie!J18</f>
        <v>79.368853684874693</v>
      </c>
      <c r="K8" s="478">
        <f>industrie!K18</f>
        <v>0</v>
      </c>
      <c r="L8" s="478">
        <f>industrie!L18</f>
        <v>0</v>
      </c>
      <c r="M8" s="478">
        <f>industrie!M18</f>
        <v>0</v>
      </c>
      <c r="N8" s="478">
        <f>industrie!N18</f>
        <v>9719.4968784824196</v>
      </c>
      <c r="O8" s="478">
        <f>industrie!O18</f>
        <v>0</v>
      </c>
      <c r="P8" s="479">
        <f>industrie!P18</f>
        <v>0</v>
      </c>
      <c r="Q8" s="477">
        <f t="shared" si="0"/>
        <v>128529.63182745336</v>
      </c>
    </row>
    <row r="9" spans="1:17" s="483" customFormat="1">
      <c r="A9" s="481" t="s">
        <v>561</v>
      </c>
      <c r="B9" s="482">
        <f>transport!B14</f>
        <v>77.08899419519058</v>
      </c>
      <c r="C9" s="482"/>
      <c r="D9" s="482">
        <f>transport!D14</f>
        <v>262.04429484179786</v>
      </c>
      <c r="E9" s="482">
        <f>transport!E14</f>
        <v>383.43411747632365</v>
      </c>
      <c r="F9" s="482"/>
      <c r="G9" s="482">
        <f>transport!G14</f>
        <v>157015.36702610494</v>
      </c>
      <c r="H9" s="482">
        <f>transport!H14</f>
        <v>30070.952046216436</v>
      </c>
      <c r="I9" s="482"/>
      <c r="J9" s="482"/>
      <c r="K9" s="482"/>
      <c r="L9" s="482"/>
      <c r="M9" s="482">
        <f>transport!M14</f>
        <v>10066.248062464947</v>
      </c>
      <c r="N9" s="482"/>
      <c r="O9" s="482"/>
      <c r="P9" s="482"/>
      <c r="Q9" s="481">
        <f>SUM(B9:P9)</f>
        <v>197875.13454129966</v>
      </c>
    </row>
    <row r="10" spans="1:17">
      <c r="A10" s="477" t="s">
        <v>551</v>
      </c>
      <c r="B10" s="478">
        <f>transport!B54</f>
        <v>0</v>
      </c>
      <c r="C10" s="478"/>
      <c r="D10" s="478">
        <f>transport!D54</f>
        <v>0</v>
      </c>
      <c r="E10" s="478"/>
      <c r="F10" s="478"/>
      <c r="G10" s="478">
        <f>transport!G54</f>
        <v>2148.5151468026243</v>
      </c>
      <c r="H10" s="478"/>
      <c r="I10" s="478"/>
      <c r="J10" s="478"/>
      <c r="K10" s="478"/>
      <c r="L10" s="478"/>
      <c r="M10" s="478">
        <f>transport!M54</f>
        <v>122.02617555416013</v>
      </c>
      <c r="N10" s="478"/>
      <c r="O10" s="478"/>
      <c r="P10" s="479"/>
      <c r="Q10" s="477">
        <f t="shared" si="0"/>
        <v>2270.5413223567843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157623.26649658071</v>
      </c>
      <c r="C14" s="488">
        <f t="shared" ref="C14:Q14" ca="1" si="1">SUM(C4:C13)</f>
        <v>20134.285714285714</v>
      </c>
      <c r="D14" s="488">
        <f t="shared" ca="1" si="1"/>
        <v>270294.79083845916</v>
      </c>
      <c r="E14" s="488">
        <f t="shared" si="1"/>
        <v>9854.5411731847453</v>
      </c>
      <c r="F14" s="488">
        <f t="shared" ca="1" si="1"/>
        <v>28848.394251463749</v>
      </c>
      <c r="G14" s="488">
        <f t="shared" si="1"/>
        <v>159163.88217290756</v>
      </c>
      <c r="H14" s="488">
        <f t="shared" si="1"/>
        <v>30070.952046216436</v>
      </c>
      <c r="I14" s="488">
        <f t="shared" si="1"/>
        <v>0</v>
      </c>
      <c r="J14" s="488">
        <f t="shared" si="1"/>
        <v>7789.6661551394445</v>
      </c>
      <c r="K14" s="488">
        <f t="shared" si="1"/>
        <v>0</v>
      </c>
      <c r="L14" s="488">
        <f t="shared" ca="1" si="1"/>
        <v>0</v>
      </c>
      <c r="M14" s="488">
        <f t="shared" si="1"/>
        <v>10188.274238019107</v>
      </c>
      <c r="N14" s="488">
        <f t="shared" ca="1" si="1"/>
        <v>29313.84726065104</v>
      </c>
      <c r="O14" s="488">
        <f t="shared" si="1"/>
        <v>383.01666666666671</v>
      </c>
      <c r="P14" s="489">
        <f t="shared" si="1"/>
        <v>533.86666666666667</v>
      </c>
      <c r="Q14" s="489">
        <f t="shared" ca="1" si="1"/>
        <v>724198.78368024097</v>
      </c>
    </row>
    <row r="16" spans="1:17">
      <c r="A16" s="491" t="s">
        <v>556</v>
      </c>
      <c r="B16" s="841">
        <f ca="1">huishoudens!B10</f>
        <v>0.17334373325065472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8257.7680141478031</v>
      </c>
      <c r="C21" s="478">
        <f t="shared" ref="C21:C28" ca="1" si="3">C4*$C$16</f>
        <v>0</v>
      </c>
      <c r="D21" s="478">
        <f t="shared" ref="D21:D30" si="4">D4*$D$16</f>
        <v>30785.315838442468</v>
      </c>
      <c r="E21" s="478">
        <f t="shared" ref="E21:E30" si="5">E4*$E$16</f>
        <v>824.31215521202148</v>
      </c>
      <c r="F21" s="478">
        <f t="shared" ref="F21:F28" si="6">F4*$F$16</f>
        <v>0</v>
      </c>
      <c r="G21" s="478">
        <f t="shared" ref="G21:G30" si="7">G4*$G$16</f>
        <v>0</v>
      </c>
      <c r="H21" s="478">
        <f t="shared" ref="H21:H30" si="8">H4*$H$16</f>
        <v>0</v>
      </c>
      <c r="I21" s="478">
        <f t="shared" ref="I21:I28" si="9">I4*$I$16</f>
        <v>0</v>
      </c>
      <c r="J21" s="478">
        <f t="shared" ref="J21:J28" si="10">J4*$J$16</f>
        <v>2677.4224076263927</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42544.818415428686</v>
      </c>
    </row>
    <row r="22" spans="1:17">
      <c r="A22" s="477" t="s">
        <v>156</v>
      </c>
      <c r="B22" s="478">
        <f t="shared" ca="1" si="2"/>
        <v>11430.843828713056</v>
      </c>
      <c r="C22" s="478">
        <f t="shared" ca="1" si="3"/>
        <v>0</v>
      </c>
      <c r="D22" s="478">
        <f t="shared" ca="1" si="4"/>
        <v>11117.158366488451</v>
      </c>
      <c r="E22" s="478">
        <f t="shared" si="5"/>
        <v>159.90518165645824</v>
      </c>
      <c r="F22" s="478">
        <f t="shared" ca="1" si="6"/>
        <v>2453.9420226517655</v>
      </c>
      <c r="G22" s="478">
        <f t="shared" si="7"/>
        <v>0</v>
      </c>
      <c r="H22" s="478">
        <f t="shared" si="8"/>
        <v>0</v>
      </c>
      <c r="I22" s="478">
        <f t="shared" si="9"/>
        <v>0</v>
      </c>
      <c r="J22" s="478">
        <f t="shared" si="10"/>
        <v>4.9926961799542272E-2</v>
      </c>
      <c r="K22" s="478">
        <f t="shared" si="11"/>
        <v>0</v>
      </c>
      <c r="L22" s="478">
        <f t="shared" ca="1" si="12"/>
        <v>0</v>
      </c>
      <c r="M22" s="478">
        <f t="shared" si="13"/>
        <v>0</v>
      </c>
      <c r="N22" s="478">
        <f t="shared" ca="1" si="14"/>
        <v>0</v>
      </c>
      <c r="O22" s="478">
        <f t="shared" si="15"/>
        <v>0</v>
      </c>
      <c r="P22" s="479">
        <f t="shared" si="16"/>
        <v>0</v>
      </c>
      <c r="Q22" s="477">
        <f t="shared" ref="Q22:Q30" ca="1" si="17">SUM(B22:P22)</f>
        <v>25161.899326471532</v>
      </c>
    </row>
    <row r="23" spans="1:17">
      <c r="A23" s="477" t="s">
        <v>194</v>
      </c>
      <c r="B23" s="478">
        <f t="shared" ca="1" si="2"/>
        <v>397.54339764985303</v>
      </c>
      <c r="C23" s="478"/>
      <c r="D23" s="478"/>
      <c r="E23" s="478"/>
      <c r="F23" s="478"/>
      <c r="G23" s="478"/>
      <c r="H23" s="478"/>
      <c r="I23" s="478"/>
      <c r="J23" s="478"/>
      <c r="K23" s="478"/>
      <c r="L23" s="478"/>
      <c r="M23" s="478"/>
      <c r="N23" s="478"/>
      <c r="O23" s="478"/>
      <c r="P23" s="479"/>
      <c r="Q23" s="477">
        <f t="shared" ca="1" si="17"/>
        <v>397.54339764985303</v>
      </c>
    </row>
    <row r="24" spans="1:17">
      <c r="A24" s="477" t="s">
        <v>112</v>
      </c>
      <c r="B24" s="478">
        <f t="shared" ca="1" si="2"/>
        <v>175.66203252729019</v>
      </c>
      <c r="C24" s="478">
        <f t="shared" ca="1" si="3"/>
        <v>0</v>
      </c>
      <c r="D24" s="478">
        <f t="shared" si="4"/>
        <v>1022.8433519642118</v>
      </c>
      <c r="E24" s="478">
        <f t="shared" si="5"/>
        <v>6.7614576601906728</v>
      </c>
      <c r="F24" s="478">
        <f t="shared" si="6"/>
        <v>1127.1835747535094</v>
      </c>
      <c r="G24" s="478">
        <f t="shared" si="7"/>
        <v>0</v>
      </c>
      <c r="H24" s="478">
        <f t="shared" si="8"/>
        <v>0</v>
      </c>
      <c r="I24" s="478">
        <f t="shared" si="9"/>
        <v>0</v>
      </c>
      <c r="J24" s="478">
        <f t="shared" si="10"/>
        <v>51.972910126725218</v>
      </c>
      <c r="K24" s="478">
        <f t="shared" si="11"/>
        <v>0</v>
      </c>
      <c r="L24" s="478">
        <f t="shared" si="12"/>
        <v>0</v>
      </c>
      <c r="M24" s="478">
        <f t="shared" si="13"/>
        <v>0</v>
      </c>
      <c r="N24" s="478">
        <f t="shared" si="14"/>
        <v>0</v>
      </c>
      <c r="O24" s="478">
        <f t="shared" si="15"/>
        <v>0</v>
      </c>
      <c r="P24" s="479">
        <f t="shared" si="16"/>
        <v>0</v>
      </c>
      <c r="Q24" s="477">
        <f t="shared" ca="1" si="17"/>
        <v>2384.4233270319273</v>
      </c>
    </row>
    <row r="25" spans="1:17">
      <c r="A25" s="477" t="s">
        <v>635</v>
      </c>
      <c r="B25" s="478">
        <f t="shared" ca="1" si="2"/>
        <v>7047.8252945958147</v>
      </c>
      <c r="C25" s="478">
        <f t="shared" ca="1" si="3"/>
        <v>0</v>
      </c>
      <c r="D25" s="478">
        <f t="shared" si="4"/>
        <v>11621.297244915579</v>
      </c>
      <c r="E25" s="478">
        <f t="shared" si="5"/>
        <v>1158.9625071171415</v>
      </c>
      <c r="F25" s="478">
        <f t="shared" si="6"/>
        <v>4121.3956677355463</v>
      </c>
      <c r="G25" s="478">
        <f t="shared" si="7"/>
        <v>0</v>
      </c>
      <c r="H25" s="478">
        <f t="shared" si="8"/>
        <v>0</v>
      </c>
      <c r="I25" s="478">
        <f t="shared" si="9"/>
        <v>0</v>
      </c>
      <c r="J25" s="478">
        <f t="shared" si="10"/>
        <v>28.096574204445641</v>
      </c>
      <c r="K25" s="478">
        <f t="shared" si="11"/>
        <v>0</v>
      </c>
      <c r="L25" s="478">
        <f t="shared" si="12"/>
        <v>0</v>
      </c>
      <c r="M25" s="478">
        <f t="shared" si="13"/>
        <v>0</v>
      </c>
      <c r="N25" s="478">
        <f t="shared" si="14"/>
        <v>0</v>
      </c>
      <c r="O25" s="478">
        <f t="shared" si="15"/>
        <v>0</v>
      </c>
      <c r="P25" s="479">
        <f t="shared" si="16"/>
        <v>0</v>
      </c>
      <c r="Q25" s="477">
        <f t="shared" ca="1" si="17"/>
        <v>23977.577288568529</v>
      </c>
    </row>
    <row r="26" spans="1:17" s="483" customFormat="1">
      <c r="A26" s="481" t="s">
        <v>561</v>
      </c>
      <c r="B26" s="835">
        <f t="shared" ca="1" si="2"/>
        <v>13.362894046332386</v>
      </c>
      <c r="C26" s="482"/>
      <c r="D26" s="482">
        <f t="shared" si="4"/>
        <v>52.932947558043175</v>
      </c>
      <c r="E26" s="482">
        <f t="shared" si="5"/>
        <v>87.039544667125469</v>
      </c>
      <c r="F26" s="482"/>
      <c r="G26" s="482">
        <f t="shared" si="7"/>
        <v>41923.102995970024</v>
      </c>
      <c r="H26" s="482">
        <f t="shared" si="8"/>
        <v>7487.6670595078922</v>
      </c>
      <c r="I26" s="482"/>
      <c r="J26" s="482"/>
      <c r="K26" s="482"/>
      <c r="L26" s="482"/>
      <c r="M26" s="482">
        <f t="shared" si="13"/>
        <v>0</v>
      </c>
      <c r="N26" s="482"/>
      <c r="O26" s="482"/>
      <c r="P26" s="493"/>
      <c r="Q26" s="481">
        <f t="shared" ca="1" si="17"/>
        <v>49564.105441749416</v>
      </c>
    </row>
    <row r="27" spans="1:17">
      <c r="A27" s="477" t="s">
        <v>551</v>
      </c>
      <c r="B27" s="478">
        <f t="shared" ca="1" si="2"/>
        <v>0</v>
      </c>
      <c r="C27" s="478"/>
      <c r="D27" s="482">
        <f t="shared" si="4"/>
        <v>0</v>
      </c>
      <c r="E27" s="478"/>
      <c r="F27" s="478"/>
      <c r="G27" s="478">
        <f t="shared" si="7"/>
        <v>573.65354419630069</v>
      </c>
      <c r="H27" s="478"/>
      <c r="I27" s="478"/>
      <c r="J27" s="478"/>
      <c r="K27" s="478"/>
      <c r="L27" s="478"/>
      <c r="M27" s="478">
        <f t="shared" si="13"/>
        <v>0</v>
      </c>
      <c r="N27" s="478"/>
      <c r="O27" s="478"/>
      <c r="P27" s="479"/>
      <c r="Q27" s="477">
        <f t="shared" ca="1" si="17"/>
        <v>573.65354419630069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27323.00546168015</v>
      </c>
      <c r="C31" s="488">
        <f t="shared" ca="1" si="18"/>
        <v>0</v>
      </c>
      <c r="D31" s="488">
        <f t="shared" ca="1" si="18"/>
        <v>54599.547749368758</v>
      </c>
      <c r="E31" s="488">
        <f t="shared" si="18"/>
        <v>2236.9808463129375</v>
      </c>
      <c r="F31" s="488">
        <f t="shared" ca="1" si="18"/>
        <v>7702.521265140821</v>
      </c>
      <c r="G31" s="488">
        <f t="shared" si="18"/>
        <v>42496.756540166323</v>
      </c>
      <c r="H31" s="488">
        <f t="shared" si="18"/>
        <v>7487.6670595078922</v>
      </c>
      <c r="I31" s="488">
        <f t="shared" si="18"/>
        <v>0</v>
      </c>
      <c r="J31" s="488">
        <f t="shared" si="18"/>
        <v>2757.5418189193629</v>
      </c>
      <c r="K31" s="488">
        <f t="shared" si="18"/>
        <v>0</v>
      </c>
      <c r="L31" s="488">
        <f t="shared" ca="1" si="18"/>
        <v>0</v>
      </c>
      <c r="M31" s="488">
        <f t="shared" si="18"/>
        <v>0</v>
      </c>
      <c r="N31" s="488">
        <f t="shared" ca="1" si="18"/>
        <v>0</v>
      </c>
      <c r="O31" s="488">
        <f t="shared" si="18"/>
        <v>0</v>
      </c>
      <c r="P31" s="489">
        <f t="shared" si="18"/>
        <v>0</v>
      </c>
      <c r="Q31" s="489">
        <f t="shared" ca="1" si="18"/>
        <v>144604.02074109623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0.17334373325065472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0.17334373325065472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0.17334373325065472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2019-01-01T21:19:36Z</dcterms:modified>
</cp:coreProperties>
</file>