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I8" i="18"/>
  <c r="J68" i="14" s="1"/>
  <c r="C16" i="15"/>
  <c r="D10" i="14" s="1"/>
  <c r="L6" i="17"/>
  <c r="L5" s="1"/>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E28" i="48"/>
  <c r="I20" i="15"/>
  <c r="J36" i="14" s="1"/>
  <c r="J41" s="1"/>
  <c r="J53" s="1"/>
  <c r="K28" i="48"/>
  <c r="D28"/>
  <c r="D30"/>
  <c r="I28"/>
  <c r="K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<sst xmlns="http://schemas.openxmlformats.org/spreadsheetml/2006/main" count="2099" uniqueCount="844">
  <si>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</si>
  <si>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</si>
  <si>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</si>
  <si>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</si>
  <si>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</si>
  <si>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</si>
  <si>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</si>
  <si>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</si>
  <si>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</si>
  <si>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</si>
  <si>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</si>
  <si>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</si>
  <si>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</si>
  <si>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</si>
  <si>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</si>
  <si>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</si>
  <si>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</si>
  <si>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</si>
  <si>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</si>
  <si>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</si>
  <si>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</si>
  <si>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</si>
  <si>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</si>
  <si>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</si>
  <si>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</si>
  <si>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</si>
  <si>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</si>
  <si>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</si>
  <si>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</si>
  <si>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</si>
  <si>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</si>
  <si>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</si>
  <si>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</si>
  <si>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</si>
  <si>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</si>
  <si>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</si>
  <si>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</si>
  <si>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</si>
  <si>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</si>
  <si>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</si>
  <si>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</si>
  <si>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</si>
  <si>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</si>
  <si>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</si>
  <si>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</si>
  <si>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</si>
  <si>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</si>
  <si>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</si>
  <si>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</si>
  <si>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</si>
  <si>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</si>
  <si>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</si>
  <si>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</si>
  <si>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</si>
  <si>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</si>
  <si>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</si>
  <si>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</si>
  <si>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</si>
  <si>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</si>
  <si>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</si>
  <si>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</si>
  <si>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</si>
  <si>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</si>
  <si>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</si>
  <si>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</si>
  <si>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</si>
  <si>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</si>
  <si>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</si>
  <si>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</si>
  <si>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</si>
  <si>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</si>
  <si>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</si>
  <si>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</si>
  <si>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</si>
  <si>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</si>
  <si>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</si>
  <si>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</si>
  <si>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</si>
  <si>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</si>
  <si>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</si>
  <si>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</si>
  <si>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</si>
  <si>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</si>
  <si>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</si>
  <si>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</si>
  <si>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</si>
  <si>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</si>
  <si>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</si>
  <si>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</si>
  <si>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</si>
  <si>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</si>
  <si>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</si>
  <si>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</si>
  <si>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</si>
  <si>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</si>
  <si>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</si>
  <si>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</si>
  <si>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</si>
  <si>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</si>
  <si>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</si>
  <si>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</si>
  <si>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</si>
  <si>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</si>
  <si>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</si>
  <si>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</si>
  <si>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</si>
  <si>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</si>
  <si>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</si>
  <si>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</si>
  <si>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</si>
  <si>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</si>
  <si>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</si>
  <si>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</si>
  <si>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</si>
  <si>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</si>
  <si>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</si>
  <si>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</si>
  <si>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</si>
  <si>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</si>
  <si>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</si>
  <si>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</si>
  <si>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</si>
  <si>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</si>
  <si>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</si>
  <si>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</si>
  <si>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</si>
  <si>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</si>
  <si>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</si>
  <si>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</si>
  <si>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</si>
  <si>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</si>
  <si>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</si>
  <si>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</si>
  <si>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</si>
  <si>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</si>
  <si>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</si>
  <si>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</si>
  <si>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</si>
  <si>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</si>
  <si>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</si>
  <si>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</si>
  <si>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</si>
  <si>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</si>
  <si>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</si>
  <si>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</si>
  <si>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</si>
  <si>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</si>
  <si>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</si>
  <si>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</si>
  <si>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</si>
  <si>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</si>
  <si>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</si>
  <si>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</si>
  <si>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</si>
  <si>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</si>
  <si>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</si>
  <si>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</si>
  <si>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</si>
  <si>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</si>
  <si>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</si>
  <si>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</si>
  <si>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</si>
  <si>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</si>
  <si>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</si>
  <si>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</si>
  <si>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</si>
  <si>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</si>
  <si>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</si>
  <si>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</si>
  <si>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</si>
  <si>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</si>
  <si>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</si>
  <si>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</si>
  <si>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</si>
  <si>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</si>
  <si>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</si>
  <si>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</si>
  <si>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</si>
  <si>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</si>
  <si>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</si>
  <si>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</si>
  <si>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</si>
  <si>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</si>
  <si>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</si>
  <si>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</si>
  <si>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</si>
  <si>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</si>
  <si>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</si>
  <si>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</si>
  <si>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</si>
  <si>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</si>
  <si>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</si>
  <si>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</si>
  <si>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</si>
  <si>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</si>
  <si>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</si>
  <si>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</si>
  <si>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</si>
  <si>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</si>
  <si>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</si>
  <si>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</si>
  <si>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</si>
  <si>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</si>
  <si>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</si>
  <si>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</si>
  <si>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</si>
  <si>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</si>
  <si>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</si>
  <si>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</si>
  <si>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</si>
  <si>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</si>
  <si>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</si>
  <si>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</si>
  <si>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</si>
  <si>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</si>
  <si>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</si>
  <si>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</si>
  <si>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</si>
  <si>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</si>
  <si>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</si>
  <si>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</si>
  <si>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</si>
  <si>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</si>
  <si>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</si>
  <si>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</si>
  <si>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</si>
  <si>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</si>
  <si>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</si>
  <si>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</si>
  <si>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</si>
  <si>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</si>
  <si>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</si>
  <si>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</si>
  <si>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</si>
  <si>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</si>
  <si>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</si>
  <si>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</si>
  <si>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</si>
  <si>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</si>
  <si>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</si>
  <si>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</si>
  <si>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</si>
  <si>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</si>
  <si>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</si>
  <si>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</si>
  <si>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</si>
  <si>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</si>
  <si>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</si>
  <si>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</si>
  <si>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</si>
  <si>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</si>
  <si>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</si>
  <si>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</si>
  <si>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</si>
  <si>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</si>
  <si>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</si>
  <si>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</si>
  <si>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</si>
  <si>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</si>
  <si>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</si>
  <si>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</si>
  <si>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</si>
  <si>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</si>
  <si>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</si>
  <si>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</si>
  <si>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</si>
  <si>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</si>
  <si>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</si>
  <si>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</si>
  <si>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</si>
  <si>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</si>
  <si>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</si>
  <si>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</si>
  <si>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</si>
  <si>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</si>
  <si>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</si>
  <si>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</si>
  <si>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</si>
  <si>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</si>
  <si>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</si>
  <si>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</si>
  <si>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</si>
  <si>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</si>
  <si>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</si>
  <si>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</si>
  <si>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</si>
  <si>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</si>
  <si>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</si>
  <si>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</si>
  <si>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</si>
  <si>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</si>
  <si>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</si>
  <si>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</si>
  <si>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</si>
  <si>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</si>
  <si>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</si>
  <si>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</si>
  <si>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</si>
  <si>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</si>
  <si>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</si>
  <si>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</si>
  <si>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</si>
  <si>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</si>
  <si>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</si>
  <si>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</si>
  <si>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</si>
  <si>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</si>
  <si>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</si>
  <si>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</si>
  <si>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</si>
  <si>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</si>
  <si>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</si>
  <si>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</si>
  <si>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</si>
  <si>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</si>
  <si>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</si>
  <si>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</si>
  <si>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</si>
  <si>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</si>
  <si>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</si>
  <si>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</si>
  <si>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</si>
  <si>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</si>
  <si>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</si>
  <si>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</si>
  <si>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</si>
  <si>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</si>
  <si>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</si>
  <si>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</si>
  <si>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</si>
  <si>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</si>
  <si>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</si>
  <si>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</si>
  <si>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</si>
  <si>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</si>
  <si>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</si>
  <si>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</si>
  <si>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</si>
  <si>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</si>
  <si>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</si>
  <si>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</si>
  <si>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</si>
  <si>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</si>
  <si>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</si>
  <si>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</si>
  <si>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</si>
  <si>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</si>
  <si>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</si>
  <si>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</si>
  <si>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</si>
  <si>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</si>
  <si>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</si>
  <si>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</si>
  <si>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</si>
  <si>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</si>
  <si>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</si>
  <si>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</si>
  <si>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</si>
  <si>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</si>
  <si>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</si>
  <si>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</si>
  <si>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</si>
  <si>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</si>
  <si>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</si>
  <si>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</si>
  <si>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</si>
  <si>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</si>
  <si>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</si>
  <si>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</si>
  <si>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</si>
  <si>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</si>
  <si>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</si>
  <si>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</si>
  <si>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</si>
  <si>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</si>
  <si>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</si>
  <si>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</si>
  <si>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</si>
  <si>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</si>
  <si>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</si>
  <si>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</si>
  <si>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</si>
  <si>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</si>
  <si>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</si>
  <si>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</si>
  <si>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</si>
  <si>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</si>
  <si>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</si>
  <si>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</si>
  <si>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</si>
  <si>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</si>
  <si>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</si>
  <si>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</si>
  <si>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</si>
  <si>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</si>
  <si>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</si>
  <si>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</si>
  <si>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</si>
  <si>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</si>
  <si>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</si>
  <si>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</si>
  <si>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</si>
  <si>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</si>
  <si>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</si>
  <si>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</si>
  <si>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</si>
  <si>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</si>
  <si>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</si>
  <si>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</si>
  <si>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</si>
  <si>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</si>
  <si>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</si>
  <si>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</si>
  <si>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</si>
  <si>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</si>
  <si>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</si>
  <si>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</si>
  <si>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</si>
  <si>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</si>
  <si>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</si>
  <si>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</si>
  <si>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</si>
  <si>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</si>
  <si>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</si>
  <si>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</si>
  <si>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</si>
  <si>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</si>
  <si>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</si>
  <si>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</si>
  <si>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</si>
  <si>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</si>
  <si>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</si>
  <si>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</si>
  <si>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</si>
  <si>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</si>
  <si>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</si>
  <si>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</si>
  <si>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</si>
  <si>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</si>
  <si>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</si>
  <si>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</si>
  <si>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</si>
  <si>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</si>
  <si>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</si>
  <si>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</si>
  <si>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</si>
  <si>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</si>
  <si>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</si>
  <si>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</si>
  <si>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</si>
  <si>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</si>
  <si>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</si>
  <si>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</si>
  <si>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</si>
  <si>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</si>
  <si>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</si>
  <si>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</si>
  <si>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</si>
  <si>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</si>
  <si>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</si>
  <si>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</si>
  <si>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</si>
  <si>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</si>
  <si>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</si>
  <si>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</si>
  <si>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</si>
  <si>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</si>
  <si>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</si>
  <si>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</si>
  <si>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</si>
  <si>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</si>
  <si>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</si>
  <si>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</si>
  <si>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</si>
  <si>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</si>
  <si>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</si>
  <si>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</si>
  <si>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</si>
  <si>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</si>
  <si>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</si>
  <si>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</si>
  <si>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</si>
  <si>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</si>
  <si>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</si>
  <si>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</si>
  <si>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</si>
  <si>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</si>
  <si>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</si>
  <si>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</si>
  <si>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</si>
  <si>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</si>
  <si>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</si>
  <si>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</si>
  <si>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</si>
  <si>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</si>
  <si>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</si>
  <si>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</si>
  <si>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</si>
  <si>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</si>
  <si>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</si>
  <si>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</si>
  <si>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</si>
  <si>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</si>
  <si>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</si>
  <si>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</si>
  <si>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</si>
  <si>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</si>
  <si>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</si>
  <si>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</si>
  <si>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</si>
  <si>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</si>
  <si>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</si>
  <si>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</si>
  <si>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</si>
  <si>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</si>
  <si>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</si>
  <si>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</si>
  <si>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</si>
  <si>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</si>
  <si>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</si>
  <si>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</si>
  <si>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</si>
  <si>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</si>
  <si>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</si>
  <si>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</si>
  <si>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</si>
  <si>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</si>
  <si>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</si>
  <si>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</si>
  <si>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</si>
  <si>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</si>
  <si>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</si>
  <si>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</si>
  <si>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</si>
  <si>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</si>
  <si>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</si>
  <si>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</si>
  <si>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</si>
  <si>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</si>
  <si>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</si>
  <si>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</si>
  <si>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</si>
  <si>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</si>
  <si>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</si>
  <si>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</si>
  <si>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</si>
  <si>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</si>
  <si>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</si>
  <si>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</si>
  <si>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</si>
  <si>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</si>
  <si>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</si>
  <si>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</si>
  <si>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</si>
  <si>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</si>
  <si>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</si>
  <si>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</si>
  <si>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</si>
  <si>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</si>
  <si>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</si>
  <si>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</si>
  <si>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</si>
  <si>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</si>
  <si>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</si>
  <si>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</si>
  <si>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</si>
  <si>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</si>
  <si>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</si>
  <si>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</si>
  <si>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</si>
  <si>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</si>
  <si>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</si>
  <si>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</si>
  <si>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</si>
  <si>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</si>
  <si>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</si>
  <si>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</si>
  <si>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</si>
  <si>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</si>
  <si>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</si>
  <si>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</si>
  <si>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</si>
  <si>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</si>
  <si>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</si>
  <si>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</si>
  <si>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</si>
  <si>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</si>
  <si>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</si>
  <si>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</si>
  <si>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</si>
  <si>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</si>
  <si>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</si>
  <si>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</si>
  <si>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</si>
  <si>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</si>
  <si>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</si>
  <si>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</si>
  <si>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</si>
  <si>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</si>
  <si>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</si>
  <si>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</si>
  <si>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</si>
  <si>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</si>
  <si>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</si>
  <si>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</si>
  <si>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</si>
  <si>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</si>
  <si>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</si>
  <si>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</si>
  <si>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</si>
  <si>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</si>
  <si>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</si>
  <si>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</si>
  <si>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</si>
  <si>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</si>
  <si>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</si>
  <si>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</si>
  <si>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</si>
  <si>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</si>
  <si>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</si>
  <si>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</si>
  <si>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</si>
  <si>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</si>
  <si>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</si>
  <si>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</si>
  <si>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</si>
  <si>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</si>
  <si>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</si>
  <si>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</si>
  <si>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</si>
  <si>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</si>
  <si>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</si>
  <si>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</si>
  <si>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</si>
  <si>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</si>
  <si>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</si>
  <si>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</si>
  <si>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</si>
  <si>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</si>
  <si>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</si>
  <si>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</si>
  <si>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</si>
  <si>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</si>
  <si>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</si>
  <si>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</si>
  <si>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</si>
  <si>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</si>
  <si>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</si>
  <si>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</si>
  <si>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</si>
  <si>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</si>
  <si>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</si>
  <si>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</si>
  <si>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</si>
  <si>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</si>
  <si>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</si>
  <si>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</si>
  <si>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</si>
  <si>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</si>
  <si>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</si>
  <si>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</si>
  <si>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</si>
  <si>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</si>
  <si>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</si>
  <si>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</si>
  <si>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</si>
  <si>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</si>
  <si>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</si>
  <si>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</si>
  <si>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</si>
  <si>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</si>
  <si>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</si>
  <si>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</si>
  <si>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</si>
  <si>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</si>
  <si>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</si>
  <si>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</si>
  <si>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</si>
  <si>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</si>
  <si>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</si>
  <si>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</si>
  <si>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</si>
  <si>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</si>
  <si>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</si>
  <si>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</si>
  <si>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</si>
  <si>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</si>
  <si>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</si>
  <si>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</si>
  <si>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</si>
  <si>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</si>
  <si>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</si>
  <si>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</si>
  <si>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</si>
  <si>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</si>
  <si>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</si>
  <si>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</si>
  <si>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</si>
  <si>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</si>
  <si>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</si>
  <si>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</si>
  <si>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</si>
  <si>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</si>
  <si>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</si>
  <si>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</si>
  <si>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</si>
  <si>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</si>
  <si>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</si>
  <si>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</si>
  <si>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</si>
  <si>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</si>
  <si>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</si>
  <si>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</si>
  <si>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</si>
  <si>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</si>
  <si>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</si>
  <si>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</si>
  <si>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</si>
  <si>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</si>
  <si>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</si>
  <si>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</si>
  <si>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</si>
  <si>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</si>
  <si>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</si>
  <si>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</si>
  <si>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</si>
  <si>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</si>
  <si>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</si>
  <si>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</si>
  <si>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</si>
  <si>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</si>
  <si>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</si>
  <si>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</si>
  <si>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</si>
  <si>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</si>
  <si>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</si>
  <si>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</si>
  <si>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</si>
  <si>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</si>
  <si>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</si>
  <si>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</si>
  <si>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</si>
  <si>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</si>
  <si>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</si>
  <si>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</si>
  <si>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</si>
  <si>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</si>
  <si>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</si>
  <si>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</si>
  <si>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</si>
  <si>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</si>
  <si>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</si>
  <si>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</si>
  <si>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</si>
  <si>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</si>
  <si>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</si>
  <si>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</si>
  <si>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</si>
  <si>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</si>
  <si>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</si>
  <si>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</si>
  <si>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</si>
  <si>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</si>
  <si>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</si>
  <si>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</si>
  <si>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</si>
  <si>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</si>
  <si>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</si>
  <si>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</si>
  <si>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</si>
  <si>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</si>
  <si>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</si>
  <si>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</si>
  <si>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</si>
  <si>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</si>
  <si>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</si>
  <si>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</si>
  <si>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</si>
  <si>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</si>
  <si>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</si>
  <si>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</si>
  <si>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</si>
  <si>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</si>
  <si>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</si>
  <si>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</si>
  <si>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</si>
  <si>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</si>
  <si>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</si>
  <si>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</si>
  <si>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</si>
  <si>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</si>
  <si>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</si>
  <si>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</si>
  <si>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</si>
  <si>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</si>
  <si>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</si>
  <si>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</si>
  <si>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</si>
  <si>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</si>
  <si>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</si>
  <si>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</si>
  <si>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</si>
  <si>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</si>
  <si>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</si>
  <si>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</si>
  <si>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</si>
  <si>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</si>
  <si>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</si>
  <si>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</si>
  <si>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</si>
  <si>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</si>
  <si>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</si>
  <si>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</si>
  <si>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</si>
  <si>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</si>
  <si>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</si>
  <si>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</si>
  <si>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</si>
  <si>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</si>
  <si>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</si>
  <si>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</si>
  <si>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</si>
  <si>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</si>
  <si>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</si>
  <si>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</si>
  <si>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</si>
  <si>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</si>
  <si>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</si>
  <si>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</si>
  <si>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</si>
  <si>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</si>
  <si>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</si>
  <si>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</si>
  <si>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</si>
  <si>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</si>
  <si>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</si>
  <si>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34002</t>
  </si>
  <si>
    <t>ANZEGEM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</si>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</sst>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125630.47283519022</c:v>
                </c:pt>
                <c:pt idx="1">
                  <c:v>25413.759937707913</c:v>
                </c:pt>
                <c:pt idx="2">
                  <c:v>1318.1020000000001</c:v>
                </c:pt>
                <c:pt idx="3">
                  <c:v>11090.825672126104</c:v>
                </c:pt>
                <c:pt idx="4">
                  <c:v>60627.648870417172</c:v>
                </c:pt>
                <c:pt idx="5">
                  <c:v>69210.600996786176</c:v>
                </c:pt>
                <c:pt idx="6">
                  <c:v>864.14628278936607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512448"/>
        <c:axId val="183534720"/>
      </c:barChart>
      <c:catAx>
        <c:axId val="183512448"/>
        <c:scaling>
          <c:orientation val="minMax"/>
        </c:scaling>
        <c:axPos val="b"/>
        <c:numFmt formatCode="General" sourceLinked="0"/>
        <c:tickLblPos val="nextTo"/>
        <c:crossAx val="183534720"/>
        <c:crosses val="autoZero"/>
        <c:auto val="1"/>
        <c:lblAlgn val="ctr"/>
        <c:lblOffset val="100"/>
      </c:catAx>
      <c:valAx>
        <c:axId val="183534720"/>
        <c:scaling>
          <c:orientation val="minMax"/>
        </c:scaling>
        <c:axPos val="l"/>
        <c:majorGridlines>
          <c:spPr>
            <a:ln>
              <a:noFill/>
            </a:ln>
          </c:spPr>
        </c:majorGridlines>
        <c:numFmt formatCode="#,##0" sourceLinked="1"/>
        <c:tickLblPos val="nextTo"/>
        <c:crossAx val="1835124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125630.47283519022</c:v>
                </c:pt>
                <c:pt idx="1">
                  <c:v>25413.759937707913</c:v>
                </c:pt>
                <c:pt idx="2">
                  <c:v>1318.1020000000001</c:v>
                </c:pt>
                <c:pt idx="3">
                  <c:v>11090.825672126104</c:v>
                </c:pt>
                <c:pt idx="4">
                  <c:v>60627.648870417172</c:v>
                </c:pt>
                <c:pt idx="5">
                  <c:v>69210.600996786176</c:v>
                </c:pt>
                <c:pt idx="6">
                  <c:v>864.14628278936607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25391.115547752142</c:v>
                </c:pt>
                <c:pt idx="1">
                  <c:v>5018.8219175847989</c:v>
                </c:pt>
                <c:pt idx="2">
                  <c:v>252.31704587057547</c:v>
                </c:pt>
                <c:pt idx="3">
                  <c:v>2778.4917809868994</c:v>
                </c:pt>
                <c:pt idx="4">
                  <c:v>11056.148881534051</c:v>
                </c:pt>
                <c:pt idx="5">
                  <c:v>17329.654897720651</c:v>
                </c:pt>
                <c:pt idx="6">
                  <c:v>218.32704516103183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35200"/>
        <c:axId val="184036736"/>
      </c:barChart>
      <c:catAx>
        <c:axId val="184035200"/>
        <c:scaling>
          <c:orientation val="minMax"/>
        </c:scaling>
        <c:axPos val="b"/>
        <c:numFmt formatCode="General" sourceLinked="0"/>
        <c:tickLblPos val="nextTo"/>
        <c:crossAx val="184036736"/>
        <c:crosses val="autoZero"/>
        <c:auto val="1"/>
        <c:lblAlgn val="ctr"/>
        <c:lblOffset val="100"/>
      </c:catAx>
      <c:valAx>
        <c:axId val="184036736"/>
        <c:scaling>
          <c:orientation val="minMax"/>
        </c:scaling>
        <c:axPos val="l"/>
        <c:majorGridlines>
          <c:spPr>
            <a:ln>
              <a:noFill/>
            </a:ln>
          </c:spPr>
        </c:majorGridlines>
        <c:numFmt formatCode="#,##0" sourceLinked="1"/>
        <c:tickLblPos val="nextTo"/>
        <c:crossAx val="1840352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25391.115547752142</c:v>
                </c:pt>
                <c:pt idx="1">
                  <c:v>5018.8219175847989</c:v>
                </c:pt>
                <c:pt idx="2">
                  <c:v>252.31704587057547</c:v>
                </c:pt>
                <c:pt idx="3">
                  <c:v>2778.4917809868994</c:v>
                </c:pt>
                <c:pt idx="4">
                  <c:v>11056.148881534051</c:v>
                </c:pt>
                <c:pt idx="5">
                  <c:v>17329.654897720651</c:v>
                </c:pt>
                <c:pt idx="6">
                  <c:v>218.32704516103183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34002</v>
      </c>
      <c r="B6" s="415"/>
      <c r="C6" s="416"/>
    </row>
    <row r="7" spans="1:7" s="413" customFormat="1" ht="15.75" customHeight="1">
      <c r="A7" s="417" t="str">
        <f>txtMunicipality</f>
        <v>ANZEGEM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5877</v>
      </c>
      <c r="C9" s="342">
        <v>5987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2689.1</v>
      </c>
    </row>
    <row r="15" spans="1:6">
      <c r="A15" s="348" t="s">
        <v>184</v>
      </c>
      <c r="B15" s="334">
        <v>33</v>
      </c>
    </row>
    <row r="16" spans="1:6">
      <c r="A16" s="348" t="s">
        <v>6</v>
      </c>
      <c r="B16" s="334">
        <v>1045</v>
      </c>
    </row>
    <row r="17" spans="1:6">
      <c r="A17" s="348" t="s">
        <v>7</v>
      </c>
      <c r="B17" s="334">
        <v>834</v>
      </c>
    </row>
    <row r="18" spans="1:6">
      <c r="A18" s="348" t="s">
        <v>8</v>
      </c>
      <c r="B18" s="334">
        <v>1179</v>
      </c>
    </row>
    <row r="19" spans="1:6">
      <c r="A19" s="348" t="s">
        <v>9</v>
      </c>
      <c r="B19" s="334">
        <v>1196</v>
      </c>
    </row>
    <row r="20" spans="1:6">
      <c r="A20" s="348" t="s">
        <v>10</v>
      </c>
      <c r="B20" s="334">
        <v>661</v>
      </c>
    </row>
    <row r="21" spans="1:6">
      <c r="A21" s="348" t="s">
        <v>11</v>
      </c>
      <c r="B21" s="334">
        <v>2576</v>
      </c>
    </row>
    <row r="22" spans="1:6">
      <c r="A22" s="348" t="s">
        <v>12</v>
      </c>
      <c r="B22" s="334">
        <v>11278</v>
      </c>
    </row>
    <row r="23" spans="1:6">
      <c r="A23" s="348" t="s">
        <v>13</v>
      </c>
      <c r="B23" s="334">
        <v>104</v>
      </c>
    </row>
    <row r="24" spans="1:6">
      <c r="A24" s="348" t="s">
        <v>14</v>
      </c>
      <c r="B24" s="334">
        <v>4</v>
      </c>
    </row>
    <row r="25" spans="1:6">
      <c r="A25" s="348" t="s">
        <v>15</v>
      </c>
      <c r="B25" s="334">
        <v>706</v>
      </c>
    </row>
    <row r="26" spans="1:6">
      <c r="A26" s="348" t="s">
        <v>16</v>
      </c>
      <c r="B26" s="334">
        <v>300</v>
      </c>
    </row>
    <row r="27" spans="1:6">
      <c r="A27" s="348" t="s">
        <v>17</v>
      </c>
      <c r="B27" s="334">
        <v>0</v>
      </c>
    </row>
    <row r="28" spans="1:6" s="356" customFormat="1">
      <c r="A28" s="355" t="s">
        <v>18</v>
      </c>
      <c r="B28" s="355">
        <v>199546</v>
      </c>
    </row>
    <row r="29" spans="1:6">
      <c r="A29" s="355" t="s">
        <v>744</v>
      </c>
      <c r="B29" s="355">
        <v>61</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25</v>
      </c>
      <c r="D36" s="334">
        <v>2190823.69601392</v>
      </c>
      <c r="E36" s="334">
        <v>69</v>
      </c>
      <c r="F36" s="334">
        <v>661153.31711217004</v>
      </c>
    </row>
    <row r="37" spans="1:6">
      <c r="A37" s="348" t="s">
        <v>25</v>
      </c>
      <c r="B37" s="348" t="s">
        <v>28</v>
      </c>
      <c r="C37" s="334">
        <v>0</v>
      </c>
      <c r="D37" s="334">
        <v>0</v>
      </c>
      <c r="E37" s="334">
        <v>0</v>
      </c>
      <c r="F37" s="334">
        <v>0</v>
      </c>
    </row>
    <row r="38" spans="1:6">
      <c r="A38" s="348" t="s">
        <v>25</v>
      </c>
      <c r="B38" s="348" t="s">
        <v>29</v>
      </c>
      <c r="C38" s="334">
        <v>1</v>
      </c>
      <c r="D38" s="334">
        <v>32339.988094199001</v>
      </c>
      <c r="E38" s="334">
        <v>2</v>
      </c>
      <c r="F38" s="334">
        <v>2288.6291055276001</v>
      </c>
    </row>
    <row r="39" spans="1:6">
      <c r="A39" s="348" t="s">
        <v>30</v>
      </c>
      <c r="B39" s="348" t="s">
        <v>31</v>
      </c>
      <c r="C39" s="334">
        <v>2326</v>
      </c>
      <c r="D39" s="334">
        <v>35259265.608085901</v>
      </c>
      <c r="E39" s="334">
        <v>5549</v>
      </c>
      <c r="F39" s="334">
        <v>24740480.353741299</v>
      </c>
    </row>
    <row r="40" spans="1:6">
      <c r="A40" s="348" t="s">
        <v>30</v>
      </c>
      <c r="B40" s="348" t="s">
        <v>29</v>
      </c>
      <c r="C40" s="334">
        <v>0</v>
      </c>
      <c r="D40" s="334">
        <v>0</v>
      </c>
      <c r="E40" s="334">
        <v>0</v>
      </c>
      <c r="F40" s="334">
        <v>0</v>
      </c>
    </row>
    <row r="41" spans="1:6">
      <c r="A41" s="348" t="s">
        <v>32</v>
      </c>
      <c r="B41" s="348" t="s">
        <v>33</v>
      </c>
      <c r="C41" s="334">
        <v>51</v>
      </c>
      <c r="D41" s="334">
        <v>1729939.31821797</v>
      </c>
      <c r="E41" s="334">
        <v>179</v>
      </c>
      <c r="F41" s="334">
        <v>2959246.0294578499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269424.26537176297</v>
      </c>
    </row>
    <row r="45" spans="1:6">
      <c r="A45" s="348" t="s">
        <v>32</v>
      </c>
      <c r="B45" s="348" t="s">
        <v>37</v>
      </c>
      <c r="C45" s="334">
        <v>0</v>
      </c>
      <c r="D45" s="334">
        <v>0</v>
      </c>
      <c r="E45" s="334">
        <v>3</v>
      </c>
      <c r="F45" s="334">
        <v>474258.93768784398</v>
      </c>
    </row>
    <row r="46" spans="1:6">
      <c r="A46" s="348" t="s">
        <v>32</v>
      </c>
      <c r="B46" s="348" t="s">
        <v>38</v>
      </c>
      <c r="C46" s="334">
        <v>0</v>
      </c>
      <c r="D46" s="334">
        <v>0</v>
      </c>
      <c r="E46" s="334">
        <v>0</v>
      </c>
      <c r="F46" s="334">
        <v>0</v>
      </c>
    </row>
    <row r="47" spans="1:6">
      <c r="A47" s="348" t="s">
        <v>32</v>
      </c>
      <c r="B47" s="348" t="s">
        <v>39</v>
      </c>
      <c r="C47" s="334">
        <v>3</v>
      </c>
      <c r="D47" s="334">
        <v>185444.65656875301</v>
      </c>
      <c r="E47" s="334">
        <v>3</v>
      </c>
      <c r="F47" s="334">
        <v>55571.076503201002</v>
      </c>
    </row>
    <row r="48" spans="1:6">
      <c r="A48" s="348" t="s">
        <v>32</v>
      </c>
      <c r="B48" s="348" t="s">
        <v>29</v>
      </c>
      <c r="C48" s="334">
        <v>50</v>
      </c>
      <c r="D48" s="334">
        <v>8374761.75165122</v>
      </c>
      <c r="E48" s="334">
        <v>71</v>
      </c>
      <c r="F48" s="334">
        <v>23974904.227025501</v>
      </c>
    </row>
    <row r="49" spans="1:6">
      <c r="A49" s="348" t="s">
        <v>32</v>
      </c>
      <c r="B49" s="348" t="s">
        <v>40</v>
      </c>
      <c r="C49" s="334">
        <v>3</v>
      </c>
      <c r="D49" s="334">
        <v>73237.643792252304</v>
      </c>
      <c r="E49" s="334">
        <v>27</v>
      </c>
      <c r="F49" s="334">
        <v>3511747.4541915702</v>
      </c>
    </row>
    <row r="50" spans="1:6">
      <c r="A50" s="348" t="s">
        <v>32</v>
      </c>
      <c r="B50" s="348" t="s">
        <v>41</v>
      </c>
      <c r="C50" s="334">
        <v>3</v>
      </c>
      <c r="D50" s="334">
        <v>499646.00575721601</v>
      </c>
      <c r="E50" s="334">
        <v>11</v>
      </c>
      <c r="F50" s="334">
        <v>2460631.1314535202</v>
      </c>
    </row>
    <row r="51" spans="1:6">
      <c r="A51" s="348" t="s">
        <v>42</v>
      </c>
      <c r="B51" s="348" t="s">
        <v>43</v>
      </c>
      <c r="C51" s="334">
        <v>0</v>
      </c>
      <c r="D51" s="334">
        <v>0</v>
      </c>
      <c r="E51" s="334">
        <v>106</v>
      </c>
      <c r="F51" s="334">
        <v>1678779.7802088701</v>
      </c>
    </row>
    <row r="52" spans="1:6">
      <c r="A52" s="348" t="s">
        <v>42</v>
      </c>
      <c r="B52" s="348" t="s">
        <v>29</v>
      </c>
      <c r="C52" s="334">
        <v>5</v>
      </c>
      <c r="D52" s="334">
        <v>83368.848161846996</v>
      </c>
      <c r="E52" s="334">
        <v>11</v>
      </c>
      <c r="F52" s="334">
        <v>223011.903921071</v>
      </c>
    </row>
    <row r="53" spans="1:6">
      <c r="A53" s="348" t="s">
        <v>44</v>
      </c>
      <c r="B53" s="348" t="s">
        <v>45</v>
      </c>
      <c r="C53" s="334">
        <v>62</v>
      </c>
      <c r="D53" s="334">
        <v>953043.96715309296</v>
      </c>
      <c r="E53" s="334">
        <v>208</v>
      </c>
      <c r="F53" s="334">
        <v>718847.12468598702</v>
      </c>
    </row>
    <row r="54" spans="1:6">
      <c r="A54" s="348" t="s">
        <v>46</v>
      </c>
      <c r="B54" s="348" t="s">
        <v>47</v>
      </c>
      <c r="C54" s="334">
        <v>0</v>
      </c>
      <c r="D54" s="334">
        <v>0</v>
      </c>
      <c r="E54" s="334">
        <v>1</v>
      </c>
      <c r="F54" s="334">
        <v>1318102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337078.15441648202</v>
      </c>
      <c r="E57" s="334">
        <v>58</v>
      </c>
      <c r="F57" s="334">
        <v>374461.68901092903</v>
      </c>
    </row>
    <row r="58" spans="1:6">
      <c r="A58" s="348" t="s">
        <v>49</v>
      </c>
      <c r="B58" s="348" t="s">
        <v>51</v>
      </c>
      <c r="C58" s="334">
        <v>9</v>
      </c>
      <c r="D58" s="334">
        <v>125751.581047473</v>
      </c>
      <c r="E58" s="334">
        <v>23</v>
      </c>
      <c r="F58" s="334">
        <v>137938.580482277</v>
      </c>
    </row>
    <row r="59" spans="1:6">
      <c r="A59" s="348" t="s">
        <v>49</v>
      </c>
      <c r="B59" s="348" t="s">
        <v>52</v>
      </c>
      <c r="C59" s="334">
        <v>21</v>
      </c>
      <c r="D59" s="334">
        <v>610062.26505599695</v>
      </c>
      <c r="E59" s="334">
        <v>133</v>
      </c>
      <c r="F59" s="334">
        <v>5173055.0983987404</v>
      </c>
    </row>
    <row r="60" spans="1:6">
      <c r="A60" s="348" t="s">
        <v>49</v>
      </c>
      <c r="B60" s="348" t="s">
        <v>53</v>
      </c>
      <c r="C60" s="334">
        <v>24</v>
      </c>
      <c r="D60" s="334">
        <v>787670.28294270404</v>
      </c>
      <c r="E60" s="334">
        <v>55</v>
      </c>
      <c r="F60" s="334">
        <v>985248.147377613</v>
      </c>
    </row>
    <row r="61" spans="1:6">
      <c r="A61" s="348" t="s">
        <v>49</v>
      </c>
      <c r="B61" s="348" t="s">
        <v>54</v>
      </c>
      <c r="C61" s="334">
        <v>71</v>
      </c>
      <c r="D61" s="334">
        <v>3629146.71390035</v>
      </c>
      <c r="E61" s="334">
        <v>224</v>
      </c>
      <c r="F61" s="334">
        <v>3004547.3697573701</v>
      </c>
    </row>
    <row r="62" spans="1:6">
      <c r="A62" s="348" t="s">
        <v>49</v>
      </c>
      <c r="B62" s="348" t="s">
        <v>55</v>
      </c>
      <c r="C62" s="334">
        <v>6</v>
      </c>
      <c r="D62" s="334">
        <v>1315397.8149089899</v>
      </c>
      <c r="E62" s="334">
        <v>13</v>
      </c>
      <c r="F62" s="334">
        <v>219615.88782511299</v>
      </c>
    </row>
    <row r="63" spans="1:6">
      <c r="A63" s="348" t="s">
        <v>49</v>
      </c>
      <c r="B63" s="348" t="s">
        <v>29</v>
      </c>
      <c r="C63" s="334">
        <v>119</v>
      </c>
      <c r="D63" s="334">
        <v>3806032.3588271802</v>
      </c>
      <c r="E63" s="334">
        <v>166</v>
      </c>
      <c r="F63" s="334">
        <v>2840302.01708839</v>
      </c>
    </row>
    <row r="64" spans="1:6">
      <c r="A64" s="348" t="s">
        <v>56</v>
      </c>
      <c r="B64" s="348" t="s">
        <v>57</v>
      </c>
      <c r="C64" s="334">
        <v>0</v>
      </c>
      <c r="D64" s="334">
        <v>0</v>
      </c>
      <c r="E64" s="334">
        <v>0</v>
      </c>
      <c r="F64" s="334">
        <v>0</v>
      </c>
    </row>
    <row r="65" spans="1:6">
      <c r="A65" s="348" t="s">
        <v>56</v>
      </c>
      <c r="B65" s="348" t="s">
        <v>29</v>
      </c>
      <c r="C65" s="334">
        <v>1</v>
      </c>
      <c r="D65" s="334">
        <v>168892.28907371699</v>
      </c>
      <c r="E65" s="334">
        <v>5</v>
      </c>
      <c r="F65" s="334">
        <v>16182.0778721141</v>
      </c>
    </row>
    <row r="66" spans="1:6">
      <c r="A66" s="348" t="s">
        <v>56</v>
      </c>
      <c r="B66" s="348" t="s">
        <v>58</v>
      </c>
      <c r="C66" s="334">
        <v>0</v>
      </c>
      <c r="D66" s="334">
        <v>0</v>
      </c>
      <c r="E66" s="334">
        <v>8</v>
      </c>
      <c r="F66" s="334">
        <v>18106.117985990801</v>
      </c>
    </row>
    <row r="67" spans="1:6">
      <c r="A67" s="355" t="s">
        <v>56</v>
      </c>
      <c r="B67" s="355" t="s">
        <v>59</v>
      </c>
      <c r="C67" s="334">
        <v>0</v>
      </c>
      <c r="D67" s="334">
        <v>0</v>
      </c>
      <c r="E67" s="334">
        <v>0</v>
      </c>
      <c r="F67" s="334">
        <v>0</v>
      </c>
    </row>
    <row r="68" spans="1:6">
      <c r="A68" s="341" t="s">
        <v>56</v>
      </c>
      <c r="B68" s="341" t="s">
        <v>60</v>
      </c>
      <c r="C68" s="334">
        <v>0</v>
      </c>
      <c r="D68" s="334">
        <v>0</v>
      </c>
      <c r="E68" s="334">
        <v>6</v>
      </c>
      <c r="F68" s="334">
        <v>135975.815398092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57383572</v>
      </c>
      <c r="E73" s="476">
        <v>38787721.799905427</v>
      </c>
    </row>
    <row r="74" spans="1:6">
      <c r="A74" s="348" t="s">
        <v>64</v>
      </c>
      <c r="B74" s="348" t="s">
        <v>657</v>
      </c>
      <c r="C74" s="1272" t="s">
        <v>659</v>
      </c>
      <c r="D74" s="476">
        <v>6741217.5429209247</v>
      </c>
      <c r="E74" s="476">
        <v>4832594.1237547053</v>
      </c>
    </row>
    <row r="75" spans="1:6">
      <c r="A75" s="348" t="s">
        <v>65</v>
      </c>
      <c r="B75" s="348" t="s">
        <v>656</v>
      </c>
      <c r="C75" s="1272" t="s">
        <v>660</v>
      </c>
      <c r="D75" s="476">
        <v>14716708</v>
      </c>
      <c r="E75" s="476">
        <v>9356531.6146559771</v>
      </c>
    </row>
    <row r="76" spans="1:6">
      <c r="A76" s="348" t="s">
        <v>65</v>
      </c>
      <c r="B76" s="348" t="s">
        <v>657</v>
      </c>
      <c r="C76" s="1272" t="s">
        <v>661</v>
      </c>
      <c r="D76" s="476">
        <v>1025454.5429209245</v>
      </c>
      <c r="E76" s="476">
        <v>605997.69165722711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234370.9141581509</v>
      </c>
      <c r="C83" s="476">
        <v>234174.7617340828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3618.4253695003613</v>
      </c>
    </row>
    <row r="92" spans="1:6">
      <c r="A92" s="341" t="s">
        <v>69</v>
      </c>
      <c r="B92" s="342">
        <v>6826.4176082112454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611</v>
      </c>
    </row>
    <row r="98" spans="1:6">
      <c r="A98" s="348" t="s">
        <v>72</v>
      </c>
      <c r="B98" s="334">
        <v>0</v>
      </c>
    </row>
    <row r="99" spans="1:6">
      <c r="A99" s="348" t="s">
        <v>73</v>
      </c>
      <c r="B99" s="334">
        <v>66</v>
      </c>
    </row>
    <row r="100" spans="1:6">
      <c r="A100" s="348" t="s">
        <v>74</v>
      </c>
      <c r="B100" s="334">
        <v>660</v>
      </c>
    </row>
    <row r="101" spans="1:6">
      <c r="A101" s="348" t="s">
        <v>75</v>
      </c>
      <c r="B101" s="334">
        <v>91</v>
      </c>
    </row>
    <row r="102" spans="1:6">
      <c r="A102" s="348" t="s">
        <v>76</v>
      </c>
      <c r="B102" s="334">
        <v>103</v>
      </c>
    </row>
    <row r="103" spans="1:6">
      <c r="A103" s="348" t="s">
        <v>77</v>
      </c>
      <c r="B103" s="334">
        <v>169</v>
      </c>
    </row>
    <row r="104" spans="1:6">
      <c r="A104" s="348" t="s">
        <v>78</v>
      </c>
      <c r="B104" s="334">
        <v>3410</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33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164</v>
      </c>
    </row>
    <row r="130" spans="1:6">
      <c r="A130" s="348" t="s">
        <v>295</v>
      </c>
      <c r="B130" s="334">
        <v>1</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78048.115808057453</v>
      </c>
      <c r="C3" s="43" t="s">
        <v>170</v>
      </c>
      <c r="D3" s="43"/>
      <c r="E3" s="154"/>
      <c r="F3" s="43"/>
      <c r="G3" s="43"/>
      <c r="H3" s="43"/>
      <c r="I3" s="43"/>
      <c r="J3" s="43"/>
      <c r="K3" s="96"/>
    </row>
    <row r="4" spans="1:11">
      <c r="A4" s="383" t="s">
        <v>171</v>
      </c>
      <c r="B4" s="49">
        <f>IF(ISERROR('SEAP template'!B69),0,'SEAP template'!B69)</f>
        <v>10444.842977711607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0.19142452243496744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1318.1020000000001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1318.1020000000001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0.19142452243496744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252.31704587057547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24740.480353741299</v>
      </c>
      <c r="C5" s="17">
        <f>IF(ISERROR('Eigen informatie GS &amp; warmtenet'!B57),0,'Eigen informatie GS &amp; warmtenet'!B57)</f>
        <v>0</v>
      </c>
      <c r="D5" s="30">
        <f>(SUM(HH_hh_gas_kWh,HH_rest_gas_kWh)/1000)*0.902</f>
        <v>31803.857578493484</v>
      </c>
      <c r="E5" s="17">
        <f>B46*B57</f>
        <v>2804.3008752498822</v>
      </c>
      <c r="F5" s="17">
        <f>B51*B62</f>
        <v>48320.487016348074</v>
      </c>
      <c r="G5" s="18"/>
      <c r="H5" s="17"/>
      <c r="I5" s="17"/>
      <c r="J5" s="17">
        <f>B50*B61+C50*C61</f>
        <v>0</v>
      </c>
      <c r="K5" s="17"/>
      <c r="L5" s="17"/>
      <c r="M5" s="17"/>
      <c r="N5" s="17">
        <f>B48*B59+C48*C59</f>
        <v>13176.944975190441</v>
      </c>
      <c r="O5" s="17">
        <f>B69*B70*B71</f>
        <v>307.97666666666669</v>
      </c>
      <c r="P5" s="17">
        <f>B77*B78*B79/1000-B77*B78*B79/1000/B80</f>
        <v>858</v>
      </c>
    </row>
    <row r="6" spans="1:16">
      <c r="A6" s="16" t="s">
        <v>621</v>
      </c>
      <c r="B6" s="843">
        <f>kWh_PV_kleiner_dan_10kW</f>
        <v>3618.4253695003613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28358.90572324166</v>
      </c>
      <c r="C8" s="21">
        <f>C5</f>
        <v>0</v>
      </c>
      <c r="D8" s="21">
        <f>D5</f>
        <v>31803.857578493484</v>
      </c>
      <c r="E8" s="21">
        <f>E5</f>
        <v>2804.3008752498822</v>
      </c>
      <c r="F8" s="21">
        <f>F5</f>
        <v>48320.487016348074</v>
      </c>
      <c r="G8" s="21"/>
      <c r="H8" s="21"/>
      <c r="I8" s="21"/>
      <c r="J8" s="21">
        <f>J5</f>
        <v>0</v>
      </c>
      <c r="K8" s="21"/>
      <c r="L8" s="21">
        <f>L5</f>
        <v>0</v>
      </c>
      <c r="M8" s="21">
        <f>M5</f>
        <v>0</v>
      </c>
      <c r="N8" s="21">
        <f>N5</f>
        <v>13176.944975190441</v>
      </c>
      <c r="O8" s="21">
        <f>O5</f>
        <v>307.97666666666669</v>
      </c>
      <c r="P8" s="21">
        <f>P5</f>
        <v>858</v>
      </c>
    </row>
    <row r="9" spans="1:16">
      <c r="B9" s="19"/>
      <c r="C9" s="19"/>
      <c r="D9" s="258"/>
      <c r="E9" s="19"/>
      <c r="F9" s="19"/>
      <c r="G9" s="19"/>
      <c r="H9" s="19"/>
      <c r="I9" s="19"/>
      <c r="J9" s="19"/>
      <c r="K9" s="19"/>
      <c r="L9" s="19"/>
      <c r="M9" s="19"/>
      <c r="N9" s="19"/>
      <c r="O9" s="19"/>
      <c r="P9" s="19"/>
    </row>
    <row r="10" spans="1:16">
      <c r="A10" s="24" t="s">
        <v>214</v>
      </c>
      <c r="B10" s="25">
        <f ca="1">'EF ele_warmte'!B12</f>
        <v>0.19142452243496744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5428.5899848497993</v>
      </c>
      <c r="C12" s="23">
        <f ca="1">C10*C8</f>
        <v>0</v>
      </c>
      <c r="D12" s="23">
        <f>D8*D10</f>
        <v>6424.379230855684</v>
      </c>
      <c r="E12" s="23">
        <f>E10*E8</f>
        <v>636.5762986817233</v>
      </c>
      <c r="F12" s="23">
        <f>F10*F8</f>
        <v>12901.570033364937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611</v>
      </c>
      <c r="C18" s="166" t="s">
        <v>111</v>
      </c>
      <c r="D18" s="228"/>
      <c r="E18" s="15"/>
    </row>
    <row r="19" spans="1:7">
      <c r="A19" s="171" t="s">
        <v>72</v>
      </c>
      <c r="B19" s="37">
        <f>aantalw2001_ander</f>
        <v>0</v>
      </c>
      <c r="C19" s="166" t="s">
        <v>111</v>
      </c>
      <c r="D19" s="229"/>
      <c r="E19" s="15"/>
    </row>
    <row r="20" spans="1:7">
      <c r="A20" s="171" t="s">
        <v>73</v>
      </c>
      <c r="B20" s="37">
        <f>aantalw2001_propaan</f>
        <v>66</v>
      </c>
      <c r="C20" s="167">
        <f>IF(ISERROR(B20/SUM($B$20,$B$21,$B$22)*100),0,B20/SUM($B$20,$B$21,$B$22)*100)</f>
        <v>8.0783353733170138</v>
      </c>
      <c r="D20" s="229"/>
      <c r="E20" s="15"/>
    </row>
    <row r="21" spans="1:7">
      <c r="A21" s="171" t="s">
        <v>74</v>
      </c>
      <c r="B21" s="37">
        <f>aantalw2001_elektriciteit</f>
        <v>660</v>
      </c>
      <c r="C21" s="167">
        <f>IF(ISERROR(B21/SUM($B$20,$B$21,$B$22)*100),0,B21/SUM($B$20,$B$21,$B$22)*100)</f>
        <v>80.783353733170145</v>
      </c>
      <c r="D21" s="229"/>
      <c r="E21" s="15"/>
    </row>
    <row r="22" spans="1:7">
      <c r="A22" s="171" t="s">
        <v>75</v>
      </c>
      <c r="B22" s="37">
        <f>aantalw2001_hout</f>
        <v>91</v>
      </c>
      <c r="C22" s="167">
        <f>IF(ISERROR(B22/SUM($B$20,$B$21,$B$22)*100),0,B22/SUM($B$20,$B$21,$B$22)*100)</f>
        <v>11.138310893512852</v>
      </c>
      <c r="D22" s="229"/>
      <c r="E22" s="15"/>
    </row>
    <row r="23" spans="1:7">
      <c r="A23" s="171" t="s">
        <v>76</v>
      </c>
      <c r="B23" s="37">
        <f>aantalw2001_niet_gespec</f>
        <v>103</v>
      </c>
      <c r="C23" s="166" t="s">
        <v>111</v>
      </c>
      <c r="D23" s="228"/>
      <c r="E23" s="15"/>
    </row>
    <row r="24" spans="1:7">
      <c r="A24" s="171" t="s">
        <v>77</v>
      </c>
      <c r="B24" s="37">
        <f>aantalw2001_steenkool</f>
        <v>169</v>
      </c>
      <c r="C24" s="166" t="s">
        <v>111</v>
      </c>
      <c r="D24" s="229"/>
      <c r="E24" s="15"/>
    </row>
    <row r="25" spans="1:7">
      <c r="A25" s="171" t="s">
        <v>78</v>
      </c>
      <c r="B25" s="37">
        <f>aantalw2001_stookolie</f>
        <v>3410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5877</v>
      </c>
      <c r="C28" s="36"/>
      <c r="D28" s="228"/>
    </row>
    <row r="29" spans="1:7" s="15" customFormat="1">
      <c r="A29" s="230" t="s">
        <v>795</v>
      </c>
      <c r="B29" s="37">
        <f>SUM(HH_hh_gas_aantal,HH_rest_gas_aantal)</f>
        <v>2326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2326</v>
      </c>
      <c r="C32" s="167">
        <f>IF(ISERROR(B32/SUM($B$32,$B$34,$B$35,$B$36,$B$38,$B$39)*100),0,B32/SUM($B$32,$B$34,$B$35,$B$36,$B$38,$B$39)*100)</f>
        <v>39.883401920438963</v>
      </c>
      <c r="D32" s="233"/>
      <c r="G32" s="15"/>
    </row>
    <row r="33" spans="1:7">
      <c r="A33" s="171" t="s">
        <v>72</v>
      </c>
      <c r="B33" s="34" t="s">
        <v>111</v>
      </c>
      <c r="C33" s="167"/>
      <c r="D33" s="233"/>
      <c r="G33" s="15"/>
    </row>
    <row r="34" spans="1:7">
      <c r="A34" s="171" t="s">
        <v>73</v>
      </c>
      <c r="B34" s="33">
        <f>IF((($B$28-$B$32-$B$39-$B$77-$B$38)*C20/100)&lt;0,0,($B$28-$B$32-$B$39-$B$77-$B$38)*C20/100)</f>
        <v>132.44430844553244</v>
      </c>
      <c r="C34" s="167">
        <f>IF(ISERROR(B34/SUM($B$32,$B$34,$B$35,$B$36,$B$38,$B$39)*100),0,B34/SUM($B$32,$B$34,$B$35,$B$36,$B$38,$B$39)*100)</f>
        <v>2.2709929431675659</v>
      </c>
      <c r="D34" s="233"/>
      <c r="G34" s="15"/>
    </row>
    <row r="35" spans="1:7">
      <c r="A35" s="171" t="s">
        <v>74</v>
      </c>
      <c r="B35" s="33">
        <f>IF((($B$28-$B$32-$B$39-$B$77-$B$38)*C21/100)&lt;0,0,($B$28-$B$32-$B$39-$B$77-$B$38)*C21/100)</f>
        <v>1324.4430844553247</v>
      </c>
      <c r="C35" s="167">
        <f>IF(ISERROR(B35/SUM($B$32,$B$34,$B$35,$B$36,$B$38,$B$39)*100),0,B35/SUM($B$32,$B$34,$B$35,$B$36,$B$38,$B$39)*100)</f>
        <v>22.709929431675661</v>
      </c>
      <c r="D35" s="233"/>
      <c r="G35" s="15"/>
    </row>
    <row r="36" spans="1:7">
      <c r="A36" s="171" t="s">
        <v>75</v>
      </c>
      <c r="B36" s="33">
        <f>IF((($B$28-$B$32-$B$39-$B$77-$B$38)*C22/100)&lt;0,0,($B$28-$B$32-$B$39-$B$77-$B$38)*C22/100)</f>
        <v>182.61260709914322</v>
      </c>
      <c r="C36" s="167">
        <f>IF(ISERROR(B36/SUM($B$32,$B$34,$B$35,$B$36,$B$38,$B$39)*100),0,B36/SUM($B$32,$B$34,$B$35,$B$36,$B$38,$B$39)*100)</f>
        <v>3.1312175428522502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1866.5</v>
      </c>
      <c r="C39" s="167">
        <f>IF(ISERROR(B39/SUM($B$32,$B$34,$B$35,$B$36,$B$38,$B$39)*100),0,B39/SUM($B$32,$B$34,$B$35,$B$36,$B$38,$B$39)*100)</f>
        <v>32.004458161865571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2326</v>
      </c>
      <c r="C44" s="34" t="s">
        <v>111</v>
      </c>
      <c r="D44" s="174"/>
    </row>
    <row r="45" spans="1:7">
      <c r="A45" s="171" t="s">
        <v>72</v>
      </c>
      <c r="B45" s="33" t="str">
        <f t="shared" si="0"/>
        <v>-</v>
      </c>
      <c r="C45" s="34" t="s">
        <v>111</v>
      </c>
      <c r="D45" s="174"/>
    </row>
    <row r="46" spans="1:7">
      <c r="A46" s="171" t="s">
        <v>73</v>
      </c>
      <c r="B46" s="33">
        <f t="shared" si="0"/>
        <v>132.44430844553244</v>
      </c>
      <c r="C46" s="34" t="s">
        <v>111</v>
      </c>
      <c r="D46" s="174"/>
    </row>
    <row r="47" spans="1:7">
      <c r="A47" s="171" t="s">
        <v>74</v>
      </c>
      <c r="B47" s="33">
        <f t="shared" si="0"/>
        <v>1324.4430844553247</v>
      </c>
      <c r="C47" s="34" t="s">
        <v>111</v>
      </c>
      <c r="D47" s="174"/>
    </row>
    <row r="48" spans="1:7">
      <c r="A48" s="171" t="s">
        <v>75</v>
      </c>
      <c r="B48" s="33">
        <f t="shared" si="0"/>
        <v>182.61260709914322</v>
      </c>
      <c r="C48" s="33">
        <f>B48*10</f>
        <v>1826.1260709914322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1866.5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12735.168789940433</v>
      </c>
      <c r="C5" s="17">
        <f>IF(ISERROR('Eigen informatie GS &amp; warmtenet'!B58),0,'Eigen informatie GS &amp; warmtenet'!B58)</f>
        <v>0</v>
      </c>
      <c r="D5" s="30">
        <f>SUM(D6:D12)</f>
        <v>9571.2475323314557</v>
      </c>
      <c r="E5" s="17">
        <f>SUM(E6:E12)</f>
        <v>240.79294301538096</v>
      </c>
      <c r="F5" s="17">
        <f>SUM(F6:F12)</f>
        <v>2220.7528169925777</v>
      </c>
      <c r="G5" s="18"/>
      <c r="H5" s="17"/>
      <c r="I5" s="17"/>
      <c r="J5" s="17">
        <f>SUM(J6:J12)</f>
        <v>1.5005958432849437E-2</v>
      </c>
      <c r="K5" s="17"/>
      <c r="L5" s="17"/>
      <c r="M5" s="17"/>
      <c r="N5" s="17">
        <f>SUM(N6:N12)</f>
        <v>606.08618280296366</v>
      </c>
      <c r="O5" s="17">
        <f>B38*B39*B40</f>
        <v>1.5633333333333335</v>
      </c>
      <c r="P5" s="17">
        <f>B46*B47*B48/1000-B46*B47*B48/1000/B49</f>
        <v>38.133333333333333</v>
      </c>
      <c r="R5" s="32"/>
    </row>
    <row r="6" spans="1:18">
      <c r="A6" s="32" t="s">
        <v>54</v>
      </c>
      <c r="B6" s="37">
        <f>B26</f>
        <v>3004.5473697573702</v>
      </c>
      <c r="C6" s="33"/>
      <c r="D6" s="37">
        <f>IF(ISERROR(TER_kantoor_gas_kWh/1000),0,TER_kantoor_gas_kWh/1000)*0.902</f>
        <v>3273.4903359381155</v>
      </c>
      <c r="E6" s="33">
        <f>$C$26*'E Balans VL '!I12/100/3.6*1000000</f>
        <v>1.8831503616839412E-2</v>
      </c>
      <c r="F6" s="33">
        <f>$C$26*('E Balans VL '!L12+'E Balans VL '!N12)/100/3.6*1000000</f>
        <v>451.49951461391174</v>
      </c>
      <c r="G6" s="34"/>
      <c r="H6" s="33"/>
      <c r="I6" s="33"/>
      <c r="J6" s="33">
        <f>$C$26*('E Balans VL '!D12+'E Balans VL '!E12)/100/3.6*1000000</f>
        <v>0</v>
      </c>
      <c r="K6" s="33"/>
      <c r="L6" s="33"/>
      <c r="M6" s="33"/>
      <c r="N6" s="33">
        <f>$C$26*'E Balans VL '!Y12/100/3.6*1000000</f>
        <v>2.8734040861372918</v>
      </c>
      <c r="O6" s="33"/>
      <c r="P6" s="33"/>
      <c r="R6" s="32"/>
    </row>
    <row r="7" spans="1:18">
      <c r="A7" s="32" t="s">
        <v>53</v>
      </c>
      <c r="B7" s="37">
        <f t="shared" ref="B7:B12" si="0">B27</f>
        <v>985.24814737761301</v>
      </c>
      <c r="C7" s="33"/>
      <c r="D7" s="37">
        <f>IF(ISERROR(TER_horeca_gas_kWh/1000),0,TER_horeca_gas_kWh/1000)*0.902</f>
        <v>710.47859521431906</v>
      </c>
      <c r="E7" s="33">
        <f>$C$27*'E Balans VL '!I9/100/3.6*1000000</f>
        <v>14.108589359434545</v>
      </c>
      <c r="F7" s="33">
        <f>$C$27*('E Balans VL '!L9+'E Balans VL '!N9)/100/3.6*1000000</f>
        <v>124.76491019379409</v>
      </c>
      <c r="G7" s="34"/>
      <c r="H7" s="33"/>
      <c r="I7" s="33"/>
      <c r="J7" s="33">
        <f>$C$27*('E Balans VL '!D9+'E Balans VL '!E9)/100/3.6*1000000</f>
        <v>0</v>
      </c>
      <c r="K7" s="33"/>
      <c r="L7" s="33"/>
      <c r="M7" s="33"/>
      <c r="N7" s="33">
        <f>$C$27*'E Balans VL '!Y9/100/3.6*1000000</f>
        <v>0.2832371195140968</v>
      </c>
      <c r="O7" s="33"/>
      <c r="P7" s="33"/>
      <c r="R7" s="32"/>
    </row>
    <row r="8" spans="1:18">
      <c r="A8" s="6" t="s">
        <v>52</v>
      </c>
      <c r="B8" s="37">
        <f t="shared" si="0"/>
        <v>5173.0550983987405</v>
      </c>
      <c r="C8" s="33"/>
      <c r="D8" s="37">
        <f>IF(ISERROR(TER_handel_gas_kWh/1000),0,TER_handel_gas_kWh/1000)*0.902</f>
        <v>550.27616308050926</v>
      </c>
      <c r="E8" s="33">
        <f>$C$28*'E Balans VL '!I13/100/3.6*1000000</f>
        <v>187.62607050634713</v>
      </c>
      <c r="F8" s="33">
        <f>$C$28*('E Balans VL '!L13+'E Balans VL '!N13)/100/3.6*1000000</f>
        <v>996.38279246471802</v>
      </c>
      <c r="G8" s="34"/>
      <c r="H8" s="33"/>
      <c r="I8" s="33"/>
      <c r="J8" s="33">
        <f>$C$28*('E Balans VL '!D13+'E Balans VL '!E13)/100/3.6*1000000</f>
        <v>0</v>
      </c>
      <c r="K8" s="33"/>
      <c r="L8" s="33"/>
      <c r="M8" s="33"/>
      <c r="N8" s="33">
        <f>$C$28*'E Balans VL '!Y13/100/3.6*1000000</f>
        <v>7.1658715781760867</v>
      </c>
      <c r="O8" s="33"/>
      <c r="P8" s="33"/>
      <c r="R8" s="32"/>
    </row>
    <row r="9" spans="1:18">
      <c r="A9" s="32" t="s">
        <v>51</v>
      </c>
      <c r="B9" s="37">
        <f t="shared" si="0"/>
        <v>137.93858048227699</v>
      </c>
      <c r="C9" s="33"/>
      <c r="D9" s="37">
        <f>IF(ISERROR(TER_gezond_gas_kWh/1000),0,TER_gezond_gas_kWh/1000)*0.902</f>
        <v>113.42792610482064</v>
      </c>
      <c r="E9" s="33">
        <f>$C$29*'E Balans VL '!I10/100/3.6*1000000</f>
        <v>8.6363170356318023E-3</v>
      </c>
      <c r="F9" s="33">
        <f>$C$29*('E Balans VL '!L10+'E Balans VL '!N10)/100/3.6*1000000</f>
        <v>20.491196113622753</v>
      </c>
      <c r="G9" s="34"/>
      <c r="H9" s="33"/>
      <c r="I9" s="33"/>
      <c r="J9" s="33">
        <f>$C$29*('E Balans VL '!D10+'E Balans VL '!E10)/100/3.6*1000000</f>
        <v>0</v>
      </c>
      <c r="K9" s="33"/>
      <c r="L9" s="33"/>
      <c r="M9" s="33"/>
      <c r="N9" s="33">
        <f>$C$29*'E Balans VL '!Y10/100/3.6*1000000</f>
        <v>2.1336472728351414</v>
      </c>
      <c r="O9" s="33"/>
      <c r="P9" s="33"/>
      <c r="R9" s="32"/>
    </row>
    <row r="10" spans="1:18">
      <c r="A10" s="32" t="s">
        <v>50</v>
      </c>
      <c r="B10" s="37">
        <f t="shared" si="0"/>
        <v>374.46168901092904</v>
      </c>
      <c r="C10" s="33"/>
      <c r="D10" s="37">
        <f>IF(ISERROR(TER_ander_gas_kWh/1000),0,TER_ander_gas_kWh/1000)*0.902</f>
        <v>304.04449528366683</v>
      </c>
      <c r="E10" s="33">
        <f>$C$30*'E Balans VL '!I14/100/3.6*1000000</f>
        <v>0.44634495230125382</v>
      </c>
      <c r="F10" s="33">
        <f>$C$30*('E Balans VL '!L14+'E Balans VL '!N14)/100/3.6*1000000</f>
        <v>97.97582510442443</v>
      </c>
      <c r="G10" s="34"/>
      <c r="H10" s="33"/>
      <c r="I10" s="33"/>
      <c r="J10" s="33">
        <f>$C$30*('E Balans VL '!D14+'E Balans VL '!E14)/100/3.6*1000000</f>
        <v>8.1280954191365416E-3</v>
      </c>
      <c r="K10" s="33"/>
      <c r="L10" s="33"/>
      <c r="M10" s="33"/>
      <c r="N10" s="33">
        <f>$C$30*'E Balans VL '!Y14/100/3.6*1000000</f>
        <v>317.98370335952853</v>
      </c>
      <c r="O10" s="33"/>
      <c r="P10" s="33"/>
      <c r="R10" s="32"/>
    </row>
    <row r="11" spans="1:18">
      <c r="A11" s="32" t="s">
        <v>55</v>
      </c>
      <c r="B11" s="37">
        <f t="shared" si="0"/>
        <v>219.61588782511299</v>
      </c>
      <c r="C11" s="33"/>
      <c r="D11" s="37">
        <f>IF(ISERROR(TER_onderwijs_gas_kWh/1000),0,TER_onderwijs_gas_kWh/1000)*0.902</f>
        <v>1186.4888290479089</v>
      </c>
      <c r="E11" s="33">
        <f>$C$31*'E Balans VL '!I11/100/3.6*1000000</f>
        <v>3.3136500222580079</v>
      </c>
      <c r="F11" s="33">
        <f>$C$31*('E Balans VL '!L11+'E Balans VL '!N11)/100/3.6*1000000</f>
        <v>38.480212015143557</v>
      </c>
      <c r="G11" s="34"/>
      <c r="H11" s="33"/>
      <c r="I11" s="33"/>
      <c r="J11" s="33">
        <f>$C$31*('E Balans VL '!D11+'E Balans VL '!E11)/100/3.6*1000000</f>
        <v>0</v>
      </c>
      <c r="K11" s="33"/>
      <c r="L11" s="33"/>
      <c r="M11" s="33"/>
      <c r="N11" s="33">
        <f>$C$31*'E Balans VL '!Y11/100/3.6*1000000</f>
        <v>0.61801580417546909</v>
      </c>
      <c r="O11" s="33"/>
      <c r="P11" s="33"/>
      <c r="R11" s="32"/>
    </row>
    <row r="12" spans="1:18">
      <c r="A12" s="32" t="s">
        <v>260</v>
      </c>
      <c r="B12" s="37">
        <f t="shared" si="0"/>
        <v>2840.3020170883901</v>
      </c>
      <c r="C12" s="33"/>
      <c r="D12" s="37">
        <f>IF(ISERROR(TER_rest_gas_kWh/1000),0,TER_rest_gas_kWh/1000)*0.902</f>
        <v>3433.041187662117</v>
      </c>
      <c r="E12" s="33">
        <f>$C$32*'E Balans VL '!I8/100/3.6*1000000</f>
        <v>35.270820354387567</v>
      </c>
      <c r="F12" s="33">
        <f>$C$32*('E Balans VL '!L8+'E Balans VL '!N8)/100/3.6*1000000</f>
        <v>491.1583664869633</v>
      </c>
      <c r="G12" s="34"/>
      <c r="H12" s="33"/>
      <c r="I12" s="33"/>
      <c r="J12" s="33">
        <f>$C$32*('E Balans VL '!D8+'E Balans VL '!E8)/100/3.6*1000000</f>
        <v>6.877863013712896E-3</v>
      </c>
      <c r="K12" s="33"/>
      <c r="L12" s="33"/>
      <c r="M12" s="33"/>
      <c r="N12" s="33">
        <f>$C$32*'E Balans VL '!Y8/100/3.6*1000000</f>
        <v>275.02830358259706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12735.168789940433</v>
      </c>
      <c r="C16" s="21">
        <f t="shared" ca="1" si="1"/>
        <v>0</v>
      </c>
      <c r="D16" s="21">
        <f t="shared" ca="1" si="1"/>
        <v>9571.2475323314557</v>
      </c>
      <c r="E16" s="21">
        <f t="shared" si="1"/>
        <v>240.79294301538096</v>
      </c>
      <c r="F16" s="21">
        <f t="shared" ca="1" si="1"/>
        <v>2220.7528169925777</v>
      </c>
      <c r="G16" s="21">
        <f t="shared" si="1"/>
        <v>0</v>
      </c>
      <c r="H16" s="21">
        <f t="shared" si="1"/>
        <v>0</v>
      </c>
      <c r="I16" s="21">
        <f t="shared" si="1"/>
        <v>0</v>
      </c>
      <c r="J16" s="21">
        <f t="shared" si="1"/>
        <v>1.5005958432849437E-2</v>
      </c>
      <c r="K16" s="21">
        <f t="shared" si="1"/>
        <v>0</v>
      </c>
      <c r="L16" s="21">
        <f t="shared" ca="1" si="1"/>
        <v>0</v>
      </c>
      <c r="M16" s="21">
        <f t="shared" si="1"/>
        <v>0</v>
      </c>
      <c r="N16" s="21">
        <f t="shared" ca="1" si="1"/>
        <v>606.08618280296366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0.19142452243496744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2437.8236037430497</v>
      </c>
      <c r="C20" s="23">
        <f t="shared" ref="C20:P20" ca="1" si="2">C16*C18</f>
        <v>0</v>
      </c>
      <c r="D20" s="23">
        <f t="shared" ca="1" si="2"/>
        <v>1933.3920015309541</v>
      </c>
      <c r="E20" s="23">
        <f t="shared" si="2"/>
        <v>54.659998064491482</v>
      </c>
      <c r="F20" s="23">
        <f t="shared" ca="1" si="2"/>
        <v>592.94100213701824</v>
      </c>
      <c r="G20" s="23">
        <f t="shared" si="2"/>
        <v>0</v>
      </c>
      <c r="H20" s="23">
        <f t="shared" si="2"/>
        <v>0</v>
      </c>
      <c r="I20" s="23">
        <f t="shared" si="2"/>
        <v>0</v>
      </c>
      <c r="J20" s="23">
        <f t="shared" si="2"/>
        <v>5.3121092852287007E-3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3004.5473697573702</v>
      </c>
      <c r="C26" s="39">
        <f>IF(ISERROR(B26*3.6/1000000/'E Balans VL '!Z12*100),0,B26*3.6/1000000/'E Balans VL '!Z12*100)</f>
        <v>6.3511371809181108E-2</v>
      </c>
      <c r="D26" s="237" t="s">
        <v>754</v>
      </c>
      <c r="F26" s="6"/>
    </row>
    <row r="27" spans="1:18">
      <c r="A27" s="231" t="s">
        <v>53</v>
      </c>
      <c r="B27" s="33">
        <f>IF(ISERROR(TER_horeca_ele_kWh/1000),0,TER_horeca_ele_kWh/1000)</f>
        <v>985.24814737761301</v>
      </c>
      <c r="C27" s="39">
        <f>IF(ISERROR(B27*3.6/1000000/'E Balans VL '!Z9*100),0,B27*3.6/1000000/'E Balans VL '!Z9*100)</f>
        <v>7.7666744237045407E-2</v>
      </c>
      <c r="D27" s="237" t="s">
        <v>754</v>
      </c>
      <c r="F27" s="6"/>
    </row>
    <row r="28" spans="1:18">
      <c r="A28" s="171" t="s">
        <v>52</v>
      </c>
      <c r="B28" s="33">
        <f>IF(ISERROR(TER_handel_ele_kWh/1000),0,TER_handel_ele_kWh/1000)</f>
        <v>5173.0550983987405</v>
      </c>
      <c r="C28" s="39">
        <f>IF(ISERROR(B28*3.6/1000000/'E Balans VL '!Z13*100),0,B28*3.6/1000000/'E Balans VL '!Z13*100)</f>
        <v>0.15014296044026798</v>
      </c>
      <c r="D28" s="237" t="s">
        <v>754</v>
      </c>
      <c r="F28" s="6"/>
    </row>
    <row r="29" spans="1:18">
      <c r="A29" s="231" t="s">
        <v>51</v>
      </c>
      <c r="B29" s="33">
        <f>IF(ISERROR(TER_gezond_ele_kWh/1000),0,TER_gezond_ele_kWh/1000)</f>
        <v>137.93858048227699</v>
      </c>
      <c r="C29" s="39">
        <f>IF(ISERROR(B29*3.6/1000000/'E Balans VL '!Z10*100),0,B29*3.6/1000000/'E Balans VL '!Z10*100)</f>
        <v>1.452719753606283E-2</v>
      </c>
      <c r="D29" s="237" t="s">
        <v>754</v>
      </c>
      <c r="F29" s="6"/>
    </row>
    <row r="30" spans="1:18">
      <c r="A30" s="231" t="s">
        <v>50</v>
      </c>
      <c r="B30" s="33">
        <f>IF(ISERROR(TER_ander_ele_kWh/1000),0,TER_ander_ele_kWh/1000)</f>
        <v>374.46168901092904</v>
      </c>
      <c r="C30" s="39">
        <f>IF(ISERROR(B30*3.6/1000000/'E Balans VL '!Z14*100),0,B30*3.6/1000000/'E Balans VL '!Z14*100)</f>
        <v>2.7620375514120402E-2</v>
      </c>
      <c r="D30" s="237" t="s">
        <v>754</v>
      </c>
      <c r="F30" s="6"/>
    </row>
    <row r="31" spans="1:18">
      <c r="A31" s="231" t="s">
        <v>55</v>
      </c>
      <c r="B31" s="33">
        <f>IF(ISERROR(TER_onderwijs_ele_kWh/1000),0,TER_onderwijs_ele_kWh/1000)</f>
        <v>219.61588782511299</v>
      </c>
      <c r="C31" s="39">
        <f>IF(ISERROR(B31*3.6/1000000/'E Balans VL '!Z11*100),0,B31*3.6/1000000/'E Balans VL '!Z11*100)</f>
        <v>5.4540912361008283E-2</v>
      </c>
      <c r="D31" s="237" t="s">
        <v>754</v>
      </c>
    </row>
    <row r="32" spans="1:18">
      <c r="A32" s="231" t="s">
        <v>260</v>
      </c>
      <c r="B32" s="33">
        <f>IF(ISERROR(TER_rest_ele_kWh/1000),0,TER_rest_ele_kWh/1000)</f>
        <v>2840.3020170883901</v>
      </c>
      <c r="C32" s="39">
        <f>IF(ISERROR(B32*3.6/1000000/'E Balans VL '!Z8*100),0,B32*3.6/1000000/'E Balans VL '!Z8*100)</f>
        <v>2.3371915482952178E-2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33705.783121691253</v>
      </c>
      <c r="C5" s="17">
        <f>IF(ISERROR('Eigen informatie GS &amp; warmtenet'!B59),0,'Eigen informatie GS &amp; warmtenet'!B59)</f>
        <v>0</v>
      </c>
      <c r="D5" s="30">
        <f>SUM(D6:D15)</f>
        <v>9798.4524971406463</v>
      </c>
      <c r="E5" s="17">
        <f>SUM(E6:E15)</f>
        <v>2220.7799705393841</v>
      </c>
      <c r="F5" s="17">
        <f>SUM(F6:F15)</f>
        <v>7827.5967778549084</v>
      </c>
      <c r="G5" s="18"/>
      <c r="H5" s="17"/>
      <c r="I5" s="17"/>
      <c r="J5" s="17">
        <f>SUM(J6:J15)</f>
        <v>86.617646174031307</v>
      </c>
      <c r="K5" s="17"/>
      <c r="L5" s="17"/>
      <c r="M5" s="17"/>
      <c r="N5" s="17">
        <f>SUM(N6:N15)</f>
        <v>6988.4188570169499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269.424265371763</v>
      </c>
      <c r="C8" s="33"/>
      <c r="D8" s="37">
        <f>IF( ISERROR(IND_metaal_Gas_kWH/1000),0,IND_metaal_Gas_kWH/1000)*0.902</f>
        <v>0</v>
      </c>
      <c r="E8" s="33">
        <f>C30*'E Balans VL '!I18/100/3.6*1000000</f>
        <v>2.4770959076632364</v>
      </c>
      <c r="F8" s="33">
        <f>C30*'E Balans VL '!L18/100/3.6*1000000+C30*'E Balans VL '!N18/100/3.6*1000000</f>
        <v>25.263026050088392</v>
      </c>
      <c r="G8" s="34"/>
      <c r="H8" s="33"/>
      <c r="I8" s="33"/>
      <c r="J8" s="40">
        <f>C30*'E Balans VL '!D18/100/3.6*1000000+C30*'E Balans VL '!E18/100/3.6*1000000</f>
        <v>0</v>
      </c>
      <c r="K8" s="33"/>
      <c r="L8" s="33"/>
      <c r="M8" s="33"/>
      <c r="N8" s="33">
        <f>C30*'E Balans VL '!Y18/100/3.6*1000000</f>
        <v>3.843782387876348</v>
      </c>
      <c r="O8" s="33"/>
      <c r="P8" s="33"/>
      <c r="R8" s="32"/>
    </row>
    <row r="9" spans="1:18">
      <c r="A9" s="6" t="s">
        <v>33</v>
      </c>
      <c r="B9" s="37">
        <f t="shared" si="0"/>
        <v>2959.24602945785</v>
      </c>
      <c r="C9" s="33"/>
      <c r="D9" s="37">
        <f>IF( ISERROR(IND_andere_gas_kWh/1000),0,IND_andere_gas_kWh/1000)*0.902</f>
        <v>1560.4052650326089</v>
      </c>
      <c r="E9" s="33">
        <f>C31*'E Balans VL '!I19/100/3.6*1000000</f>
        <v>865.04522413569543</v>
      </c>
      <c r="F9" s="33">
        <f>C31*'E Balans VL '!L19/100/3.6*1000000+C31*'E Balans VL '!N19/100/3.6*1000000</f>
        <v>2377.9781790118864</v>
      </c>
      <c r="G9" s="34"/>
      <c r="H9" s="33"/>
      <c r="I9" s="33"/>
      <c r="J9" s="40">
        <f>C31*'E Balans VL '!D19/100/3.6*1000000+C31*'E Balans VL '!E19/100/3.6*1000000</f>
        <v>0</v>
      </c>
      <c r="K9" s="33"/>
      <c r="L9" s="33"/>
      <c r="M9" s="33"/>
      <c r="N9" s="33">
        <f>C31*'E Balans VL '!Y19/100/3.6*1000000</f>
        <v>977.78078278485725</v>
      </c>
      <c r="O9" s="33"/>
      <c r="P9" s="33"/>
      <c r="R9" s="32"/>
    </row>
    <row r="10" spans="1:18">
      <c r="A10" s="6" t="s">
        <v>41</v>
      </c>
      <c r="B10" s="37">
        <f t="shared" si="0"/>
        <v>2460.6311314535201</v>
      </c>
      <c r="C10" s="33"/>
      <c r="D10" s="37">
        <f>IF( ISERROR(IND_voed_gas_kWh/1000),0,IND_voed_gas_kWh/1000)*0.902</f>
        <v>450.68069719300888</v>
      </c>
      <c r="E10" s="33">
        <f>C32*'E Balans VL '!I20/100/3.6*1000000</f>
        <v>5.2055033111274884</v>
      </c>
      <c r="F10" s="33">
        <f>C32*'E Balans VL '!L20/100/3.6*1000000+C32*'E Balans VL '!N20/100/3.6*1000000</f>
        <v>156.44944079880946</v>
      </c>
      <c r="G10" s="34"/>
      <c r="H10" s="33"/>
      <c r="I10" s="33"/>
      <c r="J10" s="40">
        <f>C32*'E Balans VL '!D20/100/3.6*1000000+C32*'E Balans VL '!E20/100/3.6*1000000</f>
        <v>0</v>
      </c>
      <c r="K10" s="33"/>
      <c r="L10" s="33"/>
      <c r="M10" s="33"/>
      <c r="N10" s="33">
        <f>C32*'E Balans VL '!Y20/100/3.6*1000000</f>
        <v>169.80783017162108</v>
      </c>
      <c r="O10" s="33"/>
      <c r="P10" s="33"/>
      <c r="R10" s="32"/>
    </row>
    <row r="11" spans="1:18">
      <c r="A11" s="6" t="s">
        <v>40</v>
      </c>
      <c r="B11" s="37">
        <f t="shared" si="0"/>
        <v>3511.7474541915703</v>
      </c>
      <c r="C11" s="33"/>
      <c r="D11" s="37">
        <f>IF( ISERROR(IND_textiel_gas_kWh/1000),0,IND_textiel_gas_kWh/1000)*0.902</f>
        <v>66.060354700611569</v>
      </c>
      <c r="E11" s="33">
        <f>C33*'E Balans VL '!I21/100/3.6*1000000</f>
        <v>10.429587168112969</v>
      </c>
      <c r="F11" s="33">
        <f>C33*'E Balans VL '!L21/100/3.6*1000000+C33*'E Balans VL '!N21/100/3.6*1000000</f>
        <v>354.78290479747113</v>
      </c>
      <c r="G11" s="34"/>
      <c r="H11" s="33"/>
      <c r="I11" s="33"/>
      <c r="J11" s="40">
        <f>C33*'E Balans VL '!D21/100/3.6*1000000+C33*'E Balans VL '!E21/100/3.6*1000000</f>
        <v>0</v>
      </c>
      <c r="K11" s="33"/>
      <c r="L11" s="33"/>
      <c r="M11" s="33"/>
      <c r="N11" s="33">
        <f>C33*'E Balans VL '!Y21/100/3.6*1000000</f>
        <v>193.68407932883244</v>
      </c>
      <c r="O11" s="33"/>
      <c r="P11" s="33"/>
      <c r="R11" s="32"/>
    </row>
    <row r="12" spans="1:18">
      <c r="A12" s="6" t="s">
        <v>37</v>
      </c>
      <c r="B12" s="37">
        <f t="shared" si="0"/>
        <v>474.25893768784397</v>
      </c>
      <c r="C12" s="33"/>
      <c r="D12" s="37">
        <f>IF( ISERROR(IND_min_gas_kWh/1000),0,IND_min_gas_kWh/1000)*0.902</f>
        <v>0</v>
      </c>
      <c r="E12" s="33">
        <f>C34*'E Balans VL '!I22/100/3.6*1000000</f>
        <v>13.746813764554062</v>
      </c>
      <c r="F12" s="33">
        <f>C34*'E Balans VL '!L22/100/3.6*1000000+C34*'E Balans VL '!N22/100/3.6*1000000</f>
        <v>163.05558202251871</v>
      </c>
      <c r="G12" s="34"/>
      <c r="H12" s="33"/>
      <c r="I12" s="33"/>
      <c r="J12" s="40">
        <f>C34*'E Balans VL '!D22/100/3.6*1000000+C34*'E Balans VL '!E22/100/3.6*1000000</f>
        <v>0.77935035042022316</v>
      </c>
      <c r="K12" s="33"/>
      <c r="L12" s="33"/>
      <c r="M12" s="33"/>
      <c r="N12" s="33">
        <f>C34*'E Balans VL '!Y22/100/3.6*1000000</f>
        <v>103.82307509513642</v>
      </c>
      <c r="O12" s="33"/>
      <c r="P12" s="33"/>
      <c r="R12" s="32"/>
    </row>
    <row r="13" spans="1:18">
      <c r="A13" s="6" t="s">
        <v>39</v>
      </c>
      <c r="B13" s="37">
        <f t="shared" si="0"/>
        <v>55.571076503200999</v>
      </c>
      <c r="C13" s="33"/>
      <c r="D13" s="37">
        <f>IF( ISERROR(IND_papier_gas_kWh/1000),0,IND_papier_gas_kWh/1000)*0.902</f>
        <v>167.27108022501523</v>
      </c>
      <c r="E13" s="33">
        <f>C35*'E Balans VL '!I23/100/3.6*1000000</f>
        <v>7.8842648551505704E-2</v>
      </c>
      <c r="F13" s="33">
        <f>C35*'E Balans VL '!L23/100/3.6*1000000+C35*'E Balans VL '!N23/100/3.6*1000000</f>
        <v>1.3566989381634074</v>
      </c>
      <c r="G13" s="34"/>
      <c r="H13" s="33"/>
      <c r="I13" s="33"/>
      <c r="J13" s="40">
        <f>C35*'E Balans VL '!D23/100/3.6*1000000+C35*'E Balans VL '!E23/100/3.6*1000000</f>
        <v>8.5945887142793304E-3</v>
      </c>
      <c r="K13" s="33"/>
      <c r="L13" s="33"/>
      <c r="M13" s="33"/>
      <c r="N13" s="33">
        <f>C35*'E Balans VL '!Y23/100/3.6*1000000</f>
        <v>161.53196481745434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23974.904227025501</v>
      </c>
      <c r="C15" s="33"/>
      <c r="D15" s="37">
        <f>IF( ISERROR(IND_rest_gas_kWh/1000),0,IND_rest_gas_kWh/1000)*0.902</f>
        <v>7554.0350999894008</v>
      </c>
      <c r="E15" s="33">
        <f>C37*'E Balans VL '!I15/100/3.6*1000000</f>
        <v>1323.7969036036793</v>
      </c>
      <c r="F15" s="33">
        <f>C37*'E Balans VL '!L15/100/3.6*1000000+C37*'E Balans VL '!N15/100/3.6*1000000</f>
        <v>4748.7109462359713</v>
      </c>
      <c r="G15" s="34"/>
      <c r="H15" s="33"/>
      <c r="I15" s="33"/>
      <c r="J15" s="40">
        <f>C37*'E Balans VL '!D15/100/3.6*1000000+C37*'E Balans VL '!E15/100/3.6*1000000</f>
        <v>85.829701234896802</v>
      </c>
      <c r="K15" s="33"/>
      <c r="L15" s="33"/>
      <c r="M15" s="33"/>
      <c r="N15" s="33">
        <f>C37*'E Balans VL '!Y15/100/3.6*1000000</f>
        <v>5377.9473424311718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33705.783121691253</v>
      </c>
      <c r="C18" s="21">
        <f>C5+C16</f>
        <v>0</v>
      </c>
      <c r="D18" s="21">
        <f>MAX((D5+D16),0)</f>
        <v>9798.4524971406463</v>
      </c>
      <c r="E18" s="21">
        <f>MAX((E5+E16),0)</f>
        <v>2220.7799705393841</v>
      </c>
      <c r="F18" s="21">
        <f>MAX((F5+F16),0)</f>
        <v>7827.5967778549084</v>
      </c>
      <c r="G18" s="21"/>
      <c r="H18" s="21"/>
      <c r="I18" s="21"/>
      <c r="J18" s="21">
        <f>MAX((J5+J16),0)</f>
        <v>86.617646174031307</v>
      </c>
      <c r="K18" s="21"/>
      <c r="L18" s="21">
        <f>MAX((L5+L16),0)</f>
        <v>0</v>
      </c>
      <c r="M18" s="21"/>
      <c r="N18" s="21">
        <f>MAX((N5+N16),0)</f>
        <v>6988.4188570169499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0.19142452243496744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6452.1134373663335</v>
      </c>
      <c r="C22" s="23">
        <f ca="1">C18*C20</f>
        <v>0</v>
      </c>
      <c r="D22" s="23">
        <f>D18*D20</f>
        <v>1979.2874044224106</v>
      </c>
      <c r="E22" s="23">
        <f>E18*E20</f>
        <v>504.11705331244019</v>
      </c>
      <c r="F22" s="23">
        <f>F18*F20</f>
        <v>2089.9683396872606</v>
      </c>
      <c r="G22" s="23"/>
      <c r="H22" s="23"/>
      <c r="I22" s="23"/>
      <c r="J22" s="23">
        <f>J18*J20</f>
        <v>30.662646745607081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269.424265371763</v>
      </c>
      <c r="C30" s="39">
        <f>IF(ISERROR(B30*3.6/1000000/'E Balans VL '!Z18*100),0,B30*3.6/1000000/'E Balans VL '!Z18*100)</f>
        <v>1.5268963967619091E-2</v>
      </c>
      <c r="D30" s="237" t="s">
        <v>754</v>
      </c>
    </row>
    <row r="31" spans="1:18">
      <c r="A31" s="6" t="s">
        <v>33</v>
      </c>
      <c r="B31" s="37">
        <f>IF( ISERROR(IND_ander_ele_kWh/1000),0,IND_ander_ele_kWh/1000)</f>
        <v>2959.24602945785</v>
      </c>
      <c r="C31" s="39">
        <f>IF(ISERROR(B31*3.6/1000000/'E Balans VL '!Z19*100),0,B31*3.6/1000000/'E Balans VL '!Z19*100)</f>
        <v>0.13421907781020356</v>
      </c>
      <c r="D31" s="237" t="s">
        <v>754</v>
      </c>
    </row>
    <row r="32" spans="1:18">
      <c r="A32" s="171" t="s">
        <v>41</v>
      </c>
      <c r="B32" s="37">
        <f>IF( ISERROR(IND_voed_ele_kWh/1000),0,IND_voed_ele_kWh/1000)</f>
        <v>2460.6311314535201</v>
      </c>
      <c r="C32" s="39">
        <f>IF(ISERROR(B32*3.6/1000000/'E Balans VL '!Z20*100),0,B32*3.6/1000000/'E Balans VL '!Z20*100)</f>
        <v>7.6118491218022499E-2</v>
      </c>
      <c r="D32" s="237" t="s">
        <v>754</v>
      </c>
    </row>
    <row r="33" spans="1:5">
      <c r="A33" s="171" t="s">
        <v>40</v>
      </c>
      <c r="B33" s="37">
        <f>IF( ISERROR(IND_textiel_ele_kWh/1000),0,IND_textiel_ele_kWh/1000)</f>
        <v>3511.7474541915703</v>
      </c>
      <c r="C33" s="39">
        <f>IF(ISERROR(B33*3.6/1000000/'E Balans VL '!Z21*100),0,B33*3.6/1000000/'E Balans VL '!Z21*100)</f>
        <v>0.45789283296595684</v>
      </c>
      <c r="D33" s="237" t="s">
        <v>754</v>
      </c>
    </row>
    <row r="34" spans="1:5">
      <c r="A34" s="171" t="s">
        <v>37</v>
      </c>
      <c r="B34" s="37">
        <f>IF( ISERROR(IND_min_ele_kWh/1000),0,IND_min_ele_kWh/1000)</f>
        <v>474.25893768784397</v>
      </c>
      <c r="C34" s="39">
        <f>IF(ISERROR(B34*3.6/1000000/'E Balans VL '!Z22*100),0,B34*3.6/1000000/'E Balans VL '!Z22*100)</f>
        <v>8.5304386181599731E-2</v>
      </c>
      <c r="D34" s="237" t="s">
        <v>754</v>
      </c>
    </row>
    <row r="35" spans="1:5">
      <c r="A35" s="171" t="s">
        <v>39</v>
      </c>
      <c r="B35" s="37">
        <f>IF( ISERROR(IND_papier_ele_kWh/1000),0,IND_papier_ele_kWh/1000)</f>
        <v>55.571076503200999</v>
      </c>
      <c r="C35" s="39">
        <f>IF(ISERROR(B35*3.6/1000000/'E Balans VL '!Z22*100),0,B35*3.6/1000000/'E Balans VL '!Z22*100)</f>
        <v>9.9955028653069614E-3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23974.904227025501</v>
      </c>
      <c r="C37" s="39">
        <f>IF(ISERROR(B37*3.6/1000000/'E Balans VL '!Z15*100),0,B37*3.6/1000000/'E Balans VL '!Z15*100)</f>
        <v>0.19003055998183235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1901.7916841299411</v>
      </c>
      <c r="C5" s="17">
        <f>'Eigen informatie GS &amp; warmtenet'!B60</f>
        <v>0</v>
      </c>
      <c r="D5" s="30">
        <f>IF(ISERROR(SUM(LB_lb_gas_kWh,LB_rest_gas_kWh,onbekend_gas_kWh)/1000),0,SUM(LB_lb_gas_kWh,LB_rest_gas_kWh,onbekend_gas_kWh)/1000)*0.902</f>
        <v>934.84435941407583</v>
      </c>
      <c r="E5" s="17">
        <f>B17*'E Balans VL '!I25/3.6*1000000/100</f>
        <v>55.899466338836035</v>
      </c>
      <c r="F5" s="17">
        <f>B17*('E Balans VL '!L25/3.6*1000000+'E Balans VL '!N25/3.6*1000000)/100</f>
        <v>7922.7613886567469</v>
      </c>
      <c r="G5" s="18"/>
      <c r="H5" s="17"/>
      <c r="I5" s="17"/>
      <c r="J5" s="17">
        <f>('E Balans VL '!D25+'E Balans VL '!E25)/3.6*1000000*landbouw!B17/100</f>
        <v>275.52877358650437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1901.7916841299411</v>
      </c>
      <c r="C8" s="21">
        <f>C5+C6</f>
        <v>0</v>
      </c>
      <c r="D8" s="21">
        <f>MAX((D5+D6),0)</f>
        <v>934.84435941407583</v>
      </c>
      <c r="E8" s="21">
        <f>MAX((E5+E6),0)</f>
        <v>55.899466338836035</v>
      </c>
      <c r="F8" s="21">
        <f>MAX((F5+F6),0)</f>
        <v>7922.7613886567469</v>
      </c>
      <c r="G8" s="21"/>
      <c r="H8" s="21"/>
      <c r="I8" s="21"/>
      <c r="J8" s="21">
        <f>MAX((J5+J6),0)</f>
        <v>275.52877358650437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0.19142452243496744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364.04956490536642</v>
      </c>
      <c r="C12" s="23">
        <f ca="1">C8*C10</f>
        <v>0</v>
      </c>
      <c r="D12" s="23">
        <f>D8*D10</f>
        <v>188.83856060164334</v>
      </c>
      <c r="E12" s="23">
        <f>E8*E10</f>
        <v>12.689178858915781</v>
      </c>
      <c r="F12" s="23">
        <f>F8*F10</f>
        <v>2115.3772907713515</v>
      </c>
      <c r="G12" s="23"/>
      <c r="H12" s="23"/>
      <c r="I12" s="23"/>
      <c r="J12" s="23">
        <f>J8*J10</f>
        <v>97.537185849622546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0.26987020666748213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386.66011857903806</v>
      </c>
      <c r="C26" s="247">
        <f>B26*'GWP N2O_CH4'!B5</f>
        <v>8119.8624901597996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123.87674611385845</v>
      </c>
      <c r="C27" s="247">
        <f>B27*'GWP N2O_CH4'!B5</f>
        <v>2601.4116683910274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5.0788381333503976</v>
      </c>
      <c r="C28" s="247">
        <f>B28*'GWP N2O_CH4'!B4</f>
        <v>1574.4398213386232</v>
      </c>
      <c r="D28" s="50"/>
    </row>
    <row r="29" spans="1:4">
      <c r="A29" s="41" t="s">
        <v>277</v>
      </c>
      <c r="B29" s="247">
        <f>B34*'ha_N2O bodem landbouw'!B4</f>
        <v>17.495931019355268</v>
      </c>
      <c r="C29" s="247">
        <f>B29*'GWP N2O_CH4'!B4</f>
        <v>5423.7386160001333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3.9925111649562906E-3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1.0211216059500163E-4</v>
      </c>
      <c r="C5" s="463" t="s">
        <v>211</v>
      </c>
      <c r="D5" s="448">
        <f>SUM(D6:D11)</f>
        <v>3.549158174445995E-4</v>
      </c>
      <c r="E5" s="448">
        <f>SUM(E6:E11)</f>
        <v>4.7364617904340286E-4</v>
      </c>
      <c r="F5" s="461" t="s">
        <v>211</v>
      </c>
      <c r="G5" s="448">
        <f>SUM(G6:G11)</f>
        <v>0.1955856330845297</v>
      </c>
      <c r="H5" s="448">
        <f>SUM(H6:H11)</f>
        <v>4.0026651200327494E-2</v>
      </c>
      <c r="I5" s="463" t="s">
        <v>211</v>
      </c>
      <c r="J5" s="463" t="s">
        <v>211</v>
      </c>
      <c r="K5" s="463" t="s">
        <v>211</v>
      </c>
      <c r="L5" s="463" t="s">
        <v>211</v>
      </c>
      <c r="M5" s="448">
        <f>SUM(M6:M11)</f>
        <v>1.2615205146489977E-2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8.126959450890952E-5</v>
      </c>
      <c r="C6" s="449"/>
      <c r="D6" s="962">
        <f>vkm_2011_GW_PW*SUMIFS(TableVerdeelsleutelVkm[CNG],TableVerdeelsleutelVkm[Voertuigtype],"Lichte voertuigen")*SUMIFS(TableECFTransport[EnergieConsumptieFactor (PJ per km)],TableECFTransport[Index],CONCATENATE($A6,"_CNG_CNG"))</f>
        <v>2.4376213902231061E-4</v>
      </c>
      <c r="E6" s="962">
        <f>vkm_2011_GW_PW*SUMIFS(TableVerdeelsleutelVkm[LPG],TableVerdeelsleutelVkm[Voertuigtype],"Lichte voertuigen")*SUMIFS(TableECFTransport[EnergieConsumptieFactor (PJ per km)],TableECFTransport[Index],CONCATENATE($A6,"_LPG_LPG"))</f>
        <v>3.3301409661014314E-4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8.610217977992593E-2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2.7720289154367937E-2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5.8532133879456803E-3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6.3259916332856186E-2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1.9276964797629741E-5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3.6966994559014363E-3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2.084256608609211E-5</v>
      </c>
      <c r="C8" s="449"/>
      <c r="D8" s="451">
        <f>vkm_2011_NGW_PW*SUMIFS(TableVerdeelsleutelVkm[CNG],TableVerdeelsleutelVkm[Voertuigtype],"Lichte voertuigen")*SUMIFS(TableECFTransport[EnergieConsumptieFactor (PJ per km)],TableECFTransport[Index],CONCATENATE($A8,"_CNG_CNG"))</f>
        <v>1.1115367842228888E-4</v>
      </c>
      <c r="E8" s="451">
        <f>vkm_2011_NGW_PW*SUMIFS(TableVerdeelsleutelVkm[LPG],TableVerdeelsleutelVkm[Voertuigtype],"Lichte voertuigen")*SUMIFS(TableECFTransport[EnergieConsumptieFactor (PJ per km)],TableECFTransport[Index],CONCATENATE($A8,"_LPG_LPG"))</f>
        <v>1.4063208243325973E-4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3.3884613865339891E-2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1.2283545370608143E-2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2.3442531435965996E-3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1.2338923106407681E-2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3.5397105537892867E-6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7.2103915904626241E-4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28.364489054167116</v>
      </c>
      <c r="C14" s="21"/>
      <c r="D14" s="21">
        <f t="shared" ref="D14:M14" si="0">((D5)*10^9/3600)+D12</f>
        <v>98.587727067944314</v>
      </c>
      <c r="E14" s="21">
        <f t="shared" si="0"/>
        <v>131.5683830676119</v>
      </c>
      <c r="F14" s="21"/>
      <c r="G14" s="21">
        <f t="shared" si="0"/>
        <v>54329.342523480474</v>
      </c>
      <c r="H14" s="21">
        <f t="shared" si="0"/>
        <v>11118.514222313193</v>
      </c>
      <c r="I14" s="21"/>
      <c r="J14" s="21"/>
      <c r="K14" s="21"/>
      <c r="L14" s="21"/>
      <c r="M14" s="21">
        <f t="shared" si="0"/>
        <v>3504.2236518027717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0.19142452243496744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5.4296587713058013</v>
      </c>
      <c r="C18" s="23"/>
      <c r="D18" s="23">
        <f t="shared" ref="D18:M18" si="1">D14*D16</f>
        <v>19.914720867724753</v>
      </c>
      <c r="E18" s="23">
        <f t="shared" si="1"/>
        <v>29.866022956347905</v>
      </c>
      <c r="F18" s="23"/>
      <c r="G18" s="23">
        <f t="shared" si="1"/>
        <v>14505.934453769287</v>
      </c>
      <c r="H18" s="23">
        <f t="shared" si="1"/>
        <v>2768.5100413559853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2.9437354403734628E-3</v>
      </c>
      <c r="H50" s="321">
        <f t="shared" si="2"/>
        <v>0</v>
      </c>
      <c r="I50" s="321">
        <f t="shared" si="2"/>
        <v>0</v>
      </c>
      <c r="J50" s="321">
        <f t="shared" si="2"/>
        <v>0</v>
      </c>
      <c r="K50" s="321">
        <f t="shared" si="2"/>
        <v>0</v>
      </c>
      <c r="L50" s="321">
        <f t="shared" si="2"/>
        <v>0</v>
      </c>
      <c r="M50" s="321">
        <f t="shared" si="2"/>
        <v>1.6719117766825524E-4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2.9437354403734628E-3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1.6719117766825524E-4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817.70428899262856</v>
      </c>
      <c r="H54" s="21">
        <f t="shared" si="3"/>
        <v>0</v>
      </c>
      <c r="I54" s="21">
        <f t="shared" si="3"/>
        <v>0</v>
      </c>
      <c r="J54" s="21">
        <f t="shared" si="3"/>
        <v>0</v>
      </c>
      <c r="K54" s="21">
        <f t="shared" si="3"/>
        <v>0</v>
      </c>
      <c r="L54" s="21">
        <f t="shared" si="3"/>
        <v>0</v>
      </c>
      <c r="M54" s="21">
        <f t="shared" si="3"/>
        <v>46.441993796737563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0.19142452243496744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218.32704516103183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10444.842977711607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10444.842977711607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14053.270789940434</v>
      </c>
      <c r="D10" s="718">
        <f ca="1">tertiair!C16</f>
        <v>0</v>
      </c>
      <c r="E10" s="718">
        <f ca="1">tertiair!D16</f>
        <v>9571.2475323314557</v>
      </c>
      <c r="F10" s="718">
        <f>tertiair!E16</f>
        <v>240.79294301538096</v>
      </c>
      <c r="G10" s="718">
        <f ca="1">tertiair!F16</f>
        <v>2220.7528169925777</v>
      </c>
      <c r="H10" s="718">
        <f>tertiair!G16</f>
        <v>0</v>
      </c>
      <c r="I10" s="718">
        <f>tertiair!H16</f>
        <v>0</v>
      </c>
      <c r="J10" s="718">
        <f>tertiair!I16</f>
        <v>0</v>
      </c>
      <c r="K10" s="718">
        <f>tertiair!J16</f>
        <v>1.5005958432849437E-2</v>
      </c>
      <c r="L10" s="718">
        <f>tertiair!K16</f>
        <v>0</v>
      </c>
      <c r="M10" s="718">
        <f ca="1">tertiair!L16</f>
        <v>0</v>
      </c>
      <c r="N10" s="718">
        <f>tertiair!M16</f>
        <v>0</v>
      </c>
      <c r="O10" s="718">
        <f ca="1">tertiair!N16</f>
        <v>606.08618280296366</v>
      </c>
      <c r="P10" s="718">
        <f>tertiair!O16</f>
        <v>1.5633333333333335</v>
      </c>
      <c r="Q10" s="719">
        <f>tertiair!P16</f>
        <v>38.133333333333333</v>
      </c>
      <c r="R10" s="721">
        <f ca="1">SUM(C10:Q10)</f>
        <v>26731.861937707916</v>
      </c>
      <c r="S10" s="67"/>
    </row>
    <row r="11" spans="1:19" s="474" customFormat="1">
      <c r="A11" s="870" t="s">
        <v>225</v>
      </c>
      <c r="B11" s="875"/>
      <c r="C11" s="718">
        <f>huishoudens!B8</f>
        <v>28358.90572324166</v>
      </c>
      <c r="D11" s="718">
        <f>huishoudens!C8</f>
        <v>0</v>
      </c>
      <c r="E11" s="718">
        <f>huishoudens!D8</f>
        <v>31803.857578493484</v>
      </c>
      <c r="F11" s="718">
        <f>huishoudens!E8</f>
        <v>2804.3008752498822</v>
      </c>
      <c r="G11" s="718">
        <f>huishoudens!F8</f>
        <v>48320.487016348074</v>
      </c>
      <c r="H11" s="718">
        <f>huishoudens!G8</f>
        <v>0</v>
      </c>
      <c r="I11" s="718">
        <f>huishoudens!H8</f>
        <v>0</v>
      </c>
      <c r="J11" s="718">
        <f>huishoudens!I8</f>
        <v>0</v>
      </c>
      <c r="K11" s="718">
        <f>huishoudens!J8</f>
        <v>0</v>
      </c>
      <c r="L11" s="718">
        <f>huishoudens!K8</f>
        <v>0</v>
      </c>
      <c r="M11" s="718">
        <f>huishoudens!L8</f>
        <v>0</v>
      </c>
      <c r="N11" s="718">
        <f>huishoudens!M8</f>
        <v>0</v>
      </c>
      <c r="O11" s="718">
        <f>huishoudens!N8</f>
        <v>13176.944975190441</v>
      </c>
      <c r="P11" s="718">
        <f>huishoudens!O8</f>
        <v>307.97666666666669</v>
      </c>
      <c r="Q11" s="719">
        <f>huishoudens!P8</f>
        <v>858</v>
      </c>
      <c r="R11" s="721">
        <f>SUM(C11:Q11)</f>
        <v>125630.47283519022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33705.783121691253</v>
      </c>
      <c r="D13" s="718">
        <f>industrie!C18</f>
        <v>0</v>
      </c>
      <c r="E13" s="718">
        <f>industrie!D18</f>
        <v>9798.4524971406463</v>
      </c>
      <c r="F13" s="718">
        <f>industrie!E18</f>
        <v>2220.7799705393841</v>
      </c>
      <c r="G13" s="718">
        <f>industrie!F18</f>
        <v>7827.5967778549084</v>
      </c>
      <c r="H13" s="718">
        <f>industrie!G18</f>
        <v>0</v>
      </c>
      <c r="I13" s="718">
        <f>industrie!H18</f>
        <v>0</v>
      </c>
      <c r="J13" s="718">
        <f>industrie!I18</f>
        <v>0</v>
      </c>
      <c r="K13" s="718">
        <f>industrie!J18</f>
        <v>86.617646174031307</v>
      </c>
      <c r="L13" s="718">
        <f>industrie!K18</f>
        <v>0</v>
      </c>
      <c r="M13" s="718">
        <f>industrie!L18</f>
        <v>0</v>
      </c>
      <c r="N13" s="718">
        <f>industrie!M18</f>
        <v>0</v>
      </c>
      <c r="O13" s="718">
        <f>industrie!N18</f>
        <v>6988.4188570169499</v>
      </c>
      <c r="P13" s="718">
        <f>industrie!O18</f>
        <v>0</v>
      </c>
      <c r="Q13" s="719">
        <f>industrie!P18</f>
        <v>0</v>
      </c>
      <c r="R13" s="721">
        <f>SUM(C13:Q13)</f>
        <v>60627.648870417172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76117.959634873347</v>
      </c>
      <c r="D15" s="723">
        <f t="shared" ref="D15:Q15" ca="1" si="0">SUM(D9:D14)</f>
        <v>0</v>
      </c>
      <c r="E15" s="723">
        <f t="shared" ca="1" si="0"/>
        <v>51173.557607965588</v>
      </c>
      <c r="F15" s="723">
        <f t="shared" si="0"/>
        <v>5265.8737888046471</v>
      </c>
      <c r="G15" s="723">
        <f t="shared" ca="1" si="0"/>
        <v>58368.836611195562</v>
      </c>
      <c r="H15" s="723">
        <f t="shared" si="0"/>
        <v>0</v>
      </c>
      <c r="I15" s="723">
        <f t="shared" si="0"/>
        <v>0</v>
      </c>
      <c r="J15" s="723">
        <f t="shared" si="0"/>
        <v>0</v>
      </c>
      <c r="K15" s="723">
        <f t="shared" si="0"/>
        <v>86.632652132464159</v>
      </c>
      <c r="L15" s="723">
        <f t="shared" si="0"/>
        <v>0</v>
      </c>
      <c r="M15" s="723">
        <f t="shared" ca="1" si="0"/>
        <v>0</v>
      </c>
      <c r="N15" s="723">
        <f t="shared" si="0"/>
        <v>0</v>
      </c>
      <c r="O15" s="723">
        <f t="shared" ca="1" si="0"/>
        <v>20771.450015010356</v>
      </c>
      <c r="P15" s="723">
        <f t="shared" si="0"/>
        <v>309.54000000000002</v>
      </c>
      <c r="Q15" s="724">
        <f t="shared" si="0"/>
        <v>896.13333333333333</v>
      </c>
      <c r="R15" s="725">
        <f ca="1">SUM(R9:R14)</f>
        <v>212989.9836433153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817.70428899262856</v>
      </c>
      <c r="I18" s="718">
        <f>transport!H54</f>
        <v>0</v>
      </c>
      <c r="J18" s="718">
        <f>transport!I54</f>
        <v>0</v>
      </c>
      <c r="K18" s="718">
        <f>transport!J54</f>
        <v>0</v>
      </c>
      <c r="L18" s="718">
        <f>transport!K54</f>
        <v>0</v>
      </c>
      <c r="M18" s="718">
        <f>transport!L54</f>
        <v>0</v>
      </c>
      <c r="N18" s="718">
        <f>transport!M54</f>
        <v>46.441993796737563</v>
      </c>
      <c r="O18" s="718">
        <f>transport!N54</f>
        <v>0</v>
      </c>
      <c r="P18" s="718">
        <f>transport!O54</f>
        <v>0</v>
      </c>
      <c r="Q18" s="719">
        <f>transport!P54</f>
        <v>0</v>
      </c>
      <c r="R18" s="721">
        <f>SUM(C18:Q18)</f>
        <v>864.14628278936607</v>
      </c>
      <c r="S18" s="67"/>
    </row>
    <row r="19" spans="1:19" s="474" customFormat="1" ht="15" thickBot="1">
      <c r="A19" s="870" t="s">
        <v>307</v>
      </c>
      <c r="B19" s="875"/>
      <c r="C19" s="727">
        <f>transport!B14</f>
        <v>28.364489054167116</v>
      </c>
      <c r="D19" s="727">
        <f>transport!C14</f>
        <v>0</v>
      </c>
      <c r="E19" s="727">
        <f>transport!D14</f>
        <v>98.587727067944314</v>
      </c>
      <c r="F19" s="727">
        <f>transport!E14</f>
        <v>131.5683830676119</v>
      </c>
      <c r="G19" s="727">
        <f>transport!F14</f>
        <v>0</v>
      </c>
      <c r="H19" s="727">
        <f>transport!G14</f>
        <v>54329.342523480474</v>
      </c>
      <c r="I19" s="727">
        <f>transport!H14</f>
        <v>11118.514222313193</v>
      </c>
      <c r="J19" s="727">
        <f>transport!I14</f>
        <v>0</v>
      </c>
      <c r="K19" s="727">
        <f>transport!J14</f>
        <v>0</v>
      </c>
      <c r="L19" s="727">
        <f>transport!K14</f>
        <v>0</v>
      </c>
      <c r="M19" s="727">
        <f>transport!L14</f>
        <v>0</v>
      </c>
      <c r="N19" s="727">
        <f>transport!M14</f>
        <v>3504.2236518027717</v>
      </c>
      <c r="O19" s="727">
        <f>transport!N14</f>
        <v>0</v>
      </c>
      <c r="P19" s="727">
        <f>transport!O14</f>
        <v>0</v>
      </c>
      <c r="Q19" s="728">
        <f>transport!P14</f>
        <v>0</v>
      </c>
      <c r="R19" s="729">
        <f>SUM(C19:Q19)</f>
        <v>69210.600996786176</v>
      </c>
      <c r="S19" s="67"/>
    </row>
    <row r="20" spans="1:19" s="474" customFormat="1" ht="15.75" thickBot="1">
      <c r="A20" s="730" t="s">
        <v>230</v>
      </c>
      <c r="B20" s="878"/>
      <c r="C20" s="873">
        <f>SUM(C17:C19)</f>
        <v>28.364489054167116</v>
      </c>
      <c r="D20" s="731">
        <f t="shared" ref="D20:R20" si="1">SUM(D17:D19)</f>
        <v>0</v>
      </c>
      <c r="E20" s="731">
        <f t="shared" si="1"/>
        <v>98.587727067944314</v>
      </c>
      <c r="F20" s="731">
        <f t="shared" si="1"/>
        <v>131.5683830676119</v>
      </c>
      <c r="G20" s="731">
        <f t="shared" si="1"/>
        <v>0</v>
      </c>
      <c r="H20" s="731">
        <f t="shared" si="1"/>
        <v>55147.046812473105</v>
      </c>
      <c r="I20" s="731">
        <f t="shared" si="1"/>
        <v>11118.514222313193</v>
      </c>
      <c r="J20" s="731">
        <f t="shared" si="1"/>
        <v>0</v>
      </c>
      <c r="K20" s="731">
        <f t="shared" si="1"/>
        <v>0</v>
      </c>
      <c r="L20" s="731">
        <f t="shared" si="1"/>
        <v>0</v>
      </c>
      <c r="M20" s="731">
        <f t="shared" si="1"/>
        <v>0</v>
      </c>
      <c r="N20" s="731">
        <f t="shared" si="1"/>
        <v>3550.6656455995094</v>
      </c>
      <c r="O20" s="731">
        <f t="shared" si="1"/>
        <v>0</v>
      </c>
      <c r="P20" s="731">
        <f t="shared" si="1"/>
        <v>0</v>
      </c>
      <c r="Q20" s="732">
        <f t="shared" si="1"/>
        <v>0</v>
      </c>
      <c r="R20" s="733">
        <f t="shared" si="1"/>
        <v>70074.747279575546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1901.7916841299411</v>
      </c>
      <c r="D22" s="727">
        <f>+landbouw!C8</f>
        <v>0</v>
      </c>
      <c r="E22" s="727">
        <f>+landbouw!D8</f>
        <v>934.84435941407583</v>
      </c>
      <c r="F22" s="727">
        <f>+landbouw!E8</f>
        <v>55.899466338836035</v>
      </c>
      <c r="G22" s="727">
        <f>+landbouw!F8</f>
        <v>7922.7613886567469</v>
      </c>
      <c r="H22" s="727">
        <f>+landbouw!G8</f>
        <v>0</v>
      </c>
      <c r="I22" s="727">
        <f>+landbouw!H8</f>
        <v>0</v>
      </c>
      <c r="J22" s="727">
        <f>+landbouw!I8</f>
        <v>0</v>
      </c>
      <c r="K22" s="727">
        <f>+landbouw!J8</f>
        <v>275.52877358650437</v>
      </c>
      <c r="L22" s="727">
        <f>+landbouw!K8</f>
        <v>0</v>
      </c>
      <c r="M22" s="727">
        <f>+landbouw!L8</f>
        <v>0</v>
      </c>
      <c r="N22" s="727">
        <f>+landbouw!M8</f>
        <v>0</v>
      </c>
      <c r="O22" s="727">
        <f>+landbouw!N8</f>
        <v>0</v>
      </c>
      <c r="P22" s="727">
        <f>+landbouw!O8</f>
        <v>0</v>
      </c>
      <c r="Q22" s="728">
        <f>+landbouw!P8</f>
        <v>0</v>
      </c>
      <c r="R22" s="729">
        <f>SUM(C22:Q22)</f>
        <v>11090.825672126104</v>
      </c>
      <c r="S22" s="67"/>
    </row>
    <row r="23" spans="1:19" s="474" customFormat="1" ht="17.25" thickTop="1" thickBot="1">
      <c r="A23" s="734" t="s">
        <v>116</v>
      </c>
      <c r="B23" s="864"/>
      <c r="C23" s="735">
        <f ca="1">C20+C15+C22</f>
        <v>78048.115808057453</v>
      </c>
      <c r="D23" s="735">
        <f t="shared" ref="D23:Q23" ca="1" si="2">D20+D15+D22</f>
        <v>0</v>
      </c>
      <c r="E23" s="735">
        <f t="shared" ca="1" si="2"/>
        <v>52206.989694447606</v>
      </c>
      <c r="F23" s="735">
        <f t="shared" si="2"/>
        <v>5453.3416382110945</v>
      </c>
      <c r="G23" s="735">
        <f t="shared" ca="1" si="2"/>
        <v>66291.597999852311</v>
      </c>
      <c r="H23" s="735">
        <f t="shared" si="2"/>
        <v>55147.046812473105</v>
      </c>
      <c r="I23" s="735">
        <f t="shared" si="2"/>
        <v>11118.514222313193</v>
      </c>
      <c r="J23" s="735">
        <f t="shared" si="2"/>
        <v>0</v>
      </c>
      <c r="K23" s="735">
        <f t="shared" si="2"/>
        <v>362.16142571896853</v>
      </c>
      <c r="L23" s="735">
        <f t="shared" si="2"/>
        <v>0</v>
      </c>
      <c r="M23" s="735">
        <f t="shared" ca="1" si="2"/>
        <v>0</v>
      </c>
      <c r="N23" s="735">
        <f t="shared" si="2"/>
        <v>3550.6656455995094</v>
      </c>
      <c r="O23" s="735">
        <f t="shared" ca="1" si="2"/>
        <v>20771.450015010356</v>
      </c>
      <c r="P23" s="735">
        <f t="shared" si="2"/>
        <v>309.54000000000002</v>
      </c>
      <c r="Q23" s="736">
        <f t="shared" si="2"/>
        <v>896.13333333333333</v>
      </c>
      <c r="R23" s="737">
        <f ca="1">R20+R15+R22</f>
        <v>294155.55659501691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2690.1406496136251</v>
      </c>
      <c r="D36" s="718">
        <f ca="1">tertiair!C20</f>
        <v>0</v>
      </c>
      <c r="E36" s="718">
        <f ca="1">tertiair!D20</f>
        <v>1933.3920015309541</v>
      </c>
      <c r="F36" s="718">
        <f>tertiair!E20</f>
        <v>54.659998064491482</v>
      </c>
      <c r="G36" s="718">
        <f ca="1">tertiair!F20</f>
        <v>592.94100213701824</v>
      </c>
      <c r="H36" s="718">
        <f>tertiair!G20</f>
        <v>0</v>
      </c>
      <c r="I36" s="718">
        <f>tertiair!H20</f>
        <v>0</v>
      </c>
      <c r="J36" s="718">
        <f>tertiair!I20</f>
        <v>0</v>
      </c>
      <c r="K36" s="718">
        <f>tertiair!J20</f>
        <v>5.3121092852287007E-3</v>
      </c>
      <c r="L36" s="718">
        <f>tertiair!K20</f>
        <v>0</v>
      </c>
      <c r="M36" s="718">
        <f ca="1">tertiair!L20</f>
        <v>0</v>
      </c>
      <c r="N36" s="718">
        <f>tertiair!M20</f>
        <v>0</v>
      </c>
      <c r="O36" s="718">
        <f ca="1">tertiair!N20</f>
        <v>0</v>
      </c>
      <c r="P36" s="718">
        <f>tertiair!O20</f>
        <v>0</v>
      </c>
      <c r="Q36" s="828">
        <f>tertiair!P20</f>
        <v>0</v>
      </c>
      <c r="R36" s="917">
        <f ca="1">SUM(C36:Q36)</f>
        <v>5271.1389634553743</v>
      </c>
    </row>
    <row r="37" spans="1:18">
      <c r="A37" s="885" t="s">
        <v>225</v>
      </c>
      <c r="B37" s="892"/>
      <c r="C37" s="718">
        <f ca="1">huishoudens!B12</f>
        <v>5428.5899848497993</v>
      </c>
      <c r="D37" s="718">
        <f ca="1">huishoudens!C12</f>
        <v>0</v>
      </c>
      <c r="E37" s="718">
        <f>huishoudens!D12</f>
        <v>6424.379230855684</v>
      </c>
      <c r="F37" s="718">
        <f>huishoudens!E12</f>
        <v>636.5762986817233</v>
      </c>
      <c r="G37" s="718">
        <f>huishoudens!F12</f>
        <v>12901.570033364937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25391.115547752142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6452.1134373663335</v>
      </c>
      <c r="D39" s="718">
        <f ca="1">industrie!C22</f>
        <v>0</v>
      </c>
      <c r="E39" s="718">
        <f>industrie!D22</f>
        <v>1979.2874044224106</v>
      </c>
      <c r="F39" s="718">
        <f>industrie!E22</f>
        <v>504.11705331244019</v>
      </c>
      <c r="G39" s="718">
        <f>industrie!F22</f>
        <v>2089.9683396872606</v>
      </c>
      <c r="H39" s="718">
        <f>industrie!G22</f>
        <v>0</v>
      </c>
      <c r="I39" s="718">
        <f>industrie!H22</f>
        <v>0</v>
      </c>
      <c r="J39" s="718">
        <f>industrie!I22</f>
        <v>0</v>
      </c>
      <c r="K39" s="718">
        <f>industrie!J22</f>
        <v>30.662646745607081</v>
      </c>
      <c r="L39" s="718">
        <f>industrie!K22</f>
        <v>0</v>
      </c>
      <c r="M39" s="718">
        <f>industrie!L22</f>
        <v>0</v>
      </c>
      <c r="N39" s="718">
        <f>industrie!M22</f>
        <v>0</v>
      </c>
      <c r="O39" s="718">
        <f>industrie!N22</f>
        <v>0</v>
      </c>
      <c r="P39" s="718">
        <f>industrie!O22</f>
        <v>0</v>
      </c>
      <c r="Q39" s="828">
        <f>industrie!P22</f>
        <v>0</v>
      </c>
      <c r="R39" s="918">
        <f ca="1">SUM(C39:Q39)</f>
        <v>11056.148881534051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14570.844071829757</v>
      </c>
      <c r="D41" s="763">
        <f t="shared" ref="D41:R41" ca="1" si="4">SUM(D35:D40)</f>
        <v>0</v>
      </c>
      <c r="E41" s="763">
        <f t="shared" ca="1" si="4"/>
        <v>10337.058636809048</v>
      </c>
      <c r="F41" s="763">
        <f t="shared" si="4"/>
        <v>1195.353350058655</v>
      </c>
      <c r="G41" s="763">
        <f t="shared" ca="1" si="4"/>
        <v>15584.479375189216</v>
      </c>
      <c r="H41" s="763">
        <f t="shared" si="4"/>
        <v>0</v>
      </c>
      <c r="I41" s="763">
        <f t="shared" si="4"/>
        <v>0</v>
      </c>
      <c r="J41" s="763">
        <f t="shared" si="4"/>
        <v>0</v>
      </c>
      <c r="K41" s="763">
        <f t="shared" si="4"/>
        <v>30.667958854892309</v>
      </c>
      <c r="L41" s="763">
        <f t="shared" si="4"/>
        <v>0</v>
      </c>
      <c r="M41" s="763">
        <f t="shared" ca="1" si="4"/>
        <v>0</v>
      </c>
      <c r="N41" s="763">
        <f t="shared" si="4"/>
        <v>0</v>
      </c>
      <c r="O41" s="763">
        <f t="shared" ca="1" si="4"/>
        <v>0</v>
      </c>
      <c r="P41" s="763">
        <f t="shared" si="4"/>
        <v>0</v>
      </c>
      <c r="Q41" s="764">
        <f t="shared" si="4"/>
        <v>0</v>
      </c>
      <c r="R41" s="765">
        <f t="shared" ca="1" si="4"/>
        <v>41718.403392741566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218.32704516103183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218.32704516103183</v>
      </c>
    </row>
    <row r="45" spans="1:18" ht="15" thickBot="1">
      <c r="A45" s="888" t="s">
        <v>307</v>
      </c>
      <c r="B45" s="898"/>
      <c r="C45" s="727">
        <f ca="1">transport!B18</f>
        <v>5.4296587713058013</v>
      </c>
      <c r="D45" s="727">
        <f>transport!C18</f>
        <v>0</v>
      </c>
      <c r="E45" s="727">
        <f>transport!D18</f>
        <v>19.914720867724753</v>
      </c>
      <c r="F45" s="727">
        <f>transport!E18</f>
        <v>29.866022956347905</v>
      </c>
      <c r="G45" s="727">
        <f>transport!F18</f>
        <v>0</v>
      </c>
      <c r="H45" s="727">
        <f>transport!G18</f>
        <v>14505.934453769287</v>
      </c>
      <c r="I45" s="727">
        <f>transport!H18</f>
        <v>2768.5100413559853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17329.654897720651</v>
      </c>
    </row>
    <row r="46" spans="1:18" ht="15.75" thickBot="1">
      <c r="A46" s="886" t="s">
        <v>230</v>
      </c>
      <c r="B46" s="899"/>
      <c r="C46" s="763">
        <f t="shared" ref="C46:R46" ca="1" si="5">SUM(C43:C45)</f>
        <v>5.4296587713058013</v>
      </c>
      <c r="D46" s="763">
        <f t="shared" ca="1" si="5"/>
        <v>0</v>
      </c>
      <c r="E46" s="763">
        <f t="shared" si="5"/>
        <v>19.914720867724753</v>
      </c>
      <c r="F46" s="763">
        <f t="shared" si="5"/>
        <v>29.866022956347905</v>
      </c>
      <c r="G46" s="763">
        <f t="shared" si="5"/>
        <v>0</v>
      </c>
      <c r="H46" s="763">
        <f t="shared" si="5"/>
        <v>14724.261498930318</v>
      </c>
      <c r="I46" s="763">
        <f t="shared" si="5"/>
        <v>2768.5100413559853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17547.981942881685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364.04956490536642</v>
      </c>
      <c r="D48" s="718">
        <f ca="1">+landbouw!C12</f>
        <v>0</v>
      </c>
      <c r="E48" s="718">
        <f>+landbouw!D12</f>
        <v>188.83856060164334</v>
      </c>
      <c r="F48" s="718">
        <f>+landbouw!E12</f>
        <v>12.689178858915781</v>
      </c>
      <c r="G48" s="718">
        <f>+landbouw!F12</f>
        <v>2115.3772907713515</v>
      </c>
      <c r="H48" s="718">
        <f>+landbouw!G12</f>
        <v>0</v>
      </c>
      <c r="I48" s="718">
        <f>+landbouw!H12</f>
        <v>0</v>
      </c>
      <c r="J48" s="718">
        <f>+landbouw!I12</f>
        <v>0</v>
      </c>
      <c r="K48" s="718">
        <f>+landbouw!J12</f>
        <v>97.537185849622546</v>
      </c>
      <c r="L48" s="718">
        <f>+landbouw!K12</f>
        <v>0</v>
      </c>
      <c r="M48" s="718">
        <f>+landbouw!L12</f>
        <v>0</v>
      </c>
      <c r="N48" s="718">
        <f>+landbouw!M12</f>
        <v>0</v>
      </c>
      <c r="O48" s="718">
        <f>+landbouw!N12</f>
        <v>0</v>
      </c>
      <c r="P48" s="718">
        <f>+landbouw!O12</f>
        <v>0</v>
      </c>
      <c r="Q48" s="719">
        <f>+landbouw!P12</f>
        <v>0</v>
      </c>
      <c r="R48" s="761">
        <f ca="1">SUM(C48:Q48)</f>
        <v>2778.4917809868994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14940.323295506429</v>
      </c>
      <c r="D53" s="773">
        <f t="shared" ref="D53:Q53" ca="1" si="6">D41+D46+D48</f>
        <v>0</v>
      </c>
      <c r="E53" s="773">
        <f t="shared" ca="1" si="6"/>
        <v>10545.811918278416</v>
      </c>
      <c r="F53" s="773">
        <f t="shared" si="6"/>
        <v>1237.9085518739187</v>
      </c>
      <c r="G53" s="773">
        <f t="shared" ca="1" si="6"/>
        <v>17699.856665960568</v>
      </c>
      <c r="H53" s="773">
        <f t="shared" si="6"/>
        <v>14724.261498930318</v>
      </c>
      <c r="I53" s="773">
        <f t="shared" si="6"/>
        <v>2768.5100413559853</v>
      </c>
      <c r="J53" s="773">
        <f t="shared" si="6"/>
        <v>0</v>
      </c>
      <c r="K53" s="773">
        <f t="shared" si="6"/>
        <v>128.20514470451485</v>
      </c>
      <c r="L53" s="773">
        <f t="shared" si="6"/>
        <v>0</v>
      </c>
      <c r="M53" s="773">
        <f t="shared" ca="1" si="6"/>
        <v>0</v>
      </c>
      <c r="N53" s="773">
        <f t="shared" si="6"/>
        <v>0</v>
      </c>
      <c r="O53" s="773">
        <f t="shared" ca="1" si="6"/>
        <v>0</v>
      </c>
      <c r="P53" s="773">
        <f>P41+P46+P48</f>
        <v>0</v>
      </c>
      <c r="Q53" s="774">
        <f t="shared" si="6"/>
        <v>0</v>
      </c>
      <c r="R53" s="775">
        <f ca="1">R41+R46+R48</f>
        <v>62044.877116610151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0.19142452243496741</v>
      </c>
      <c r="D55" s="836">
        <f t="shared" ca="1" si="7"/>
        <v>0</v>
      </c>
      <c r="E55" s="836">
        <f t="shared" ca="1" si="7"/>
        <v>0.20199999999999999</v>
      </c>
      <c r="F55" s="836">
        <f t="shared" si="7"/>
        <v>0.22700000000000004</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10444.842977711607</v>
      </c>
      <c r="C66" s="795">
        <f>'lokale energieproductie'!B6</f>
        <v>10444.842977711607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10444.842977711607</v>
      </c>
      <c r="C69" s="803">
        <f>SUM(C64:C68)</f>
        <v>10444.842977711607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28358.90572324166</v>
      </c>
      <c r="C4" s="478">
        <f>huishoudens!C8</f>
        <v>0</v>
      </c>
      <c r="D4" s="478">
        <f>huishoudens!D8</f>
        <v>31803.857578493484</v>
      </c>
      <c r="E4" s="478">
        <f>huishoudens!E8</f>
        <v>2804.3008752498822</v>
      </c>
      <c r="F4" s="478">
        <f>huishoudens!F8</f>
        <v>48320.487016348074</v>
      </c>
      <c r="G4" s="478">
        <f>huishoudens!G8</f>
        <v>0</v>
      </c>
      <c r="H4" s="478">
        <f>huishoudens!H8</f>
        <v>0</v>
      </c>
      <c r="I4" s="478">
        <f>huishoudens!I8</f>
        <v>0</v>
      </c>
      <c r="J4" s="478">
        <f>huishoudens!J8</f>
        <v>0</v>
      </c>
      <c r="K4" s="478">
        <f>huishoudens!K8</f>
        <v>0</v>
      </c>
      <c r="L4" s="478">
        <f>huishoudens!L8</f>
        <v>0</v>
      </c>
      <c r="M4" s="478">
        <f>huishoudens!M8</f>
        <v>0</v>
      </c>
      <c r="N4" s="478">
        <f>huishoudens!N8</f>
        <v>13176.944975190441</v>
      </c>
      <c r="O4" s="478">
        <f>huishoudens!O8</f>
        <v>307.97666666666669</v>
      </c>
      <c r="P4" s="479">
        <f>huishoudens!P8</f>
        <v>858</v>
      </c>
      <c r="Q4" s="480">
        <f>SUM(B4:P4)</f>
        <v>125630.47283519022</v>
      </c>
    </row>
    <row r="5" spans="1:17">
      <c r="A5" s="477" t="s">
        <v>156</v>
      </c>
      <c r="B5" s="478">
        <f ca="1">tertiair!B16</f>
        <v>12735.168789940433</v>
      </c>
      <c r="C5" s="478">
        <f ca="1">tertiair!C16</f>
        <v>0</v>
      </c>
      <c r="D5" s="478">
        <f ca="1">tertiair!D16</f>
        <v>9571.2475323314557</v>
      </c>
      <c r="E5" s="478">
        <f>tertiair!E16</f>
        <v>240.79294301538096</v>
      </c>
      <c r="F5" s="478">
        <f ca="1">tertiair!F16</f>
        <v>2220.7528169925777</v>
      </c>
      <c r="G5" s="478">
        <f>tertiair!G16</f>
        <v>0</v>
      </c>
      <c r="H5" s="478">
        <f>tertiair!H16</f>
        <v>0</v>
      </c>
      <c r="I5" s="478">
        <f>tertiair!I16</f>
        <v>0</v>
      </c>
      <c r="J5" s="478">
        <f>tertiair!J16</f>
        <v>1.5005958432849437E-2</v>
      </c>
      <c r="K5" s="478">
        <f>tertiair!K16</f>
        <v>0</v>
      </c>
      <c r="L5" s="478">
        <f ca="1">tertiair!L16</f>
        <v>0</v>
      </c>
      <c r="M5" s="478">
        <f>tertiair!M16</f>
        <v>0</v>
      </c>
      <c r="N5" s="478">
        <f ca="1">tertiair!N16</f>
        <v>606.08618280296366</v>
      </c>
      <c r="O5" s="478">
        <f>tertiair!O16</f>
        <v>1.5633333333333335</v>
      </c>
      <c r="P5" s="479">
        <f>tertiair!P16</f>
        <v>38.133333333333333</v>
      </c>
      <c r="Q5" s="477">
        <f t="shared" ref="Q5:Q13" ca="1" si="0">SUM(B5:P5)</f>
        <v>25413.759937707913</v>
      </c>
    </row>
    <row r="6" spans="1:17">
      <c r="A6" s="477" t="s">
        <v>194</v>
      </c>
      <c r="B6" s="478">
        <f>'openbare verlichting'!B8</f>
        <v>1318.1020000000001</v>
      </c>
      <c r="C6" s="478"/>
      <c r="D6" s="478"/>
      <c r="E6" s="478"/>
      <c r="F6" s="478"/>
      <c r="G6" s="478"/>
      <c r="H6" s="478"/>
      <c r="I6" s="478"/>
      <c r="J6" s="478"/>
      <c r="K6" s="478"/>
      <c r="L6" s="478"/>
      <c r="M6" s="478"/>
      <c r="N6" s="478"/>
      <c r="O6" s="478"/>
      <c r="P6" s="479"/>
      <c r="Q6" s="477">
        <f t="shared" si="0"/>
        <v>1318.1020000000001</v>
      </c>
    </row>
    <row r="7" spans="1:17">
      <c r="A7" s="477" t="s">
        <v>112</v>
      </c>
      <c r="B7" s="478">
        <f>landbouw!B8</f>
        <v>1901.7916841299411</v>
      </c>
      <c r="C7" s="478">
        <f>landbouw!C8</f>
        <v>0</v>
      </c>
      <c r="D7" s="478">
        <f>landbouw!D8</f>
        <v>934.84435941407583</v>
      </c>
      <c r="E7" s="478">
        <f>landbouw!E8</f>
        <v>55.899466338836035</v>
      </c>
      <c r="F7" s="478">
        <f>landbouw!F8</f>
        <v>7922.7613886567469</v>
      </c>
      <c r="G7" s="478">
        <f>landbouw!G8</f>
        <v>0</v>
      </c>
      <c r="H7" s="478">
        <f>landbouw!H8</f>
        <v>0</v>
      </c>
      <c r="I7" s="478">
        <f>landbouw!I8</f>
        <v>0</v>
      </c>
      <c r="J7" s="478">
        <f>landbouw!J8</f>
        <v>275.52877358650437</v>
      </c>
      <c r="K7" s="478">
        <f>landbouw!K8</f>
        <v>0</v>
      </c>
      <c r="L7" s="478">
        <f>landbouw!L8</f>
        <v>0</v>
      </c>
      <c r="M7" s="478">
        <f>landbouw!M8</f>
        <v>0</v>
      </c>
      <c r="N7" s="478">
        <f>landbouw!N8</f>
        <v>0</v>
      </c>
      <c r="O7" s="478">
        <f>landbouw!O8</f>
        <v>0</v>
      </c>
      <c r="P7" s="479">
        <f>landbouw!P8</f>
        <v>0</v>
      </c>
      <c r="Q7" s="477">
        <f t="shared" si="0"/>
        <v>11090.825672126104</v>
      </c>
    </row>
    <row r="8" spans="1:17">
      <c r="A8" s="477" t="s">
        <v>635</v>
      </c>
      <c r="B8" s="478">
        <f>industrie!B18</f>
        <v>33705.783121691253</v>
      </c>
      <c r="C8" s="478">
        <f>industrie!C18</f>
        <v>0</v>
      </c>
      <c r="D8" s="478">
        <f>industrie!D18</f>
        <v>9798.4524971406463</v>
      </c>
      <c r="E8" s="478">
        <f>industrie!E18</f>
        <v>2220.7799705393841</v>
      </c>
      <c r="F8" s="478">
        <f>industrie!F18</f>
        <v>7827.5967778549084</v>
      </c>
      <c r="G8" s="478">
        <f>industrie!G18</f>
        <v>0</v>
      </c>
      <c r="H8" s="478">
        <f>industrie!H18</f>
        <v>0</v>
      </c>
      <c r="I8" s="478">
        <f>industrie!I18</f>
        <v>0</v>
      </c>
      <c r="J8" s="478">
        <f>industrie!J18</f>
        <v>86.617646174031307</v>
      </c>
      <c r="K8" s="478">
        <f>industrie!K18</f>
        <v>0</v>
      </c>
      <c r="L8" s="478">
        <f>industrie!L18</f>
        <v>0</v>
      </c>
      <c r="M8" s="478">
        <f>industrie!M18</f>
        <v>0</v>
      </c>
      <c r="N8" s="478">
        <f>industrie!N18</f>
        <v>6988.4188570169499</v>
      </c>
      <c r="O8" s="478">
        <f>industrie!O18</f>
        <v>0</v>
      </c>
      <c r="P8" s="479">
        <f>industrie!P18</f>
        <v>0</v>
      </c>
      <c r="Q8" s="477">
        <f t="shared" si="0"/>
        <v>60627.648870417172</v>
      </c>
    </row>
    <row r="9" spans="1:17" s="483" customFormat="1">
      <c r="A9" s="481" t="s">
        <v>561</v>
      </c>
      <c r="B9" s="482">
        <f>transport!B14</f>
        <v>28.364489054167116</v>
      </c>
      <c r="C9" s="482"/>
      <c r="D9" s="482">
        <f>transport!D14</f>
        <v>98.587727067944314</v>
      </c>
      <c r="E9" s="482">
        <f>transport!E14</f>
        <v>131.5683830676119</v>
      </c>
      <c r="F9" s="482"/>
      <c r="G9" s="482">
        <f>transport!G14</f>
        <v>54329.342523480474</v>
      </c>
      <c r="H9" s="482">
        <f>transport!H14</f>
        <v>11118.514222313193</v>
      </c>
      <c r="I9" s="482"/>
      <c r="J9" s="482"/>
      <c r="K9" s="482"/>
      <c r="L9" s="482"/>
      <c r="M9" s="482">
        <f>transport!M14</f>
        <v>3504.2236518027717</v>
      </c>
      <c r="N9" s="482"/>
      <c r="O9" s="482"/>
      <c r="P9" s="482"/>
      <c r="Q9" s="481">
        <f>SUM(B9:P9)</f>
        <v>69210.600996786176</v>
      </c>
    </row>
    <row r="10" spans="1:17">
      <c r="A10" s="477" t="s">
        <v>551</v>
      </c>
      <c r="B10" s="478">
        <f>transport!B54</f>
        <v>0</v>
      </c>
      <c r="C10" s="478"/>
      <c r="D10" s="478">
        <f>transport!D54</f>
        <v>0</v>
      </c>
      <c r="E10" s="478"/>
      <c r="F10" s="478"/>
      <c r="G10" s="478">
        <f>transport!G54</f>
        <v>817.70428899262856</v>
      </c>
      <c r="H10" s="478"/>
      <c r="I10" s="478"/>
      <c r="J10" s="478"/>
      <c r="K10" s="478"/>
      <c r="L10" s="478"/>
      <c r="M10" s="478">
        <f>transport!M54</f>
        <v>46.441993796737563</v>
      </c>
      <c r="N10" s="478"/>
      <c r="O10" s="478"/>
      <c r="P10" s="479"/>
      <c r="Q10" s="477">
        <f t="shared" si="0"/>
        <v>864.14628278936607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78048.115808057453</v>
      </c>
      <c r="C14" s="488">
        <f t="shared" ref="C14:Q14" ca="1" si="1">SUM(C4:C13)</f>
        <v>0</v>
      </c>
      <c r="D14" s="488">
        <f t="shared" ca="1" si="1"/>
        <v>52206.989694447599</v>
      </c>
      <c r="E14" s="488">
        <f t="shared" si="1"/>
        <v>5453.3416382110954</v>
      </c>
      <c r="F14" s="488">
        <f t="shared" ca="1" si="1"/>
        <v>66291.597999852311</v>
      </c>
      <c r="G14" s="488">
        <f t="shared" si="1"/>
        <v>55147.046812473105</v>
      </c>
      <c r="H14" s="488">
        <f t="shared" si="1"/>
        <v>11118.514222313193</v>
      </c>
      <c r="I14" s="488">
        <f t="shared" si="1"/>
        <v>0</v>
      </c>
      <c r="J14" s="488">
        <f t="shared" si="1"/>
        <v>362.16142571896853</v>
      </c>
      <c r="K14" s="488">
        <f t="shared" si="1"/>
        <v>0</v>
      </c>
      <c r="L14" s="488">
        <f t="shared" ca="1" si="1"/>
        <v>0</v>
      </c>
      <c r="M14" s="488">
        <f t="shared" si="1"/>
        <v>3550.6656455995094</v>
      </c>
      <c r="N14" s="488">
        <f t="shared" ca="1" si="1"/>
        <v>20771.450015010356</v>
      </c>
      <c r="O14" s="488">
        <f t="shared" si="1"/>
        <v>309.54000000000002</v>
      </c>
      <c r="P14" s="489">
        <f t="shared" si="1"/>
        <v>896.13333333333333</v>
      </c>
      <c r="Q14" s="489">
        <f t="shared" ca="1" si="1"/>
        <v>294155.55659501697</v>
      </c>
    </row>
    <row r="16" spans="1:17">
      <c r="A16" s="491" t="s">
        <v>556</v>
      </c>
      <c r="B16" s="841">
        <f ca="1">huishoudens!B10</f>
        <v>0.19142452243496744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5428.5899848497993</v>
      </c>
      <c r="C21" s="478">
        <f t="shared" ref="C21:C28" ca="1" si="3">C4*$C$16</f>
        <v>0</v>
      </c>
      <c r="D21" s="478">
        <f t="shared" ref="D21:D30" si="4">D4*$D$16</f>
        <v>6424.379230855684</v>
      </c>
      <c r="E21" s="478">
        <f t="shared" ref="E21:E30" si="5">E4*$E$16</f>
        <v>636.5762986817233</v>
      </c>
      <c r="F21" s="478">
        <f t="shared" ref="F21:F28" si="6">F4*$F$16</f>
        <v>12901.570033364937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25391.115547752142</v>
      </c>
    </row>
    <row r="22" spans="1:17">
      <c r="A22" s="477" t="s">
        <v>156</v>
      </c>
      <c r="B22" s="478">
        <f t="shared" ca="1" si="2"/>
        <v>2437.8236037430497</v>
      </c>
      <c r="C22" s="478">
        <f t="shared" ca="1" si="3"/>
        <v>0</v>
      </c>
      <c r="D22" s="478">
        <f t="shared" ca="1" si="4"/>
        <v>1933.3920015309541</v>
      </c>
      <c r="E22" s="478">
        <f t="shared" si="5"/>
        <v>54.659998064491482</v>
      </c>
      <c r="F22" s="478">
        <f t="shared" ca="1" si="6"/>
        <v>592.94100213701824</v>
      </c>
      <c r="G22" s="478">
        <f t="shared" si="7"/>
        <v>0</v>
      </c>
      <c r="H22" s="478">
        <f t="shared" si="8"/>
        <v>0</v>
      </c>
      <c r="I22" s="478">
        <f t="shared" si="9"/>
        <v>0</v>
      </c>
      <c r="J22" s="478">
        <f t="shared" si="10"/>
        <v>5.3121092852287007E-3</v>
      </c>
      <c r="K22" s="478">
        <f t="shared" si="11"/>
        <v>0</v>
      </c>
      <c r="L22" s="478">
        <f t="shared" ca="1" si="12"/>
        <v>0</v>
      </c>
      <c r="M22" s="478">
        <f t="shared" si="13"/>
        <v>0</v>
      </c>
      <c r="N22" s="478">
        <f t="shared" ca="1" si="14"/>
        <v>0</v>
      </c>
      <c r="O22" s="478">
        <f t="shared" si="15"/>
        <v>0</v>
      </c>
      <c r="P22" s="479">
        <f t="shared" si="16"/>
        <v>0</v>
      </c>
      <c r="Q22" s="477">
        <f t="shared" ref="Q22:Q30" ca="1" si="17">SUM(B22:P22)</f>
        <v>5018.8219175847989</v>
      </c>
    </row>
    <row r="23" spans="1:17">
      <c r="A23" s="477" t="s">
        <v>194</v>
      </c>
      <c r="B23" s="478">
        <f t="shared" ca="1" si="2"/>
        <v>252.31704587057547</v>
      </c>
      <c r="C23" s="478"/>
      <c r="D23" s="478"/>
      <c r="E23" s="478"/>
      <c r="F23" s="478"/>
      <c r="G23" s="478"/>
      <c r="H23" s="478"/>
      <c r="I23" s="478"/>
      <c r="J23" s="478"/>
      <c r="K23" s="478"/>
      <c r="L23" s="478"/>
      <c r="M23" s="478"/>
      <c r="N23" s="478"/>
      <c r="O23" s="478"/>
      <c r="P23" s="479"/>
      <c r="Q23" s="477">
        <f t="shared" ca="1" si="17"/>
        <v>252.31704587057547</v>
      </c>
    </row>
    <row r="24" spans="1:17">
      <c r="A24" s="477" t="s">
        <v>112</v>
      </c>
      <c r="B24" s="478">
        <f t="shared" ca="1" si="2"/>
        <v>364.04956490536642</v>
      </c>
      <c r="C24" s="478">
        <f t="shared" ca="1" si="3"/>
        <v>0</v>
      </c>
      <c r="D24" s="478">
        <f t="shared" si="4"/>
        <v>188.83856060164334</v>
      </c>
      <c r="E24" s="478">
        <f t="shared" si="5"/>
        <v>12.689178858915781</v>
      </c>
      <c r="F24" s="478">
        <f t="shared" si="6"/>
        <v>2115.3772907713515</v>
      </c>
      <c r="G24" s="478">
        <f t="shared" si="7"/>
        <v>0</v>
      </c>
      <c r="H24" s="478">
        <f t="shared" si="8"/>
        <v>0</v>
      </c>
      <c r="I24" s="478">
        <f t="shared" si="9"/>
        <v>0</v>
      </c>
      <c r="J24" s="478">
        <f t="shared" si="10"/>
        <v>97.537185849622546</v>
      </c>
      <c r="K24" s="478">
        <f t="shared" si="11"/>
        <v>0</v>
      </c>
      <c r="L24" s="478">
        <f t="shared" si="12"/>
        <v>0</v>
      </c>
      <c r="M24" s="478">
        <f t="shared" si="13"/>
        <v>0</v>
      </c>
      <c r="N24" s="478">
        <f t="shared" si="14"/>
        <v>0</v>
      </c>
      <c r="O24" s="478">
        <f t="shared" si="15"/>
        <v>0</v>
      </c>
      <c r="P24" s="479">
        <f t="shared" si="16"/>
        <v>0</v>
      </c>
      <c r="Q24" s="477">
        <f t="shared" ca="1" si="17"/>
        <v>2778.4917809868994</v>
      </c>
    </row>
    <row r="25" spans="1:17">
      <c r="A25" s="477" t="s">
        <v>635</v>
      </c>
      <c r="B25" s="478">
        <f t="shared" ca="1" si="2"/>
        <v>6452.1134373663335</v>
      </c>
      <c r="C25" s="478">
        <f t="shared" ca="1" si="3"/>
        <v>0</v>
      </c>
      <c r="D25" s="478">
        <f t="shared" si="4"/>
        <v>1979.2874044224106</v>
      </c>
      <c r="E25" s="478">
        <f t="shared" si="5"/>
        <v>504.11705331244019</v>
      </c>
      <c r="F25" s="478">
        <f t="shared" si="6"/>
        <v>2089.9683396872606</v>
      </c>
      <c r="G25" s="478">
        <f t="shared" si="7"/>
        <v>0</v>
      </c>
      <c r="H25" s="478">
        <f t="shared" si="8"/>
        <v>0</v>
      </c>
      <c r="I25" s="478">
        <f t="shared" si="9"/>
        <v>0</v>
      </c>
      <c r="J25" s="478">
        <f t="shared" si="10"/>
        <v>30.662646745607081</v>
      </c>
      <c r="K25" s="478">
        <f t="shared" si="11"/>
        <v>0</v>
      </c>
      <c r="L25" s="478">
        <f t="shared" si="12"/>
        <v>0</v>
      </c>
      <c r="M25" s="478">
        <f t="shared" si="13"/>
        <v>0</v>
      </c>
      <c r="N25" s="478">
        <f t="shared" si="14"/>
        <v>0</v>
      </c>
      <c r="O25" s="478">
        <f t="shared" si="15"/>
        <v>0</v>
      </c>
      <c r="P25" s="479">
        <f t="shared" si="16"/>
        <v>0</v>
      </c>
      <c r="Q25" s="477">
        <f t="shared" ca="1" si="17"/>
        <v>11056.148881534051</v>
      </c>
    </row>
    <row r="26" spans="1:17" s="483" customFormat="1">
      <c r="A26" s="481" t="s">
        <v>561</v>
      </c>
      <c r="B26" s="835">
        <f t="shared" ca="1" si="2"/>
        <v>5.4296587713058013</v>
      </c>
      <c r="C26" s="482"/>
      <c r="D26" s="482">
        <f t="shared" si="4"/>
        <v>19.914720867724753</v>
      </c>
      <c r="E26" s="482">
        <f t="shared" si="5"/>
        <v>29.866022956347905</v>
      </c>
      <c r="F26" s="482"/>
      <c r="G26" s="482">
        <f t="shared" si="7"/>
        <v>14505.934453769287</v>
      </c>
      <c r="H26" s="482">
        <f t="shared" si="8"/>
        <v>2768.5100413559853</v>
      </c>
      <c r="I26" s="482"/>
      <c r="J26" s="482"/>
      <c r="K26" s="482"/>
      <c r="L26" s="482"/>
      <c r="M26" s="482">
        <f t="shared" si="13"/>
        <v>0</v>
      </c>
      <c r="N26" s="482"/>
      <c r="O26" s="482"/>
      <c r="P26" s="493"/>
      <c r="Q26" s="481">
        <f t="shared" ca="1" si="17"/>
        <v>17329.654897720651</v>
      </c>
    </row>
    <row r="27" spans="1:17">
      <c r="A27" s="477" t="s">
        <v>551</v>
      </c>
      <c r="B27" s="478">
        <f t="shared" ca="1" si="2"/>
        <v>0</v>
      </c>
      <c r="C27" s="478"/>
      <c r="D27" s="482">
        <f t="shared" si="4"/>
        <v>0</v>
      </c>
      <c r="E27" s="478"/>
      <c r="F27" s="478"/>
      <c r="G27" s="478">
        <f t="shared" si="7"/>
        <v>218.32704516103183</v>
      </c>
      <c r="H27" s="478"/>
      <c r="I27" s="478"/>
      <c r="J27" s="478"/>
      <c r="K27" s="478"/>
      <c r="L27" s="478"/>
      <c r="M27" s="478">
        <f t="shared" si="13"/>
        <v>0</v>
      </c>
      <c r="N27" s="478"/>
      <c r="O27" s="478"/>
      <c r="P27" s="479"/>
      <c r="Q27" s="477">
        <f t="shared" ca="1" si="17"/>
        <v>218.32704516103183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14940.323295506429</v>
      </c>
      <c r="C31" s="488">
        <f t="shared" ca="1" si="18"/>
        <v>0</v>
      </c>
      <c r="D31" s="488">
        <f t="shared" ca="1" si="18"/>
        <v>10545.811918278416</v>
      </c>
      <c r="E31" s="488">
        <f t="shared" si="18"/>
        <v>1237.9085518739187</v>
      </c>
      <c r="F31" s="488">
        <f t="shared" ca="1" si="18"/>
        <v>17699.856665960568</v>
      </c>
      <c r="G31" s="488">
        <f t="shared" si="18"/>
        <v>14724.261498930318</v>
      </c>
      <c r="H31" s="488">
        <f t="shared" si="18"/>
        <v>2768.5100413559853</v>
      </c>
      <c r="I31" s="488">
        <f t="shared" si="18"/>
        <v>0</v>
      </c>
      <c r="J31" s="488">
        <f t="shared" si="18"/>
        <v>128.20514470451485</v>
      </c>
      <c r="K31" s="488">
        <f t="shared" si="18"/>
        <v>0</v>
      </c>
      <c r="L31" s="488">
        <f t="shared" ca="1" si="18"/>
        <v>0</v>
      </c>
      <c r="M31" s="488">
        <f t="shared" si="18"/>
        <v>0</v>
      </c>
      <c r="N31" s="488">
        <f t="shared" ca="1" si="18"/>
        <v>0</v>
      </c>
      <c r="O31" s="488">
        <f t="shared" si="18"/>
        <v>0</v>
      </c>
      <c r="P31" s="489">
        <f t="shared" si="18"/>
        <v>0</v>
      </c>
      <c r="Q31" s="489">
        <f t="shared" ca="1" si="18"/>
        <v>62044.877116610151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0.19142452243496744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0.19142452243496744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0.19142452243496744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2019-01-01T21:19:29Z</dcterms:modified>
</cp:coreProperties>
</file>