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D10" i="14" s="1"/>
  <c r="L6" i="17"/>
  <c r="L5" s="1"/>
  <c r="O4" i="48"/>
  <c r="E16"/>
  <c r="I16"/>
  <c r="F16"/>
  <c r="J16"/>
  <c r="K16"/>
  <c r="K25" s="1"/>
  <c r="D16"/>
  <c r="D27" s="1"/>
  <c r="H16"/>
  <c r="H21" s="1"/>
  <c r="L16" i="16"/>
  <c r="L18"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C17" i="14"/>
  <c r="B13" i="48"/>
  <c r="E17" i="14"/>
  <c r="D13" i="48"/>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G21"/>
  <c r="M16"/>
  <c r="B39" i="13"/>
  <c r="B51" s="1"/>
  <c r="F5" s="1"/>
  <c r="F8" s="1"/>
  <c r="I21" i="48"/>
  <c r="O21"/>
  <c r="L16"/>
  <c r="Q11" i="14"/>
  <c r="P12" i="13"/>
  <c r="Q37" i="14" s="1"/>
  <c r="P4" i="48"/>
  <c r="P21" s="1"/>
  <c r="D12" i="13"/>
  <c r="E37" i="14" s="1"/>
  <c r="D4" i="48"/>
  <c r="E11" i="14"/>
  <c r="H28" i="48"/>
  <c r="G25"/>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K28" i="48" l="1"/>
  <c r="D21"/>
  <c r="D28"/>
  <c r="D30"/>
  <c r="H25"/>
  <c r="H24"/>
  <c r="K21"/>
  <c r="K24"/>
  <c r="K22"/>
  <c r="K31" s="1"/>
  <c r="G22" i="14"/>
  <c r="P22" i="16"/>
  <c r="Q39" i="14" s="1"/>
  <c r="G11"/>
  <c r="J12" i="17"/>
  <c r="K48" i="14" s="1"/>
  <c r="Q13"/>
  <c r="B35" i="13"/>
  <c r="J15" i="14"/>
  <c r="J23" s="1"/>
  <c r="P8" i="48"/>
  <c r="P25" s="1"/>
  <c r="D18" i="16"/>
  <c r="E13" i="14" s="1"/>
  <c r="G31" i="20"/>
  <c r="H43" i="14" s="1"/>
  <c r="G12" i="22"/>
  <c r="D16" i="15"/>
  <c r="K22" i="14"/>
  <c r="E8" i="17"/>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F5" i="15"/>
  <c r="F16" s="1"/>
  <c r="B5"/>
  <c r="B16" s="1"/>
  <c r="B5" i="16"/>
  <c r="B18" s="1"/>
  <c r="N5" i="15"/>
  <c r="N16" s="1"/>
  <c r="F12" i="13"/>
  <c r="G37" i="14" s="1"/>
  <c r="P5" i="48"/>
  <c r="P22" s="1"/>
  <c r="F13" i="16"/>
  <c r="E13"/>
  <c r="N13"/>
  <c r="J13"/>
  <c r="B47" i="13"/>
  <c r="N12" i="16"/>
  <c r="J12"/>
  <c r="F12"/>
  <c r="E12"/>
  <c r="Q11" i="48"/>
  <c r="O5"/>
  <c r="R9" i="14"/>
  <c r="O28" i="48"/>
  <c r="H22"/>
  <c r="B46" i="13"/>
  <c r="E5" s="1"/>
  <c r="E8" s="1"/>
  <c r="M25" i="48"/>
  <c r="M24"/>
  <c r="I31"/>
  <c r="C50" i="13"/>
  <c r="J5" s="1"/>
  <c r="J8" s="1"/>
  <c r="E12" i="17"/>
  <c r="F48" i="14" s="1"/>
  <c r="C5" i="48"/>
  <c r="H18" i="14" l="1"/>
  <c r="O22" i="16"/>
  <c r="P39" i="14" s="1"/>
  <c r="M10" i="48"/>
  <c r="M27" s="1"/>
  <c r="F22" i="14"/>
  <c r="C13"/>
  <c r="E12" i="13"/>
  <c r="F37" i="14" s="1"/>
  <c r="D22" i="16"/>
  <c r="E39" i="14" s="1"/>
  <c r="N4" i="48"/>
  <c r="N21" s="1"/>
  <c r="D20" i="15"/>
  <c r="E36" i="14" s="1"/>
  <c r="E41" s="1"/>
  <c r="G14" i="22"/>
  <c r="G9" i="48" s="1"/>
  <c r="O8"/>
  <c r="O25" s="1"/>
  <c r="E7"/>
  <c r="E24" s="1"/>
  <c r="P31"/>
  <c r="N7"/>
  <c r="N24" s="1"/>
  <c r="J16" i="15"/>
  <c r="E16"/>
  <c r="D8" i="48"/>
  <c r="D25" s="1"/>
  <c r="P41" i="14"/>
  <c r="P53" s="1"/>
  <c r="O22"/>
  <c r="L7" i="48"/>
  <c r="L24" s="1"/>
  <c r="M22" i="14"/>
  <c r="P15"/>
  <c r="P23"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P55" i="14" l="1"/>
  <c r="R18"/>
  <c r="F10"/>
  <c r="K10"/>
  <c r="R10" s="1"/>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5" i="48"/>
  <c r="Q4"/>
  <c r="N22"/>
  <c r="R11" i="14"/>
  <c r="J21" i="48"/>
  <c r="C16" l="1"/>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25" i="48"/>
  <c r="F31" s="1"/>
  <c r="F14"/>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<sst xmlns="http://schemas.openxmlformats.org/spreadsheetml/2006/main" count="2099" uniqueCount="844">
  <si>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</si>
  <si>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</si>
  <si>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</si>
  <si>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</si>
  <si>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</si>
  <si>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</si>
  <si>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</si>
  <si>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</si>
  <si>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</si>
  <si>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</si>
  <si>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</si>
  <si>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</si>
  <si>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</si>
  <si>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</si>
  <si>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</si>
  <si>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</si>
  <si>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</si>
  <si>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</si>
  <si>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</si>
  <si>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</si>
  <si>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</si>
  <si>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</si>
  <si>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</si>
  <si>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</si>
  <si>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</si>
  <si>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</si>
  <si>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</si>
  <si>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</si>
  <si>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</si>
  <si>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</si>
  <si>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</si>
  <si>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</si>
  <si>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</si>
  <si>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</si>
  <si>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</si>
  <si>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</si>
  <si>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</si>
  <si>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</si>
  <si>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</si>
  <si>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</si>
  <si>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</si>
  <si>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</si>
  <si>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</si>
  <si>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</si>
  <si>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</si>
  <si>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</si>
  <si>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</si>
  <si>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</si>
  <si>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</si>
  <si>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</si>
  <si>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</si>
  <si>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</si>
  <si>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</si>
  <si>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</si>
  <si>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</si>
  <si>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</si>
  <si>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</si>
  <si>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</si>
  <si>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</si>
  <si>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</si>
  <si>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</si>
  <si>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</si>
  <si>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</si>
  <si>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</si>
  <si>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</si>
  <si>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</si>
  <si>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</si>
  <si>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</si>
  <si>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</si>
  <si>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</si>
  <si>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</si>
  <si>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</si>
  <si>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</si>
  <si>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</si>
  <si>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</si>
  <si>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</si>
  <si>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</si>
  <si>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</si>
  <si>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</si>
  <si>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</si>
  <si>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</si>
  <si>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</si>
  <si>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</si>
  <si>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</si>
  <si>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</si>
  <si>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</si>
  <si>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</si>
  <si>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</si>
  <si>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</si>
  <si>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</si>
  <si>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</si>
  <si>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</si>
  <si>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</si>
  <si>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</si>
  <si>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</si>
  <si>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</si>
  <si>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</si>
  <si>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</si>
  <si>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</si>
  <si>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</si>
  <si>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</si>
  <si>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</si>
  <si>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</si>
  <si>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</si>
  <si>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</si>
  <si>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</si>
  <si>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</si>
  <si>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</si>
  <si>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</si>
  <si>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</si>
  <si>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</si>
  <si>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</si>
  <si>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</si>
  <si>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</si>
  <si>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</si>
  <si>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</si>
  <si>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</si>
  <si>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</si>
  <si>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</si>
  <si>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</si>
  <si>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</si>
  <si>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</si>
  <si>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</si>
  <si>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</si>
  <si>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</si>
  <si>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</si>
  <si>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</si>
  <si>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</si>
  <si>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</si>
  <si>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</si>
  <si>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</si>
  <si>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</si>
  <si>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</si>
  <si>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</si>
  <si>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</si>
  <si>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</si>
  <si>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</si>
  <si>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</si>
  <si>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</si>
  <si>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</si>
  <si>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</si>
  <si>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</si>
  <si>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</si>
  <si>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</si>
  <si>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</si>
  <si>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</si>
  <si>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</si>
  <si>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</si>
  <si>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</si>
  <si>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</si>
  <si>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</si>
  <si>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</si>
  <si>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</si>
  <si>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</si>
  <si>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</si>
  <si>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</si>
  <si>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</si>
  <si>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</si>
  <si>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</si>
  <si>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</si>
  <si>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</si>
  <si>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</si>
  <si>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</si>
  <si>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</si>
  <si>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</si>
  <si>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</si>
  <si>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</si>
  <si>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</si>
  <si>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</si>
  <si>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</si>
  <si>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</si>
  <si>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</si>
  <si>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</si>
  <si>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</si>
  <si>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</si>
  <si>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</si>
  <si>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</si>
  <si>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</si>
  <si>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</si>
  <si>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</si>
  <si>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</si>
  <si>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</si>
  <si>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</si>
  <si>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</si>
  <si>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</si>
  <si>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</si>
  <si>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</si>
  <si>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</si>
  <si>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</si>
  <si>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</si>
  <si>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</si>
  <si>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</si>
  <si>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</si>
  <si>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</si>
  <si>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</si>
  <si>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</si>
  <si>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</si>
  <si>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</si>
  <si>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</si>
  <si>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</si>
  <si>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</si>
  <si>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</si>
  <si>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</si>
  <si>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</si>
  <si>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</si>
  <si>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</si>
  <si>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</si>
  <si>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</si>
  <si>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</si>
  <si>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</si>
  <si>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</si>
  <si>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</si>
  <si>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</si>
  <si>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</si>
  <si>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</si>
  <si>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</si>
  <si>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</si>
  <si>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</si>
  <si>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</si>
  <si>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</si>
  <si>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</si>
  <si>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</si>
  <si>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</si>
  <si>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</si>
  <si>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</si>
  <si>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</si>
  <si>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</si>
  <si>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</si>
  <si>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</si>
  <si>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</si>
  <si>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</si>
  <si>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</si>
  <si>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</si>
  <si>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</si>
  <si>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</si>
  <si>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</si>
  <si>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</si>
  <si>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</si>
  <si>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</si>
  <si>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</si>
  <si>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</si>
  <si>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</si>
  <si>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</si>
  <si>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</si>
  <si>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</si>
  <si>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</si>
  <si>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</si>
  <si>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</si>
  <si>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</si>
  <si>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</si>
  <si>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</si>
  <si>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</si>
  <si>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</si>
  <si>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</si>
  <si>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</si>
  <si>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</si>
  <si>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</si>
  <si>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</si>
  <si>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</si>
  <si>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</si>
  <si>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</si>
  <si>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</si>
  <si>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</si>
  <si>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</si>
  <si>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</si>
  <si>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</si>
  <si>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</si>
  <si>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</si>
  <si>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</si>
  <si>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</si>
  <si>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</si>
  <si>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</si>
  <si>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</si>
  <si>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</si>
  <si>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</si>
  <si>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</si>
  <si>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</si>
  <si>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</si>
  <si>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</si>
  <si>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</si>
  <si>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</si>
  <si>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</si>
  <si>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</si>
  <si>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</si>
  <si>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</si>
  <si>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</si>
  <si>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</si>
  <si>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</si>
  <si>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</si>
  <si>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</si>
  <si>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</si>
  <si>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</si>
  <si>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</si>
  <si>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</si>
  <si>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</si>
  <si>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</si>
  <si>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</si>
  <si>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</si>
  <si>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</si>
  <si>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</si>
  <si>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</si>
  <si>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</si>
  <si>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</si>
  <si>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</si>
  <si>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</si>
  <si>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</si>
  <si>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</si>
  <si>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</si>
  <si>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</si>
  <si>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</si>
  <si>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</si>
  <si>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</si>
  <si>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</si>
  <si>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</si>
  <si>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</si>
  <si>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</si>
  <si>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</si>
  <si>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</si>
  <si>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</si>
  <si>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</si>
  <si>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</si>
  <si>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</si>
  <si>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</si>
  <si>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</si>
  <si>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</si>
  <si>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</si>
  <si>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</si>
  <si>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</si>
  <si>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</si>
  <si>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</si>
  <si>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</si>
  <si>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</si>
  <si>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</si>
  <si>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</si>
  <si>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</si>
  <si>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</si>
  <si>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</si>
  <si>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</si>
  <si>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</si>
  <si>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</si>
  <si>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</si>
  <si>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</si>
  <si>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</si>
  <si>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</si>
  <si>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</si>
  <si>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</si>
  <si>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</si>
  <si>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</si>
  <si>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</si>
  <si>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</si>
  <si>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</si>
  <si>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</si>
  <si>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</si>
  <si>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</si>
  <si>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</si>
  <si>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</si>
  <si>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</si>
  <si>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</si>
  <si>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</si>
  <si>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</si>
  <si>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</si>
  <si>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</si>
  <si>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</si>
  <si>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</si>
  <si>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</si>
  <si>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</si>
  <si>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</si>
  <si>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</si>
  <si>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</si>
  <si>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</si>
  <si>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</si>
  <si>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</si>
  <si>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</si>
  <si>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</si>
  <si>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</si>
  <si>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</si>
  <si>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</si>
  <si>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</si>
  <si>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</si>
  <si>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</si>
  <si>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</si>
  <si>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</si>
  <si>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</si>
  <si>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</si>
  <si>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</si>
  <si>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</si>
  <si>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</si>
  <si>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</si>
  <si>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</si>
  <si>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</si>
  <si>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</si>
  <si>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</si>
  <si>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</si>
  <si>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</si>
  <si>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</si>
  <si>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</si>
  <si>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</si>
  <si>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</si>
  <si>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</si>
  <si>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</si>
  <si>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</si>
  <si>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</si>
  <si>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</si>
  <si>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</si>
  <si>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</si>
  <si>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</si>
  <si>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</si>
  <si>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</si>
  <si>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</si>
  <si>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</si>
  <si>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</si>
  <si>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</si>
  <si>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</si>
  <si>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</si>
  <si>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</si>
  <si>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</si>
  <si>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</si>
  <si>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</si>
  <si>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</si>
  <si>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</si>
  <si>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</si>
  <si>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</si>
  <si>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</si>
  <si>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</si>
  <si>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</si>
  <si>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</si>
  <si>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</si>
  <si>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</si>
  <si>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</si>
  <si>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</si>
  <si>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</si>
  <si>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</si>
  <si>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</si>
  <si>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</si>
  <si>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</si>
  <si>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</si>
  <si>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</si>
  <si>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</si>
  <si>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</si>
  <si>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</si>
  <si>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</si>
  <si>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</si>
  <si>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</si>
  <si>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</si>
  <si>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</si>
  <si>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</si>
  <si>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</si>
  <si>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</si>
  <si>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</si>
  <si>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</si>
  <si>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</si>
  <si>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</si>
  <si>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</si>
  <si>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</si>
  <si>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</si>
  <si>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</si>
  <si>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</si>
  <si>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</si>
  <si>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</si>
  <si>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</si>
  <si>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</si>
  <si>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</si>
  <si>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</si>
  <si>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</si>
  <si>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</si>
  <si>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</si>
  <si>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</si>
  <si>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</si>
  <si>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</si>
  <si>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</si>
  <si>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</si>
  <si>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</si>
  <si>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</si>
  <si>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</si>
  <si>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</si>
  <si>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</si>
  <si>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</si>
  <si>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</si>
  <si>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</si>
  <si>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</si>
  <si>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</si>
  <si>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</si>
  <si>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</si>
  <si>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</si>
  <si>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</si>
  <si>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</si>
  <si>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</si>
  <si>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</si>
  <si>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</si>
  <si>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</si>
  <si>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</si>
  <si>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</si>
  <si>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</si>
  <si>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</si>
  <si>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</si>
  <si>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</si>
  <si>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</si>
  <si>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</si>
  <si>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</si>
  <si>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</si>
  <si>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</si>
  <si>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</si>
  <si>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</si>
  <si>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</si>
  <si>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</si>
  <si>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</si>
  <si>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</si>
  <si>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</si>
  <si>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</si>
  <si>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</si>
  <si>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</si>
  <si>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</si>
  <si>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</si>
  <si>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</si>
  <si>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</si>
  <si>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</si>
  <si>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</si>
  <si>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</si>
  <si>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</si>
  <si>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</si>
  <si>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</si>
  <si>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</si>
  <si>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</si>
  <si>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</si>
  <si>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</si>
  <si>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</si>
  <si>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</si>
  <si>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</si>
  <si>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</si>
  <si>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</si>
  <si>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</si>
  <si>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</si>
  <si>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</si>
  <si>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</si>
  <si>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</si>
  <si>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</si>
  <si>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</si>
  <si>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</si>
  <si>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</si>
  <si>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</si>
  <si>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</si>
  <si>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</si>
  <si>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</si>
  <si>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</si>
  <si>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</si>
  <si>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</si>
  <si>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</si>
  <si>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</si>
  <si>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</si>
  <si>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</si>
  <si>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</si>
  <si>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</si>
  <si>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</si>
  <si>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</si>
  <si>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</si>
  <si>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</si>
  <si>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</si>
  <si>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</si>
  <si>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</si>
  <si>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</si>
  <si>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</si>
  <si>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</si>
  <si>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</si>
  <si>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</si>
  <si>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</si>
  <si>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</si>
  <si>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</si>
  <si>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</si>
  <si>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</si>
  <si>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</si>
  <si>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</si>
  <si>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</si>
  <si>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</si>
  <si>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</si>
  <si>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</si>
  <si>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</si>
  <si>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</si>
  <si>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</si>
  <si>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</si>
  <si>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</si>
  <si>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</si>
  <si>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</si>
  <si>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</si>
  <si>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</si>
  <si>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</si>
  <si>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</si>
  <si>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</si>
  <si>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</si>
  <si>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</si>
  <si>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</si>
  <si>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</si>
  <si>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</si>
  <si>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</si>
  <si>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</si>
  <si>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</si>
  <si>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</si>
  <si>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</si>
  <si>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</si>
  <si>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</si>
  <si>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</si>
  <si>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</si>
  <si>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</si>
  <si>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</si>
  <si>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</si>
  <si>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</si>
  <si>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</si>
  <si>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</si>
  <si>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</si>
  <si>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</si>
  <si>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</si>
  <si>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</si>
  <si>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</si>
  <si>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</si>
  <si>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</si>
  <si>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</si>
  <si>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</si>
  <si>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</si>
  <si>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</si>
  <si>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</si>
  <si>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</si>
  <si>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</si>
  <si>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</si>
  <si>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</si>
  <si>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</si>
  <si>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</si>
  <si>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</si>
  <si>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</si>
  <si>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</si>
  <si>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</si>
  <si>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</si>
  <si>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</si>
  <si>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</si>
  <si>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</si>
  <si>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</si>
  <si>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</si>
  <si>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</si>
  <si>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</si>
  <si>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</si>
  <si>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</si>
  <si>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</si>
  <si>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</si>
  <si>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</si>
  <si>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</si>
  <si>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</si>
  <si>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</si>
  <si>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</si>
  <si>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</si>
  <si>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</si>
  <si>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</si>
  <si>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</si>
  <si>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</si>
  <si>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</si>
  <si>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</si>
  <si>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</si>
  <si>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</si>
  <si>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</si>
  <si>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</si>
  <si>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</si>
  <si>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</si>
  <si>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</si>
  <si>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</si>
  <si>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</si>
  <si>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</si>
  <si>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</si>
  <si>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</si>
  <si>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</si>
  <si>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</si>
  <si>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</si>
  <si>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</si>
  <si>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</si>
  <si>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</si>
  <si>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</si>
  <si>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</si>
  <si>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</si>
  <si>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</si>
  <si>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</si>
  <si>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</si>
  <si>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</si>
  <si>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</si>
  <si>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</si>
  <si>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</si>
  <si>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</si>
  <si>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</si>
  <si>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</si>
  <si>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</si>
  <si>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</si>
  <si>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</si>
  <si>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</si>
  <si>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</si>
  <si>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</si>
  <si>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</si>
  <si>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</si>
  <si>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</si>
  <si>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</si>
  <si>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</si>
  <si>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</si>
  <si>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</si>
  <si>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</si>
  <si>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</si>
  <si>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</si>
  <si>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</si>
  <si>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</si>
  <si>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</si>
  <si>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</si>
  <si>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</si>
  <si>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</si>
  <si>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</si>
  <si>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</si>
  <si>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</si>
  <si>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</si>
  <si>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</si>
  <si>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</si>
  <si>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</si>
  <si>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</si>
  <si>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</si>
  <si>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</si>
  <si>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</si>
  <si>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</si>
  <si>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</si>
  <si>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</si>
  <si>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</si>
  <si>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</si>
  <si>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</si>
  <si>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</si>
  <si>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</si>
  <si>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</si>
  <si>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</si>
  <si>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</si>
  <si>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</si>
  <si>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</si>
  <si>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</si>
  <si>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</si>
  <si>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</si>
  <si>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</si>
  <si>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</si>
  <si>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</si>
  <si>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</si>
  <si>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</si>
  <si>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</si>
  <si>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</si>
  <si>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</si>
  <si>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</si>
  <si>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</si>
  <si>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</si>
  <si>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</si>
  <si>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</si>
  <si>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</si>
  <si>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</si>
  <si>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</si>
  <si>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</si>
  <si>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</si>
  <si>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</si>
  <si>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</si>
  <si>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</si>
  <si>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</si>
  <si>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</si>
  <si>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</si>
  <si>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</si>
  <si>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</si>
  <si>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</si>
  <si>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</si>
  <si>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</si>
  <si>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</si>
  <si>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</si>
  <si>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</si>
  <si>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</si>
  <si>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</si>
  <si>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</si>
  <si>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</si>
  <si>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</si>
  <si>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</si>
  <si>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</si>
  <si>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</si>
  <si>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</si>
  <si>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</si>
  <si>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</si>
  <si>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</si>
  <si>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</si>
  <si>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</si>
  <si>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</si>
  <si>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</si>
  <si>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</si>
  <si>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</si>
  <si>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</si>
  <si>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</si>
  <si>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</si>
  <si>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</si>
  <si>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</si>
  <si>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</si>
  <si>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</si>
  <si>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</si>
  <si>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</si>
  <si>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</si>
  <si>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</si>
  <si>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</si>
  <si>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</si>
  <si>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</si>
  <si>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</si>
  <si>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</si>
  <si>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</si>
  <si>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</si>
  <si>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</si>
  <si>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</si>
  <si>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</si>
  <si>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</si>
  <si>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</si>
  <si>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</si>
  <si>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</si>
  <si>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</si>
  <si>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</si>
  <si>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</si>
  <si>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</si>
  <si>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</si>
  <si>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</si>
  <si>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</si>
  <si>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</si>
  <si>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</si>
  <si>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</si>
  <si>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</si>
  <si>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</si>
  <si>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</si>
  <si>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</si>
  <si>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</si>
  <si>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</si>
  <si>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</si>
  <si>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</si>
  <si>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</si>
  <si>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</si>
  <si>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</si>
  <si>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</si>
  <si>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</si>
  <si>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</si>
  <si>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</si>
  <si>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</si>
  <si>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</si>
  <si>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</si>
  <si>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33029</t>
  </si>
  <si>
    <t>WERVIK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</si>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</sst>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136149.43666442836</c:v>
                </c:pt>
                <c:pt idx="1">
                  <c:v>37317.424781366964</c:v>
                </c:pt>
                <c:pt idx="2">
                  <c:v>1283.8779999999999</c:v>
                </c:pt>
                <c:pt idx="3">
                  <c:v>33587.647647307269</c:v>
                </c:pt>
                <c:pt idx="4">
                  <c:v>27287.190417728765</c:v>
                </c:pt>
                <c:pt idx="5">
                  <c:v>127422.33936577463</c:v>
                </c:pt>
                <c:pt idx="6">
                  <c:v>292.9243319820186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62304"/>
        <c:axId val="183805056"/>
      </c:barChart>
      <c:catAx>
        <c:axId val="183762304"/>
        <c:scaling>
          <c:orientation val="minMax"/>
        </c:scaling>
        <c:axPos val="b"/>
        <c:numFmt formatCode="General" sourceLinked="0"/>
        <c:tickLblPos val="nextTo"/>
        <c:crossAx val="183805056"/>
        <c:crosses val="autoZero"/>
        <c:auto val="1"/>
        <c:lblAlgn val="ctr"/>
        <c:lblOffset val="100"/>
      </c:catAx>
      <c:valAx>
        <c:axId val="183805056"/>
        <c:scaling>
          <c:orientation val="minMax"/>
        </c:scaling>
        <c:axPos val="l"/>
        <c:majorGridlines>
          <c:spPr>
            <a:ln>
              <a:noFill/>
            </a:ln>
          </c:spPr>
        </c:majorGridlines>
        <c:numFmt formatCode="#,##0" sourceLinked="1"/>
        <c:tickLblPos val="nextTo"/>
        <c:crossAx val="18376230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136149.43666442836</c:v>
                </c:pt>
                <c:pt idx="1">
                  <c:v>37317.424781366964</c:v>
                </c:pt>
                <c:pt idx="2">
                  <c:v>1283.8779999999999</c:v>
                </c:pt>
                <c:pt idx="3">
                  <c:v>33587.647647307269</c:v>
                </c:pt>
                <c:pt idx="4">
                  <c:v>27287.190417728765</c:v>
                </c:pt>
                <c:pt idx="5">
                  <c:v>127422.33936577463</c:v>
                </c:pt>
                <c:pt idx="6">
                  <c:v>292.9243319820186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25408.036027509741</c:v>
                </c:pt>
                <c:pt idx="1">
                  <c:v>7427.5269885909929</c:v>
                </c:pt>
                <c:pt idx="2">
                  <c:v>250.1170606248788</c:v>
                </c:pt>
                <c:pt idx="3">
                  <c:v>8040.2211331516273</c:v>
                </c:pt>
                <c:pt idx="4">
                  <c:v>5226.6855339097119</c:v>
                </c:pt>
                <c:pt idx="5">
                  <c:v>31928.302601489999</c:v>
                </c:pt>
                <c:pt idx="6">
                  <c:v>74.007497493328614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276864"/>
        <c:axId val="184278400"/>
      </c:barChart>
      <c:catAx>
        <c:axId val="184276864"/>
        <c:scaling>
          <c:orientation val="minMax"/>
        </c:scaling>
        <c:axPos val="b"/>
        <c:numFmt formatCode="General" sourceLinked="0"/>
        <c:tickLblPos val="nextTo"/>
        <c:crossAx val="184278400"/>
        <c:crosses val="autoZero"/>
        <c:auto val="1"/>
        <c:lblAlgn val="ctr"/>
        <c:lblOffset val="100"/>
      </c:catAx>
      <c:valAx>
        <c:axId val="184278400"/>
        <c:scaling>
          <c:orientation val="minMax"/>
        </c:scaling>
        <c:axPos val="l"/>
        <c:majorGridlines>
          <c:spPr>
            <a:ln>
              <a:noFill/>
            </a:ln>
          </c:spPr>
        </c:majorGridlines>
        <c:numFmt formatCode="#,##0" sourceLinked="1"/>
        <c:tickLblPos val="nextTo"/>
        <c:crossAx val="1842768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25408.036027509741</c:v>
                </c:pt>
                <c:pt idx="1">
                  <c:v>7427.5269885909929</c:v>
                </c:pt>
                <c:pt idx="2">
                  <c:v>250.1170606248788</c:v>
                </c:pt>
                <c:pt idx="3">
                  <c:v>8040.2211331516273</c:v>
                </c:pt>
                <c:pt idx="4">
                  <c:v>5226.6855339097119</c:v>
                </c:pt>
                <c:pt idx="5">
                  <c:v>31928.302601489999</c:v>
                </c:pt>
                <c:pt idx="6">
                  <c:v>74.007497493328614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33029</v>
      </c>
      <c r="B6" s="415"/>
      <c r="C6" s="416"/>
    </row>
    <row r="7" spans="1:7" s="413" customFormat="1" ht="15.75" customHeight="1">
      <c r="A7" s="417" t="str">
        <f>txtMunicipality</f>
        <v>WERVIK</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14832.631994940664</v>
      </c>
      <c r="D10" s="718">
        <f ca="1">tertiair!C16</f>
        <v>0</v>
      </c>
      <c r="E10" s="718">
        <f ca="1">tertiair!D16</f>
        <v>20494.4737442396</v>
      </c>
      <c r="F10" s="718">
        <f>tertiair!E16</f>
        <v>178.28478397730041</v>
      </c>
      <c r="G10" s="718">
        <f ca="1">tertiair!F16</f>
        <v>2275.9638165050683</v>
      </c>
      <c r="H10" s="718">
        <f>tertiair!G16</f>
        <v>0</v>
      </c>
      <c r="I10" s="718">
        <f>tertiair!H16</f>
        <v>0</v>
      </c>
      <c r="J10" s="718">
        <f>tertiair!I16</f>
        <v>0</v>
      </c>
      <c r="K10" s="718">
        <f>tertiair!J16</f>
        <v>1.9829559308099279E-2</v>
      </c>
      <c r="L10" s="718">
        <f>tertiair!K16</f>
        <v>0</v>
      </c>
      <c r="M10" s="718">
        <f ca="1">tertiair!L16</f>
        <v>0</v>
      </c>
      <c r="N10" s="718">
        <f>tertiair!M16</f>
        <v>0</v>
      </c>
      <c r="O10" s="718">
        <f ca="1">tertiair!N16</f>
        <v>797.73527881169196</v>
      </c>
      <c r="P10" s="718">
        <f>tertiair!O16</f>
        <v>3.1266666666666669</v>
      </c>
      <c r="Q10" s="719">
        <f>tertiair!P16</f>
        <v>19.066666666666666</v>
      </c>
      <c r="R10" s="721">
        <f ca="1">SUM(C10:Q10)</f>
        <v>38601.302781366961</v>
      </c>
      <c r="S10" s="67"/>
    </row>
    <row r="11" spans="1:19" s="474" customFormat="1">
      <c r="A11" s="870" t="s">
        <v>225</v>
      </c>
      <c r="B11" s="875"/>
      <c r="C11" s="718">
        <f>huishoudens!B8</f>
        <v>28747.448583442085</v>
      </c>
      <c r="D11" s="718">
        <f>huishoudens!C8</f>
        <v>0</v>
      </c>
      <c r="E11" s="718">
        <f>huishoudens!D8</f>
        <v>78834.592134278515</v>
      </c>
      <c r="F11" s="718">
        <f>huishoudens!E8</f>
        <v>5569.5792336601671</v>
      </c>
      <c r="G11" s="718">
        <f>huishoudens!F8</f>
        <v>0</v>
      </c>
      <c r="H11" s="718">
        <f>huishoudens!G8</f>
        <v>0</v>
      </c>
      <c r="I11" s="718">
        <f>huishoudens!H8</f>
        <v>0</v>
      </c>
      <c r="J11" s="718">
        <f>huishoudens!I8</f>
        <v>0</v>
      </c>
      <c r="K11" s="718">
        <f>huishoudens!J8</f>
        <v>7397.6165977903829</v>
      </c>
      <c r="L11" s="718">
        <f>huishoudens!K8</f>
        <v>0</v>
      </c>
      <c r="M11" s="718">
        <f>huishoudens!L8</f>
        <v>0</v>
      </c>
      <c r="N11" s="718">
        <f>huishoudens!M8</f>
        <v>0</v>
      </c>
      <c r="O11" s="718">
        <f>huishoudens!N8</f>
        <v>15058.120115257203</v>
      </c>
      <c r="P11" s="718">
        <f>huishoudens!O8</f>
        <v>275.1466666666667</v>
      </c>
      <c r="Q11" s="719">
        <f>huishoudens!P8</f>
        <v>266.93333333333334</v>
      </c>
      <c r="R11" s="721">
        <f>SUM(C11:Q11)</f>
        <v>136149.43666442836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11332.512108204095</v>
      </c>
      <c r="D13" s="718">
        <f>industrie!C18</f>
        <v>0</v>
      </c>
      <c r="E13" s="718">
        <f>industrie!D18</f>
        <v>9619.9246822071436</v>
      </c>
      <c r="F13" s="718">
        <f>industrie!E18</f>
        <v>984.76583680539295</v>
      </c>
      <c r="G13" s="718">
        <f>industrie!F18</f>
        <v>3167.8524865753334</v>
      </c>
      <c r="H13" s="718">
        <f>industrie!G18</f>
        <v>0</v>
      </c>
      <c r="I13" s="718">
        <f>industrie!H18</f>
        <v>0</v>
      </c>
      <c r="J13" s="718">
        <f>industrie!I18</f>
        <v>0</v>
      </c>
      <c r="K13" s="718">
        <f>industrie!J18</f>
        <v>18.003807058188311</v>
      </c>
      <c r="L13" s="718">
        <f>industrie!K18</f>
        <v>0</v>
      </c>
      <c r="M13" s="718">
        <f>industrie!L18</f>
        <v>0</v>
      </c>
      <c r="N13" s="718">
        <f>industrie!M18</f>
        <v>0</v>
      </c>
      <c r="O13" s="718">
        <f>industrie!N18</f>
        <v>2164.1314968786173</v>
      </c>
      <c r="P13" s="718">
        <f>industrie!O18</f>
        <v>0</v>
      </c>
      <c r="Q13" s="719">
        <f>industrie!P18</f>
        <v>0</v>
      </c>
      <c r="R13" s="721">
        <f>SUM(C13:Q13)</f>
        <v>27287.190417728765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54912.592686586846</v>
      </c>
      <c r="D15" s="723">
        <f t="shared" ref="D15:Q15" ca="1" si="0">SUM(D9:D14)</f>
        <v>0</v>
      </c>
      <c r="E15" s="723">
        <f t="shared" ca="1" si="0"/>
        <v>108948.99056072526</v>
      </c>
      <c r="F15" s="723">
        <f t="shared" si="0"/>
        <v>6732.6298544428601</v>
      </c>
      <c r="G15" s="723">
        <f t="shared" ca="1" si="0"/>
        <v>5443.8163030804017</v>
      </c>
      <c r="H15" s="723">
        <f t="shared" si="0"/>
        <v>0</v>
      </c>
      <c r="I15" s="723">
        <f t="shared" si="0"/>
        <v>0</v>
      </c>
      <c r="J15" s="723">
        <f t="shared" si="0"/>
        <v>0</v>
      </c>
      <c r="K15" s="723">
        <f t="shared" si="0"/>
        <v>7415.6402344078797</v>
      </c>
      <c r="L15" s="723">
        <f t="shared" si="0"/>
        <v>0</v>
      </c>
      <c r="M15" s="723">
        <f t="shared" ca="1" si="0"/>
        <v>0</v>
      </c>
      <c r="N15" s="723">
        <f t="shared" si="0"/>
        <v>0</v>
      </c>
      <c r="O15" s="723">
        <f t="shared" ca="1" si="0"/>
        <v>18019.986890947512</v>
      </c>
      <c r="P15" s="723">
        <f t="shared" si="0"/>
        <v>278.27333333333337</v>
      </c>
      <c r="Q15" s="724">
        <f t="shared" si="0"/>
        <v>286</v>
      </c>
      <c r="R15" s="725">
        <f ca="1">SUM(R9:R14)</f>
        <v>202037.92986352407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277.18163855179256</v>
      </c>
      <c r="I18" s="718">
        <f>transport!H54</f>
        <v>0</v>
      </c>
      <c r="J18" s="718">
        <f>transport!I54</f>
        <v>0</v>
      </c>
      <c r="K18" s="718">
        <f>transport!J54</f>
        <v>0</v>
      </c>
      <c r="L18" s="718">
        <f>transport!K54</f>
        <v>0</v>
      </c>
      <c r="M18" s="718">
        <f>transport!L54</f>
        <v>0</v>
      </c>
      <c r="N18" s="718">
        <f>transport!M54</f>
        <v>15.742693430226034</v>
      </c>
      <c r="O18" s="718">
        <f>transport!N54</f>
        <v>0</v>
      </c>
      <c r="P18" s="718">
        <f>transport!O54</f>
        <v>0</v>
      </c>
      <c r="Q18" s="719">
        <f>transport!P54</f>
        <v>0</v>
      </c>
      <c r="R18" s="721">
        <f>SUM(C18:Q18)</f>
        <v>292.9243319820186</v>
      </c>
      <c r="S18" s="67"/>
    </row>
    <row r="19" spans="1:19" s="474" customFormat="1" ht="15" thickBot="1">
      <c r="A19" s="870" t="s">
        <v>307</v>
      </c>
      <c r="B19" s="875"/>
      <c r="C19" s="727">
        <f>transport!B14</f>
        <v>50.019232032163757</v>
      </c>
      <c r="D19" s="727">
        <f>transport!C14</f>
        <v>0</v>
      </c>
      <c r="E19" s="727">
        <f>transport!D14</f>
        <v>159.512729913838</v>
      </c>
      <c r="F19" s="727">
        <f>transport!E14</f>
        <v>241.5530722678669</v>
      </c>
      <c r="G19" s="727">
        <f>transport!F14</f>
        <v>0</v>
      </c>
      <c r="H19" s="727">
        <f>transport!G14</f>
        <v>102001.38189132615</v>
      </c>
      <c r="I19" s="727">
        <f>transport!H14</f>
        <v>18462.389897790839</v>
      </c>
      <c r="J19" s="727">
        <f>transport!I14</f>
        <v>0</v>
      </c>
      <c r="K19" s="727">
        <f>transport!J14</f>
        <v>0</v>
      </c>
      <c r="L19" s="727">
        <f>transport!K14</f>
        <v>0</v>
      </c>
      <c r="M19" s="727">
        <f>transport!L14</f>
        <v>0</v>
      </c>
      <c r="N19" s="727">
        <f>transport!M14</f>
        <v>6507.482542443774</v>
      </c>
      <c r="O19" s="727">
        <f>transport!N14</f>
        <v>0</v>
      </c>
      <c r="P19" s="727">
        <f>transport!O14</f>
        <v>0</v>
      </c>
      <c r="Q19" s="728">
        <f>transport!P14</f>
        <v>0</v>
      </c>
      <c r="R19" s="729">
        <f>SUM(C19:Q19)</f>
        <v>127422.33936577463</v>
      </c>
      <c r="S19" s="67"/>
    </row>
    <row r="20" spans="1:19" s="474" customFormat="1" ht="15.75" thickBot="1">
      <c r="A20" s="730" t="s">
        <v>230</v>
      </c>
      <c r="B20" s="878"/>
      <c r="C20" s="873">
        <f>SUM(C17:C19)</f>
        <v>50.019232032163757</v>
      </c>
      <c r="D20" s="731">
        <f t="shared" ref="D20:R20" si="1">SUM(D17:D19)</f>
        <v>0</v>
      </c>
      <c r="E20" s="731">
        <f t="shared" si="1"/>
        <v>159.512729913838</v>
      </c>
      <c r="F20" s="731">
        <f t="shared" si="1"/>
        <v>241.5530722678669</v>
      </c>
      <c r="G20" s="731">
        <f t="shared" si="1"/>
        <v>0</v>
      </c>
      <c r="H20" s="731">
        <f t="shared" si="1"/>
        <v>102278.56352987794</v>
      </c>
      <c r="I20" s="731">
        <f t="shared" si="1"/>
        <v>18462.389897790839</v>
      </c>
      <c r="J20" s="731">
        <f t="shared" si="1"/>
        <v>0</v>
      </c>
      <c r="K20" s="731">
        <f t="shared" si="1"/>
        <v>0</v>
      </c>
      <c r="L20" s="731">
        <f t="shared" si="1"/>
        <v>0</v>
      </c>
      <c r="M20" s="731">
        <f t="shared" si="1"/>
        <v>0</v>
      </c>
      <c r="N20" s="731">
        <f t="shared" si="1"/>
        <v>6523.2252358739997</v>
      </c>
      <c r="O20" s="731">
        <f t="shared" si="1"/>
        <v>0</v>
      </c>
      <c r="P20" s="731">
        <f t="shared" si="1"/>
        <v>0</v>
      </c>
      <c r="Q20" s="732">
        <f t="shared" si="1"/>
        <v>0</v>
      </c>
      <c r="R20" s="733">
        <f t="shared" si="1"/>
        <v>127715.26369775666</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4384.4507241110059</v>
      </c>
      <c r="D22" s="727">
        <f>+landbouw!C8</f>
        <v>0</v>
      </c>
      <c r="E22" s="727">
        <f>+landbouw!D8</f>
        <v>10173.726978624991</v>
      </c>
      <c r="F22" s="727">
        <f>+landbouw!E8</f>
        <v>128.87239843981916</v>
      </c>
      <c r="G22" s="727">
        <f>+landbouw!F8</f>
        <v>18265.384793364872</v>
      </c>
      <c r="H22" s="727">
        <f>+landbouw!G8</f>
        <v>0</v>
      </c>
      <c r="I22" s="727">
        <f>+landbouw!H8</f>
        <v>0</v>
      </c>
      <c r="J22" s="727">
        <f>+landbouw!I8</f>
        <v>0</v>
      </c>
      <c r="K22" s="727">
        <f>+landbouw!J8</f>
        <v>635.21275276657821</v>
      </c>
      <c r="L22" s="727">
        <f>+landbouw!K8</f>
        <v>0</v>
      </c>
      <c r="M22" s="727">
        <f>+landbouw!L8</f>
        <v>0</v>
      </c>
      <c r="N22" s="727">
        <f>+landbouw!M8</f>
        <v>0</v>
      </c>
      <c r="O22" s="727">
        <f>+landbouw!N8</f>
        <v>0</v>
      </c>
      <c r="P22" s="727">
        <f>+landbouw!O8</f>
        <v>0</v>
      </c>
      <c r="Q22" s="728">
        <f>+landbouw!P8</f>
        <v>0</v>
      </c>
      <c r="R22" s="729">
        <f>SUM(C22:Q22)</f>
        <v>33587.647647307269</v>
      </c>
      <c r="S22" s="67"/>
    </row>
    <row r="23" spans="1:19" s="474" customFormat="1" ht="17.25" thickTop="1" thickBot="1">
      <c r="A23" s="734" t="s">
        <v>116</v>
      </c>
      <c r="B23" s="864"/>
      <c r="C23" s="735">
        <f ca="1">C20+C15+C22</f>
        <v>59347.062642730016</v>
      </c>
      <c r="D23" s="735">
        <f t="shared" ref="D23:Q23" ca="1" si="2">D20+D15+D22</f>
        <v>0</v>
      </c>
      <c r="E23" s="735">
        <f t="shared" ca="1" si="2"/>
        <v>119282.2302692641</v>
      </c>
      <c r="F23" s="735">
        <f t="shared" si="2"/>
        <v>7103.0553251505462</v>
      </c>
      <c r="G23" s="735">
        <f t="shared" ca="1" si="2"/>
        <v>23709.201096445275</v>
      </c>
      <c r="H23" s="735">
        <f t="shared" si="2"/>
        <v>102278.56352987794</v>
      </c>
      <c r="I23" s="735">
        <f t="shared" si="2"/>
        <v>18462.389897790839</v>
      </c>
      <c r="J23" s="735">
        <f t="shared" si="2"/>
        <v>0</v>
      </c>
      <c r="K23" s="735">
        <f t="shared" si="2"/>
        <v>8050.8529871744577</v>
      </c>
      <c r="L23" s="735">
        <f t="shared" si="2"/>
        <v>0</v>
      </c>
      <c r="M23" s="735">
        <f t="shared" ca="1" si="2"/>
        <v>0</v>
      </c>
      <c r="N23" s="735">
        <f t="shared" si="2"/>
        <v>6523.2252358739997</v>
      </c>
      <c r="O23" s="735">
        <f t="shared" ca="1" si="2"/>
        <v>18019.986890947512</v>
      </c>
      <c r="P23" s="735">
        <f t="shared" si="2"/>
        <v>278.27333333333337</v>
      </c>
      <c r="Q23" s="736">
        <f t="shared" si="2"/>
        <v>286</v>
      </c>
      <c r="R23" s="737">
        <f ca="1">R20+R15+R22</f>
        <v>363340.84120858798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2889.6003482457768</v>
      </c>
      <c r="D36" s="718">
        <f ca="1">tertiair!C20</f>
        <v>0</v>
      </c>
      <c r="E36" s="718">
        <f ca="1">tertiair!D20</f>
        <v>4139.8836963363992</v>
      </c>
      <c r="F36" s="718">
        <f>tertiair!E20</f>
        <v>40.470645962847193</v>
      </c>
      <c r="G36" s="718">
        <f ca="1">tertiair!F20</f>
        <v>607.68233900685323</v>
      </c>
      <c r="H36" s="718">
        <f>tertiair!G20</f>
        <v>0</v>
      </c>
      <c r="I36" s="718">
        <f>tertiair!H20</f>
        <v>0</v>
      </c>
      <c r="J36" s="718">
        <f>tertiair!I20</f>
        <v>0</v>
      </c>
      <c r="K36" s="718">
        <f>tertiair!J20</f>
        <v>7.0196639950671439E-3</v>
      </c>
      <c r="L36" s="718">
        <f>tertiair!K20</f>
        <v>0</v>
      </c>
      <c r="M36" s="718">
        <f ca="1">tertiair!L20</f>
        <v>0</v>
      </c>
      <c r="N36" s="718">
        <f>tertiair!M20</f>
        <v>0</v>
      </c>
      <c r="O36" s="718">
        <f ca="1">tertiair!N20</f>
        <v>0</v>
      </c>
      <c r="P36" s="718">
        <f>tertiair!O20</f>
        <v>0</v>
      </c>
      <c r="Q36" s="828">
        <f>tertiair!P20</f>
        <v>0</v>
      </c>
      <c r="R36" s="917">
        <f ca="1">SUM(C36:Q36)</f>
        <v>7677.6440492158708</v>
      </c>
    </row>
    <row r="37" spans="1:18">
      <c r="A37" s="885" t="s">
        <v>225</v>
      </c>
      <c r="B37" s="892"/>
      <c r="C37" s="718">
        <f ca="1">huishoudens!B12</f>
        <v>5600.3976547268285</v>
      </c>
      <c r="D37" s="718">
        <f ca="1">huishoudens!C12</f>
        <v>0</v>
      </c>
      <c r="E37" s="718">
        <f>huishoudens!D12</f>
        <v>15924.587611124261</v>
      </c>
      <c r="F37" s="718">
        <f>huishoudens!E12</f>
        <v>1264.2944860408579</v>
      </c>
      <c r="G37" s="718">
        <f>huishoudens!F12</f>
        <v>0</v>
      </c>
      <c r="H37" s="718">
        <f>huishoudens!G12</f>
        <v>0</v>
      </c>
      <c r="I37" s="718">
        <f>huishoudens!H12</f>
        <v>0</v>
      </c>
      <c r="J37" s="718">
        <f>huishoudens!I12</f>
        <v>0</v>
      </c>
      <c r="K37" s="718">
        <f>huishoudens!J12</f>
        <v>2618.7562756177954</v>
      </c>
      <c r="L37" s="718">
        <f>huishoudens!K12</f>
        <v>0</v>
      </c>
      <c r="M37" s="718">
        <f>huishoudens!L12</f>
        <v>0</v>
      </c>
      <c r="N37" s="718">
        <f>huishoudens!M12</f>
        <v>0</v>
      </c>
      <c r="O37" s="718">
        <f>huishoudens!N12</f>
        <v>0</v>
      </c>
      <c r="P37" s="718">
        <f>huishoudens!O12</f>
        <v>0</v>
      </c>
      <c r="Q37" s="828">
        <f>huishoudens!P12</f>
        <v>0</v>
      </c>
      <c r="R37" s="917">
        <f ca="1">SUM(C37:Q37)</f>
        <v>25408.036027509741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2207.7289415348318</v>
      </c>
      <c r="D39" s="718">
        <f ca="1">industrie!C22</f>
        <v>0</v>
      </c>
      <c r="E39" s="718">
        <f>industrie!D22</f>
        <v>1943.2247858058431</v>
      </c>
      <c r="F39" s="718">
        <f>industrie!E22</f>
        <v>223.5418449548242</v>
      </c>
      <c r="G39" s="718">
        <f>industrie!F22</f>
        <v>845.81661391561408</v>
      </c>
      <c r="H39" s="718">
        <f>industrie!G22</f>
        <v>0</v>
      </c>
      <c r="I39" s="718">
        <f>industrie!H22</f>
        <v>0</v>
      </c>
      <c r="J39" s="718">
        <f>industrie!I22</f>
        <v>0</v>
      </c>
      <c r="K39" s="718">
        <f>industrie!J22</f>
        <v>6.3733476985986615</v>
      </c>
      <c r="L39" s="718">
        <f>industrie!K22</f>
        <v>0</v>
      </c>
      <c r="M39" s="718">
        <f>industrie!L22</f>
        <v>0</v>
      </c>
      <c r="N39" s="718">
        <f>industrie!M22</f>
        <v>0</v>
      </c>
      <c r="O39" s="718">
        <f>industrie!N22</f>
        <v>0</v>
      </c>
      <c r="P39" s="718">
        <f>industrie!O22</f>
        <v>0</v>
      </c>
      <c r="Q39" s="828">
        <f>industrie!P22</f>
        <v>0</v>
      </c>
      <c r="R39" s="918">
        <f ca="1">SUM(C39:Q39)</f>
        <v>5226.6855339097119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10697.726944507436</v>
      </c>
      <c r="D41" s="763">
        <f t="shared" ref="D41:R41" ca="1" si="4">SUM(D35:D40)</f>
        <v>0</v>
      </c>
      <c r="E41" s="763">
        <f t="shared" ca="1" si="4"/>
        <v>22007.696093266506</v>
      </c>
      <c r="F41" s="763">
        <f t="shared" si="4"/>
        <v>1528.3069769585293</v>
      </c>
      <c r="G41" s="763">
        <f t="shared" ca="1" si="4"/>
        <v>1453.4989529224672</v>
      </c>
      <c r="H41" s="763">
        <f t="shared" si="4"/>
        <v>0</v>
      </c>
      <c r="I41" s="763">
        <f t="shared" si="4"/>
        <v>0</v>
      </c>
      <c r="J41" s="763">
        <f t="shared" si="4"/>
        <v>0</v>
      </c>
      <c r="K41" s="763">
        <f t="shared" si="4"/>
        <v>2625.1366429803888</v>
      </c>
      <c r="L41" s="763">
        <f t="shared" si="4"/>
        <v>0</v>
      </c>
      <c r="M41" s="763">
        <f t="shared" ca="1" si="4"/>
        <v>0</v>
      </c>
      <c r="N41" s="763">
        <f t="shared" si="4"/>
        <v>0</v>
      </c>
      <c r="O41" s="763">
        <f t="shared" ca="1" si="4"/>
        <v>0</v>
      </c>
      <c r="P41" s="763">
        <f t="shared" si="4"/>
        <v>0</v>
      </c>
      <c r="Q41" s="764">
        <f t="shared" si="4"/>
        <v>0</v>
      </c>
      <c r="R41" s="765">
        <f t="shared" ca="1" si="4"/>
        <v>38312.365610635323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74.007497493328614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74.007497493328614</v>
      </c>
    </row>
    <row r="45" spans="1:18" ht="15" thickBot="1">
      <c r="A45" s="888" t="s">
        <v>307</v>
      </c>
      <c r="B45" s="898"/>
      <c r="C45" s="727">
        <f ca="1">transport!B18</f>
        <v>9.7444331085964428</v>
      </c>
      <c r="D45" s="727">
        <f>transport!C18</f>
        <v>0</v>
      </c>
      <c r="E45" s="727">
        <f>transport!D18</f>
        <v>32.221571442595277</v>
      </c>
      <c r="F45" s="727">
        <f>transport!E18</f>
        <v>54.832547404805787</v>
      </c>
      <c r="G45" s="727">
        <f>transport!F18</f>
        <v>0</v>
      </c>
      <c r="H45" s="727">
        <f>transport!G18</f>
        <v>27234.368964984082</v>
      </c>
      <c r="I45" s="727">
        <f>transport!H18</f>
        <v>4597.1350845499192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31928.302601489999</v>
      </c>
    </row>
    <row r="46" spans="1:18" ht="15.75" thickBot="1">
      <c r="A46" s="886" t="s">
        <v>230</v>
      </c>
      <c r="B46" s="899"/>
      <c r="C46" s="763">
        <f t="shared" ref="C46:R46" ca="1" si="5">SUM(C43:C45)</f>
        <v>9.7444331085964428</v>
      </c>
      <c r="D46" s="763">
        <f t="shared" ca="1" si="5"/>
        <v>0</v>
      </c>
      <c r="E46" s="763">
        <f t="shared" si="5"/>
        <v>32.221571442595277</v>
      </c>
      <c r="F46" s="763">
        <f t="shared" si="5"/>
        <v>54.832547404805787</v>
      </c>
      <c r="G46" s="763">
        <f t="shared" si="5"/>
        <v>0</v>
      </c>
      <c r="H46" s="763">
        <f t="shared" si="5"/>
        <v>27308.376462477408</v>
      </c>
      <c r="I46" s="763">
        <f t="shared" si="5"/>
        <v>4597.1350845499192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32002.310098983326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854.15119471574894</v>
      </c>
      <c r="D48" s="718">
        <f ca="1">+landbouw!C12</f>
        <v>0</v>
      </c>
      <c r="E48" s="718">
        <f>+landbouw!D12</f>
        <v>2055.0928496822485</v>
      </c>
      <c r="F48" s="718">
        <f>+landbouw!E12</f>
        <v>29.254034445838951</v>
      </c>
      <c r="G48" s="718">
        <f>+landbouw!F12</f>
        <v>4876.8577398284215</v>
      </c>
      <c r="H48" s="718">
        <f>+landbouw!G12</f>
        <v>0</v>
      </c>
      <c r="I48" s="718">
        <f>+landbouw!H12</f>
        <v>0</v>
      </c>
      <c r="J48" s="718">
        <f>+landbouw!I12</f>
        <v>0</v>
      </c>
      <c r="K48" s="718">
        <f>+landbouw!J12</f>
        <v>224.86531447936866</v>
      </c>
      <c r="L48" s="718">
        <f>+landbouw!K12</f>
        <v>0</v>
      </c>
      <c r="M48" s="718">
        <f>+landbouw!L12</f>
        <v>0</v>
      </c>
      <c r="N48" s="718">
        <f>+landbouw!M12</f>
        <v>0</v>
      </c>
      <c r="O48" s="718">
        <f>+landbouw!N12</f>
        <v>0</v>
      </c>
      <c r="P48" s="718">
        <f>+landbouw!O12</f>
        <v>0</v>
      </c>
      <c r="Q48" s="719">
        <f>+landbouw!P12</f>
        <v>0</v>
      </c>
      <c r="R48" s="761">
        <f ca="1">SUM(C48:Q48)</f>
        <v>8040.2211331516273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11561.622572331782</v>
      </c>
      <c r="D53" s="773">
        <f t="shared" ref="D53:Q53" ca="1" si="6">D41+D46+D48</f>
        <v>0</v>
      </c>
      <c r="E53" s="773">
        <f t="shared" ca="1" si="6"/>
        <v>24095.01051439135</v>
      </c>
      <c r="F53" s="773">
        <f t="shared" si="6"/>
        <v>1612.393558809174</v>
      </c>
      <c r="G53" s="773">
        <f t="shared" ca="1" si="6"/>
        <v>6330.3566927508891</v>
      </c>
      <c r="H53" s="773">
        <f t="shared" si="6"/>
        <v>27308.376462477408</v>
      </c>
      <c r="I53" s="773">
        <f t="shared" si="6"/>
        <v>4597.1350845499192</v>
      </c>
      <c r="J53" s="773">
        <f t="shared" si="6"/>
        <v>0</v>
      </c>
      <c r="K53" s="773">
        <f t="shared" si="6"/>
        <v>2850.0019574597577</v>
      </c>
      <c r="L53" s="773">
        <f t="shared" si="6"/>
        <v>0</v>
      </c>
      <c r="M53" s="773">
        <f t="shared" ca="1" si="6"/>
        <v>0</v>
      </c>
      <c r="N53" s="773">
        <f t="shared" si="6"/>
        <v>0</v>
      </c>
      <c r="O53" s="773">
        <f t="shared" ca="1" si="6"/>
        <v>0</v>
      </c>
      <c r="P53" s="773">
        <f>P41+P46+P48</f>
        <v>0</v>
      </c>
      <c r="Q53" s="774">
        <f t="shared" si="6"/>
        <v>0</v>
      </c>
      <c r="R53" s="775">
        <f ca="1">R41+R46+R48</f>
        <v>78354.896842770278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0.19481372889392826</v>
      </c>
      <c r="D55" s="836">
        <f t="shared" ca="1" si="7"/>
        <v>0</v>
      </c>
      <c r="E55" s="836">
        <f t="shared" ca="1" si="7"/>
        <v>0.20200000000000001</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7032.0283787853041</v>
      </c>
      <c r="C66" s="795">
        <f>'lokale energieproductie'!B6</f>
        <v>7032.0283787853041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7032.0283787853041</v>
      </c>
      <c r="C69" s="803">
        <f>SUM(C64:C68)</f>
        <v>7032.0283787853041</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28747.448583442085</v>
      </c>
      <c r="C4" s="478">
        <f>huishoudens!C8</f>
        <v>0</v>
      </c>
      <c r="D4" s="478">
        <f>huishoudens!D8</f>
        <v>78834.592134278515</v>
      </c>
      <c r="E4" s="478">
        <f>huishoudens!E8</f>
        <v>5569.5792336601671</v>
      </c>
      <c r="F4" s="478">
        <f>huishoudens!F8</f>
        <v>0</v>
      </c>
      <c r="G4" s="478">
        <f>huishoudens!G8</f>
        <v>0</v>
      </c>
      <c r="H4" s="478">
        <f>huishoudens!H8</f>
        <v>0</v>
      </c>
      <c r="I4" s="478">
        <f>huishoudens!I8</f>
        <v>0</v>
      </c>
      <c r="J4" s="478">
        <f>huishoudens!J8</f>
        <v>7397.6165977903829</v>
      </c>
      <c r="K4" s="478">
        <f>huishoudens!K8</f>
        <v>0</v>
      </c>
      <c r="L4" s="478">
        <f>huishoudens!L8</f>
        <v>0</v>
      </c>
      <c r="M4" s="478">
        <f>huishoudens!M8</f>
        <v>0</v>
      </c>
      <c r="N4" s="478">
        <f>huishoudens!N8</f>
        <v>15058.120115257203</v>
      </c>
      <c r="O4" s="478">
        <f>huishoudens!O8</f>
        <v>275.1466666666667</v>
      </c>
      <c r="P4" s="479">
        <f>huishoudens!P8</f>
        <v>266.93333333333334</v>
      </c>
      <c r="Q4" s="480">
        <f>SUM(B4:P4)</f>
        <v>136149.43666442836</v>
      </c>
    </row>
    <row r="5" spans="1:17">
      <c r="A5" s="477" t="s">
        <v>156</v>
      </c>
      <c r="B5" s="478">
        <f ca="1">tertiair!B16</f>
        <v>13548.753994940664</v>
      </c>
      <c r="C5" s="478">
        <f ca="1">tertiair!C16</f>
        <v>0</v>
      </c>
      <c r="D5" s="478">
        <f ca="1">tertiair!D16</f>
        <v>20494.4737442396</v>
      </c>
      <c r="E5" s="478">
        <f>tertiair!E16</f>
        <v>178.28478397730041</v>
      </c>
      <c r="F5" s="478">
        <f ca="1">tertiair!F16</f>
        <v>2275.9638165050683</v>
      </c>
      <c r="G5" s="478">
        <f>tertiair!G16</f>
        <v>0</v>
      </c>
      <c r="H5" s="478">
        <f>tertiair!H16</f>
        <v>0</v>
      </c>
      <c r="I5" s="478">
        <f>tertiair!I16</f>
        <v>0</v>
      </c>
      <c r="J5" s="478">
        <f>tertiair!J16</f>
        <v>1.9829559308099279E-2</v>
      </c>
      <c r="K5" s="478">
        <f>tertiair!K16</f>
        <v>0</v>
      </c>
      <c r="L5" s="478">
        <f ca="1">tertiair!L16</f>
        <v>0</v>
      </c>
      <c r="M5" s="478">
        <f>tertiair!M16</f>
        <v>0</v>
      </c>
      <c r="N5" s="478">
        <f ca="1">tertiair!N16</f>
        <v>797.73527881169196</v>
      </c>
      <c r="O5" s="478">
        <f>tertiair!O16</f>
        <v>3.1266666666666669</v>
      </c>
      <c r="P5" s="479">
        <f>tertiair!P16</f>
        <v>19.066666666666666</v>
      </c>
      <c r="Q5" s="477">
        <f t="shared" ref="Q5:Q13" ca="1" si="0">SUM(B5:P5)</f>
        <v>37317.424781366964</v>
      </c>
    </row>
    <row r="6" spans="1:17">
      <c r="A6" s="477" t="s">
        <v>194</v>
      </c>
      <c r="B6" s="478">
        <f>'openbare verlichting'!B8</f>
        <v>1283.8779999999999</v>
      </c>
      <c r="C6" s="478"/>
      <c r="D6" s="478"/>
      <c r="E6" s="478"/>
      <c r="F6" s="478"/>
      <c r="G6" s="478"/>
      <c r="H6" s="478"/>
      <c r="I6" s="478"/>
      <c r="J6" s="478"/>
      <c r="K6" s="478"/>
      <c r="L6" s="478"/>
      <c r="M6" s="478"/>
      <c r="N6" s="478"/>
      <c r="O6" s="478"/>
      <c r="P6" s="479"/>
      <c r="Q6" s="477">
        <f t="shared" si="0"/>
        <v>1283.8779999999999</v>
      </c>
    </row>
    <row r="7" spans="1:17">
      <c r="A7" s="477" t="s">
        <v>112</v>
      </c>
      <c r="B7" s="478">
        <f>landbouw!B8</f>
        <v>4384.4507241110059</v>
      </c>
      <c r="C7" s="478">
        <f>landbouw!C8</f>
        <v>0</v>
      </c>
      <c r="D7" s="478">
        <f>landbouw!D8</f>
        <v>10173.726978624991</v>
      </c>
      <c r="E7" s="478">
        <f>landbouw!E8</f>
        <v>128.87239843981916</v>
      </c>
      <c r="F7" s="478">
        <f>landbouw!F8</f>
        <v>18265.384793364872</v>
      </c>
      <c r="G7" s="478">
        <f>landbouw!G8</f>
        <v>0</v>
      </c>
      <c r="H7" s="478">
        <f>landbouw!H8</f>
        <v>0</v>
      </c>
      <c r="I7" s="478">
        <f>landbouw!I8</f>
        <v>0</v>
      </c>
      <c r="J7" s="478">
        <f>landbouw!J8</f>
        <v>635.21275276657821</v>
      </c>
      <c r="K7" s="478">
        <f>landbouw!K8</f>
        <v>0</v>
      </c>
      <c r="L7" s="478">
        <f>landbouw!L8</f>
        <v>0</v>
      </c>
      <c r="M7" s="478">
        <f>landbouw!M8</f>
        <v>0</v>
      </c>
      <c r="N7" s="478">
        <f>landbouw!N8</f>
        <v>0</v>
      </c>
      <c r="O7" s="478">
        <f>landbouw!O8</f>
        <v>0</v>
      </c>
      <c r="P7" s="479">
        <f>landbouw!P8</f>
        <v>0</v>
      </c>
      <c r="Q7" s="477">
        <f t="shared" si="0"/>
        <v>33587.647647307269</v>
      </c>
    </row>
    <row r="8" spans="1:17">
      <c r="A8" s="477" t="s">
        <v>635</v>
      </c>
      <c r="B8" s="478">
        <f>industrie!B18</f>
        <v>11332.512108204095</v>
      </c>
      <c r="C8" s="478">
        <f>industrie!C18</f>
        <v>0</v>
      </c>
      <c r="D8" s="478">
        <f>industrie!D18</f>
        <v>9619.9246822071436</v>
      </c>
      <c r="E8" s="478">
        <f>industrie!E18</f>
        <v>984.76583680539295</v>
      </c>
      <c r="F8" s="478">
        <f>industrie!F18</f>
        <v>3167.8524865753334</v>
      </c>
      <c r="G8" s="478">
        <f>industrie!G18</f>
        <v>0</v>
      </c>
      <c r="H8" s="478">
        <f>industrie!H18</f>
        <v>0</v>
      </c>
      <c r="I8" s="478">
        <f>industrie!I18</f>
        <v>0</v>
      </c>
      <c r="J8" s="478">
        <f>industrie!J18</f>
        <v>18.003807058188311</v>
      </c>
      <c r="K8" s="478">
        <f>industrie!K18</f>
        <v>0</v>
      </c>
      <c r="L8" s="478">
        <f>industrie!L18</f>
        <v>0</v>
      </c>
      <c r="M8" s="478">
        <f>industrie!M18</f>
        <v>0</v>
      </c>
      <c r="N8" s="478">
        <f>industrie!N18</f>
        <v>2164.1314968786173</v>
      </c>
      <c r="O8" s="478">
        <f>industrie!O18</f>
        <v>0</v>
      </c>
      <c r="P8" s="479">
        <f>industrie!P18</f>
        <v>0</v>
      </c>
      <c r="Q8" s="477">
        <f t="shared" si="0"/>
        <v>27287.190417728765</v>
      </c>
    </row>
    <row r="9" spans="1:17" s="483" customFormat="1">
      <c r="A9" s="481" t="s">
        <v>561</v>
      </c>
      <c r="B9" s="482">
        <f>transport!B14</f>
        <v>50.019232032163757</v>
      </c>
      <c r="C9" s="482"/>
      <c r="D9" s="482">
        <f>transport!D14</f>
        <v>159.512729913838</v>
      </c>
      <c r="E9" s="482">
        <f>transport!E14</f>
        <v>241.5530722678669</v>
      </c>
      <c r="F9" s="482"/>
      <c r="G9" s="482">
        <f>transport!G14</f>
        <v>102001.38189132615</v>
      </c>
      <c r="H9" s="482">
        <f>transport!H14</f>
        <v>18462.389897790839</v>
      </c>
      <c r="I9" s="482"/>
      <c r="J9" s="482"/>
      <c r="K9" s="482"/>
      <c r="L9" s="482"/>
      <c r="M9" s="482">
        <f>transport!M14</f>
        <v>6507.482542443774</v>
      </c>
      <c r="N9" s="482"/>
      <c r="O9" s="482"/>
      <c r="P9" s="482"/>
      <c r="Q9" s="481">
        <f>SUM(B9:P9)</f>
        <v>127422.33936577463</v>
      </c>
    </row>
    <row r="10" spans="1:17">
      <c r="A10" s="477" t="s">
        <v>551</v>
      </c>
      <c r="B10" s="478">
        <f>transport!B54</f>
        <v>0</v>
      </c>
      <c r="C10" s="478"/>
      <c r="D10" s="478">
        <f>transport!D54</f>
        <v>0</v>
      </c>
      <c r="E10" s="478"/>
      <c r="F10" s="478"/>
      <c r="G10" s="478">
        <f>transport!G54</f>
        <v>277.18163855179256</v>
      </c>
      <c r="H10" s="478"/>
      <c r="I10" s="478"/>
      <c r="J10" s="478"/>
      <c r="K10" s="478"/>
      <c r="L10" s="478"/>
      <c r="M10" s="478">
        <f>transport!M54</f>
        <v>15.742693430226034</v>
      </c>
      <c r="N10" s="478"/>
      <c r="O10" s="478"/>
      <c r="P10" s="479"/>
      <c r="Q10" s="477">
        <f t="shared" si="0"/>
        <v>292.9243319820186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59347.062642730009</v>
      </c>
      <c r="C14" s="488">
        <f t="shared" ref="C14:Q14" ca="1" si="1">SUM(C4:C13)</f>
        <v>0</v>
      </c>
      <c r="D14" s="488">
        <f t="shared" ca="1" si="1"/>
        <v>119282.2302692641</v>
      </c>
      <c r="E14" s="488">
        <f t="shared" si="1"/>
        <v>7103.0553251505462</v>
      </c>
      <c r="F14" s="488">
        <f t="shared" ca="1" si="1"/>
        <v>23709.201096445271</v>
      </c>
      <c r="G14" s="488">
        <f t="shared" si="1"/>
        <v>102278.56352987794</v>
      </c>
      <c r="H14" s="488">
        <f t="shared" si="1"/>
        <v>18462.389897790839</v>
      </c>
      <c r="I14" s="488">
        <f t="shared" si="1"/>
        <v>0</v>
      </c>
      <c r="J14" s="488">
        <f t="shared" si="1"/>
        <v>8050.8529871744577</v>
      </c>
      <c r="K14" s="488">
        <f t="shared" si="1"/>
        <v>0</v>
      </c>
      <c r="L14" s="488">
        <f t="shared" ca="1" si="1"/>
        <v>0</v>
      </c>
      <c r="M14" s="488">
        <f t="shared" si="1"/>
        <v>6523.2252358739997</v>
      </c>
      <c r="N14" s="488">
        <f t="shared" ca="1" si="1"/>
        <v>18019.986890947512</v>
      </c>
      <c r="O14" s="488">
        <f t="shared" si="1"/>
        <v>278.27333333333337</v>
      </c>
      <c r="P14" s="489">
        <f t="shared" si="1"/>
        <v>286</v>
      </c>
      <c r="Q14" s="489">
        <f t="shared" ca="1" si="1"/>
        <v>363340.84120858804</v>
      </c>
    </row>
    <row r="16" spans="1:17">
      <c r="A16" s="491" t="s">
        <v>556</v>
      </c>
      <c r="B16" s="841">
        <f ca="1">huishoudens!B10</f>
        <v>0.19481372889392826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5600.3976547268285</v>
      </c>
      <c r="C21" s="478">
        <f t="shared" ref="C21:C28" ca="1" si="3">C4*$C$16</f>
        <v>0</v>
      </c>
      <c r="D21" s="478">
        <f t="shared" ref="D21:D30" si="4">D4*$D$16</f>
        <v>15924.587611124261</v>
      </c>
      <c r="E21" s="478">
        <f t="shared" ref="E21:E30" si="5">E4*$E$16</f>
        <v>1264.2944860408579</v>
      </c>
      <c r="F21" s="478">
        <f t="shared" ref="F21:F28" si="6">F4*$F$16</f>
        <v>0</v>
      </c>
      <c r="G21" s="478">
        <f t="shared" ref="G21:G30" si="7">G4*$G$16</f>
        <v>0</v>
      </c>
      <c r="H21" s="478">
        <f t="shared" ref="H21:H30" si="8">H4*$H$16</f>
        <v>0</v>
      </c>
      <c r="I21" s="478">
        <f t="shared" ref="I21:I28" si="9">I4*$I$16</f>
        <v>0</v>
      </c>
      <c r="J21" s="478">
        <f t="shared" ref="J21:J28" si="10">J4*$J$16</f>
        <v>2618.7562756177954</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25408.036027509741</v>
      </c>
    </row>
    <row r="22" spans="1:17">
      <c r="A22" s="477" t="s">
        <v>156</v>
      </c>
      <c r="B22" s="478">
        <f t="shared" ca="1" si="2"/>
        <v>2639.483287620898</v>
      </c>
      <c r="C22" s="478">
        <f t="shared" ca="1" si="3"/>
        <v>0</v>
      </c>
      <c r="D22" s="478">
        <f t="shared" ca="1" si="4"/>
        <v>4139.8836963363992</v>
      </c>
      <c r="E22" s="478">
        <f t="shared" si="5"/>
        <v>40.470645962847193</v>
      </c>
      <c r="F22" s="478">
        <f t="shared" ca="1" si="6"/>
        <v>607.68233900685323</v>
      </c>
      <c r="G22" s="478">
        <f t="shared" si="7"/>
        <v>0</v>
      </c>
      <c r="H22" s="478">
        <f t="shared" si="8"/>
        <v>0</v>
      </c>
      <c r="I22" s="478">
        <f t="shared" si="9"/>
        <v>0</v>
      </c>
      <c r="J22" s="478">
        <f t="shared" si="10"/>
        <v>7.0196639950671439E-3</v>
      </c>
      <c r="K22" s="478">
        <f t="shared" si="11"/>
        <v>0</v>
      </c>
      <c r="L22" s="478">
        <f t="shared" ca="1" si="12"/>
        <v>0</v>
      </c>
      <c r="M22" s="478">
        <f t="shared" si="13"/>
        <v>0</v>
      </c>
      <c r="N22" s="478">
        <f t="shared" ca="1" si="14"/>
        <v>0</v>
      </c>
      <c r="O22" s="478">
        <f t="shared" si="15"/>
        <v>0</v>
      </c>
      <c r="P22" s="479">
        <f t="shared" si="16"/>
        <v>0</v>
      </c>
      <c r="Q22" s="477">
        <f t="shared" ref="Q22:Q30" ca="1" si="17">SUM(B22:P22)</f>
        <v>7427.5269885909929</v>
      </c>
    </row>
    <row r="23" spans="1:17">
      <c r="A23" s="477" t="s">
        <v>194</v>
      </c>
      <c r="B23" s="478">
        <f t="shared" ca="1" si="2"/>
        <v>250.1170606248788</v>
      </c>
      <c r="C23" s="478"/>
      <c r="D23" s="478"/>
      <c r="E23" s="478"/>
      <c r="F23" s="478"/>
      <c r="G23" s="478"/>
      <c r="H23" s="478"/>
      <c r="I23" s="478"/>
      <c r="J23" s="478"/>
      <c r="K23" s="478"/>
      <c r="L23" s="478"/>
      <c r="M23" s="478"/>
      <c r="N23" s="478"/>
      <c r="O23" s="478"/>
      <c r="P23" s="479"/>
      <c r="Q23" s="477">
        <f t="shared" ca="1" si="17"/>
        <v>250.1170606248788</v>
      </c>
    </row>
    <row r="24" spans="1:17">
      <c r="A24" s="477" t="s">
        <v>112</v>
      </c>
      <c r="B24" s="478">
        <f t="shared" ca="1" si="2"/>
        <v>854.15119471574894</v>
      </c>
      <c r="C24" s="478">
        <f t="shared" ca="1" si="3"/>
        <v>0</v>
      </c>
      <c r="D24" s="478">
        <f t="shared" si="4"/>
        <v>2055.0928496822485</v>
      </c>
      <c r="E24" s="478">
        <f t="shared" si="5"/>
        <v>29.254034445838951</v>
      </c>
      <c r="F24" s="478">
        <f t="shared" si="6"/>
        <v>4876.8577398284215</v>
      </c>
      <c r="G24" s="478">
        <f t="shared" si="7"/>
        <v>0</v>
      </c>
      <c r="H24" s="478">
        <f t="shared" si="8"/>
        <v>0</v>
      </c>
      <c r="I24" s="478">
        <f t="shared" si="9"/>
        <v>0</v>
      </c>
      <c r="J24" s="478">
        <f t="shared" si="10"/>
        <v>224.86531447936866</v>
      </c>
      <c r="K24" s="478">
        <f t="shared" si="11"/>
        <v>0</v>
      </c>
      <c r="L24" s="478">
        <f t="shared" si="12"/>
        <v>0</v>
      </c>
      <c r="M24" s="478">
        <f t="shared" si="13"/>
        <v>0</v>
      </c>
      <c r="N24" s="478">
        <f t="shared" si="14"/>
        <v>0</v>
      </c>
      <c r="O24" s="478">
        <f t="shared" si="15"/>
        <v>0</v>
      </c>
      <c r="P24" s="479">
        <f t="shared" si="16"/>
        <v>0</v>
      </c>
      <c r="Q24" s="477">
        <f t="shared" ca="1" si="17"/>
        <v>8040.2211331516273</v>
      </c>
    </row>
    <row r="25" spans="1:17">
      <c r="A25" s="477" t="s">
        <v>635</v>
      </c>
      <c r="B25" s="478">
        <f t="shared" ca="1" si="2"/>
        <v>2207.7289415348318</v>
      </c>
      <c r="C25" s="478">
        <f t="shared" ca="1" si="3"/>
        <v>0</v>
      </c>
      <c r="D25" s="478">
        <f t="shared" si="4"/>
        <v>1943.2247858058431</v>
      </c>
      <c r="E25" s="478">
        <f t="shared" si="5"/>
        <v>223.5418449548242</v>
      </c>
      <c r="F25" s="478">
        <f t="shared" si="6"/>
        <v>845.81661391561408</v>
      </c>
      <c r="G25" s="478">
        <f t="shared" si="7"/>
        <v>0</v>
      </c>
      <c r="H25" s="478">
        <f t="shared" si="8"/>
        <v>0</v>
      </c>
      <c r="I25" s="478">
        <f t="shared" si="9"/>
        <v>0</v>
      </c>
      <c r="J25" s="478">
        <f t="shared" si="10"/>
        <v>6.3733476985986615</v>
      </c>
      <c r="K25" s="478">
        <f t="shared" si="11"/>
        <v>0</v>
      </c>
      <c r="L25" s="478">
        <f t="shared" si="12"/>
        <v>0</v>
      </c>
      <c r="M25" s="478">
        <f t="shared" si="13"/>
        <v>0</v>
      </c>
      <c r="N25" s="478">
        <f t="shared" si="14"/>
        <v>0</v>
      </c>
      <c r="O25" s="478">
        <f t="shared" si="15"/>
        <v>0</v>
      </c>
      <c r="P25" s="479">
        <f t="shared" si="16"/>
        <v>0</v>
      </c>
      <c r="Q25" s="477">
        <f t="shared" ca="1" si="17"/>
        <v>5226.6855339097119</v>
      </c>
    </row>
    <row r="26" spans="1:17" s="483" customFormat="1">
      <c r="A26" s="481" t="s">
        <v>561</v>
      </c>
      <c r="B26" s="835">
        <f t="shared" ca="1" si="2"/>
        <v>9.7444331085964428</v>
      </c>
      <c r="C26" s="482"/>
      <c r="D26" s="482">
        <f t="shared" si="4"/>
        <v>32.221571442595277</v>
      </c>
      <c r="E26" s="482">
        <f t="shared" si="5"/>
        <v>54.832547404805787</v>
      </c>
      <c r="F26" s="482"/>
      <c r="G26" s="482">
        <f t="shared" si="7"/>
        <v>27234.368964984082</v>
      </c>
      <c r="H26" s="482">
        <f t="shared" si="8"/>
        <v>4597.1350845499192</v>
      </c>
      <c r="I26" s="482"/>
      <c r="J26" s="482"/>
      <c r="K26" s="482"/>
      <c r="L26" s="482"/>
      <c r="M26" s="482">
        <f t="shared" si="13"/>
        <v>0</v>
      </c>
      <c r="N26" s="482"/>
      <c r="O26" s="482"/>
      <c r="P26" s="493"/>
      <c r="Q26" s="481">
        <f t="shared" ca="1" si="17"/>
        <v>31928.302601489999</v>
      </c>
    </row>
    <row r="27" spans="1:17">
      <c r="A27" s="477" t="s">
        <v>551</v>
      </c>
      <c r="B27" s="478">
        <f t="shared" ca="1" si="2"/>
        <v>0</v>
      </c>
      <c r="C27" s="478"/>
      <c r="D27" s="482">
        <f t="shared" si="4"/>
        <v>0</v>
      </c>
      <c r="E27" s="478"/>
      <c r="F27" s="478"/>
      <c r="G27" s="478">
        <f t="shared" si="7"/>
        <v>74.007497493328614</v>
      </c>
      <c r="H27" s="478"/>
      <c r="I27" s="478"/>
      <c r="J27" s="478"/>
      <c r="K27" s="478"/>
      <c r="L27" s="478"/>
      <c r="M27" s="478">
        <f t="shared" si="13"/>
        <v>0</v>
      </c>
      <c r="N27" s="478"/>
      <c r="O27" s="478"/>
      <c r="P27" s="479"/>
      <c r="Q27" s="477">
        <f t="shared" ca="1" si="17"/>
        <v>74.007497493328614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11561.622572331782</v>
      </c>
      <c r="C31" s="488">
        <f t="shared" ca="1" si="18"/>
        <v>0</v>
      </c>
      <c r="D31" s="488">
        <f t="shared" ca="1" si="18"/>
        <v>24095.01051439135</v>
      </c>
      <c r="E31" s="488">
        <f t="shared" si="18"/>
        <v>1612.393558809174</v>
      </c>
      <c r="F31" s="488">
        <f t="shared" ca="1" si="18"/>
        <v>6330.3566927508882</v>
      </c>
      <c r="G31" s="488">
        <f t="shared" si="18"/>
        <v>27308.376462477408</v>
      </c>
      <c r="H31" s="488">
        <f t="shared" si="18"/>
        <v>4597.1350845499192</v>
      </c>
      <c r="I31" s="488">
        <f t="shared" si="18"/>
        <v>0</v>
      </c>
      <c r="J31" s="488">
        <f t="shared" si="18"/>
        <v>2850.0019574597577</v>
      </c>
      <c r="K31" s="488">
        <f t="shared" si="18"/>
        <v>0</v>
      </c>
      <c r="L31" s="488">
        <f t="shared" ca="1" si="18"/>
        <v>0</v>
      </c>
      <c r="M31" s="488">
        <f t="shared" si="18"/>
        <v>0</v>
      </c>
      <c r="N31" s="488">
        <f t="shared" ca="1" si="18"/>
        <v>0</v>
      </c>
      <c r="O31" s="488">
        <f t="shared" si="18"/>
        <v>0</v>
      </c>
      <c r="P31" s="489">
        <f t="shared" si="18"/>
        <v>0</v>
      </c>
      <c r="Q31" s="489">
        <f t="shared" ca="1" si="18"/>
        <v>78354.896842770278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0.19481372889392826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0.19481372889392826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0.19481372889392826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33029</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7733</v>
      </c>
      <c r="C9" s="342">
        <v>7753</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3037.33</v>
      </c>
    </row>
    <row r="15" spans="1:6">
      <c r="A15" s="348" t="s">
        <v>184</v>
      </c>
      <c r="B15" s="334">
        <v>967</v>
      </c>
    </row>
    <row r="16" spans="1:6">
      <c r="A16" s="348" t="s">
        <v>6</v>
      </c>
      <c r="B16" s="334">
        <v>1337</v>
      </c>
    </row>
    <row r="17" spans="1:6">
      <c r="A17" s="348" t="s">
        <v>7</v>
      </c>
      <c r="B17" s="334">
        <v>1070</v>
      </c>
    </row>
    <row r="18" spans="1:6">
      <c r="A18" s="348" t="s">
        <v>8</v>
      </c>
      <c r="B18" s="334">
        <v>1525</v>
      </c>
    </row>
    <row r="19" spans="1:6">
      <c r="A19" s="348" t="s">
        <v>9</v>
      </c>
      <c r="B19" s="334">
        <v>1450</v>
      </c>
    </row>
    <row r="20" spans="1:6">
      <c r="A20" s="348" t="s">
        <v>10</v>
      </c>
      <c r="B20" s="334">
        <v>906</v>
      </c>
    </row>
    <row r="21" spans="1:6">
      <c r="A21" s="348" t="s">
        <v>11</v>
      </c>
      <c r="B21" s="334">
        <v>9500</v>
      </c>
    </row>
    <row r="22" spans="1:6">
      <c r="A22" s="348" t="s">
        <v>12</v>
      </c>
      <c r="B22" s="334">
        <v>23267</v>
      </c>
    </row>
    <row r="23" spans="1:6">
      <c r="A23" s="348" t="s">
        <v>13</v>
      </c>
      <c r="B23" s="334">
        <v>442</v>
      </c>
    </row>
    <row r="24" spans="1:6">
      <c r="A24" s="348" t="s">
        <v>14</v>
      </c>
      <c r="B24" s="334">
        <v>15</v>
      </c>
    </row>
    <row r="25" spans="1:6">
      <c r="A25" s="348" t="s">
        <v>15</v>
      </c>
      <c r="B25" s="334">
        <v>2192</v>
      </c>
    </row>
    <row r="26" spans="1:6">
      <c r="A26" s="348" t="s">
        <v>16</v>
      </c>
      <c r="B26" s="334">
        <v>171</v>
      </c>
    </row>
    <row r="27" spans="1:6">
      <c r="A27" s="348" t="s">
        <v>17</v>
      </c>
      <c r="B27" s="334">
        <v>4</v>
      </c>
    </row>
    <row r="28" spans="1:6" s="356" customFormat="1">
      <c r="A28" s="355" t="s">
        <v>18</v>
      </c>
      <c r="B28" s="355">
        <v>362588</v>
      </c>
    </row>
    <row r="29" spans="1:6">
      <c r="A29" s="355" t="s">
        <v>744</v>
      </c>
      <c r="B29" s="355">
        <v>155</v>
      </c>
      <c r="C29" s="356"/>
      <c r="D29" s="356"/>
      <c r="E29" s="356"/>
      <c r="F29" s="356"/>
    </row>
    <row r="30" spans="1:6">
      <c r="A30" s="341" t="s">
        <v>745</v>
      </c>
      <c r="B30" s="341">
        <v>12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11103.967256657499</v>
      </c>
    </row>
    <row r="37" spans="1:6">
      <c r="A37" s="348" t="s">
        <v>25</v>
      </c>
      <c r="B37" s="348" t="s">
        <v>28</v>
      </c>
      <c r="C37" s="334">
        <v>0</v>
      </c>
      <c r="D37" s="334">
        <v>0</v>
      </c>
      <c r="E37" s="334">
        <v>0</v>
      </c>
      <c r="F37" s="334">
        <v>0</v>
      </c>
    </row>
    <row r="38" spans="1:6">
      <c r="A38" s="348" t="s">
        <v>25</v>
      </c>
      <c r="B38" s="348" t="s">
        <v>29</v>
      </c>
      <c r="C38" s="334">
        <v>0</v>
      </c>
      <c r="D38" s="334">
        <v>0</v>
      </c>
      <c r="E38" s="334">
        <v>1</v>
      </c>
      <c r="F38" s="334">
        <v>86019.850173090002</v>
      </c>
    </row>
    <row r="39" spans="1:6">
      <c r="A39" s="348" t="s">
        <v>30</v>
      </c>
      <c r="B39" s="348" t="s">
        <v>31</v>
      </c>
      <c r="C39" s="334">
        <v>6087</v>
      </c>
      <c r="D39" s="334">
        <v>87399769.550197899</v>
      </c>
      <c r="E39" s="334">
        <v>7505</v>
      </c>
      <c r="F39" s="334">
        <v>25163103.914493501</v>
      </c>
    </row>
    <row r="40" spans="1:6">
      <c r="A40" s="348" t="s">
        <v>30</v>
      </c>
      <c r="B40" s="348" t="s">
        <v>29</v>
      </c>
      <c r="C40" s="334">
        <v>0</v>
      </c>
      <c r="D40" s="334">
        <v>0</v>
      </c>
      <c r="E40" s="334">
        <v>0</v>
      </c>
      <c r="F40" s="334">
        <v>0</v>
      </c>
    </row>
    <row r="41" spans="1:6">
      <c r="A41" s="348" t="s">
        <v>32</v>
      </c>
      <c r="B41" s="348" t="s">
        <v>33</v>
      </c>
      <c r="C41" s="334">
        <v>63</v>
      </c>
      <c r="D41" s="334">
        <v>1300689.3834645101</v>
      </c>
      <c r="E41" s="334">
        <v>150</v>
      </c>
      <c r="F41" s="334">
        <v>2381800.5605164398</v>
      </c>
    </row>
    <row r="42" spans="1:6">
      <c r="A42" s="348" t="s">
        <v>32</v>
      </c>
      <c r="B42" s="348" t="s">
        <v>34</v>
      </c>
      <c r="C42" s="334">
        <v>0</v>
      </c>
      <c r="D42" s="334">
        <v>0</v>
      </c>
      <c r="E42" s="334">
        <v>3</v>
      </c>
      <c r="F42" s="334">
        <v>43833.1897341078</v>
      </c>
    </row>
    <row r="43" spans="1:6">
      <c r="A43" s="348" t="s">
        <v>32</v>
      </c>
      <c r="B43" s="348" t="s">
        <v>35</v>
      </c>
      <c r="C43" s="334">
        <v>0</v>
      </c>
      <c r="D43" s="334">
        <v>0</v>
      </c>
      <c r="E43" s="334">
        <v>0</v>
      </c>
      <c r="F43" s="334">
        <v>0</v>
      </c>
    </row>
    <row r="44" spans="1:6">
      <c r="A44" s="348" t="s">
        <v>32</v>
      </c>
      <c r="B44" s="348" t="s">
        <v>36</v>
      </c>
      <c r="C44" s="334">
        <v>3</v>
      </c>
      <c r="D44" s="334">
        <v>20800.436654940801</v>
      </c>
      <c r="E44" s="334">
        <v>17</v>
      </c>
      <c r="F44" s="334">
        <v>356762.94052583701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28</v>
      </c>
      <c r="D48" s="334">
        <v>8299776.1533790398</v>
      </c>
      <c r="E48" s="334">
        <v>32</v>
      </c>
      <c r="F48" s="334">
        <v>5029023.09726803</v>
      </c>
    </row>
    <row r="49" spans="1:6">
      <c r="A49" s="348" t="s">
        <v>32</v>
      </c>
      <c r="B49" s="348" t="s">
        <v>40</v>
      </c>
      <c r="C49" s="334">
        <v>0</v>
      </c>
      <c r="D49" s="334">
        <v>0</v>
      </c>
      <c r="E49" s="334">
        <v>0</v>
      </c>
      <c r="F49" s="334">
        <v>0</v>
      </c>
    </row>
    <row r="50" spans="1:6">
      <c r="A50" s="348" t="s">
        <v>32</v>
      </c>
      <c r="B50" s="348" t="s">
        <v>41</v>
      </c>
      <c r="C50" s="334">
        <v>9</v>
      </c>
      <c r="D50" s="334">
        <v>1043838.99568903</v>
      </c>
      <c r="E50" s="334">
        <v>14</v>
      </c>
      <c r="F50" s="334">
        <v>3521092.3201596802</v>
      </c>
    </row>
    <row r="51" spans="1:6">
      <c r="A51" s="348" t="s">
        <v>42</v>
      </c>
      <c r="B51" s="348" t="s">
        <v>43</v>
      </c>
      <c r="C51" s="334">
        <v>5</v>
      </c>
      <c r="D51" s="334">
        <v>351830.51304329699</v>
      </c>
      <c r="E51" s="334">
        <v>123</v>
      </c>
      <c r="F51" s="334">
        <v>3980667.8794086599</v>
      </c>
    </row>
    <row r="52" spans="1:6">
      <c r="A52" s="348" t="s">
        <v>42</v>
      </c>
      <c r="B52" s="348" t="s">
        <v>29</v>
      </c>
      <c r="C52" s="334">
        <v>7</v>
      </c>
      <c r="D52" s="334">
        <v>8019997.28950286</v>
      </c>
      <c r="E52" s="334">
        <v>8</v>
      </c>
      <c r="F52" s="334">
        <v>403782.84470234602</v>
      </c>
    </row>
    <row r="53" spans="1:6">
      <c r="A53" s="348" t="s">
        <v>44</v>
      </c>
      <c r="B53" s="348" t="s">
        <v>45</v>
      </c>
      <c r="C53" s="334">
        <v>143</v>
      </c>
      <c r="D53" s="334">
        <v>2907248.6704305499</v>
      </c>
      <c r="E53" s="334">
        <v>217</v>
      </c>
      <c r="F53" s="334">
        <v>751160.27980600204</v>
      </c>
    </row>
    <row r="54" spans="1:6">
      <c r="A54" s="348" t="s">
        <v>46</v>
      </c>
      <c r="B54" s="348" t="s">
        <v>47</v>
      </c>
      <c r="C54" s="334">
        <v>0</v>
      </c>
      <c r="D54" s="334">
        <v>0</v>
      </c>
      <c r="E54" s="334">
        <v>1</v>
      </c>
      <c r="F54" s="334">
        <v>1283878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42</v>
      </c>
      <c r="D57" s="334">
        <v>1243310.90221423</v>
      </c>
      <c r="E57" s="334">
        <v>70</v>
      </c>
      <c r="F57" s="334">
        <v>488710.971361648</v>
      </c>
    </row>
    <row r="58" spans="1:6">
      <c r="A58" s="348" t="s">
        <v>49</v>
      </c>
      <c r="B58" s="348" t="s">
        <v>51</v>
      </c>
      <c r="C58" s="334">
        <v>22</v>
      </c>
      <c r="D58" s="334">
        <v>1166992.2434783799</v>
      </c>
      <c r="E58" s="334">
        <v>26</v>
      </c>
      <c r="F58" s="334">
        <v>290733.95648851403</v>
      </c>
    </row>
    <row r="59" spans="1:6">
      <c r="A59" s="348" t="s">
        <v>49</v>
      </c>
      <c r="B59" s="348" t="s">
        <v>52</v>
      </c>
      <c r="C59" s="334">
        <v>93</v>
      </c>
      <c r="D59" s="334">
        <v>3391915.52155898</v>
      </c>
      <c r="E59" s="334">
        <v>167</v>
      </c>
      <c r="F59" s="334">
        <v>2932474.2269290099</v>
      </c>
    </row>
    <row r="60" spans="1:6">
      <c r="A60" s="348" t="s">
        <v>49</v>
      </c>
      <c r="B60" s="348" t="s">
        <v>53</v>
      </c>
      <c r="C60" s="334">
        <v>50</v>
      </c>
      <c r="D60" s="334">
        <v>1970453.7430638301</v>
      </c>
      <c r="E60" s="334">
        <v>67</v>
      </c>
      <c r="F60" s="334">
        <v>1354229.8519901701</v>
      </c>
    </row>
    <row r="61" spans="1:6">
      <c r="A61" s="348" t="s">
        <v>49</v>
      </c>
      <c r="B61" s="348" t="s">
        <v>54</v>
      </c>
      <c r="C61" s="334">
        <v>154</v>
      </c>
      <c r="D61" s="334">
        <v>8427765.2145733293</v>
      </c>
      <c r="E61" s="334">
        <v>331</v>
      </c>
      <c r="F61" s="334">
        <v>4368634.31596574</v>
      </c>
    </row>
    <row r="62" spans="1:6">
      <c r="A62" s="348" t="s">
        <v>49</v>
      </c>
      <c r="B62" s="348" t="s">
        <v>55</v>
      </c>
      <c r="C62" s="334">
        <v>14</v>
      </c>
      <c r="D62" s="334">
        <v>1564280.3422312599</v>
      </c>
      <c r="E62" s="334">
        <v>13</v>
      </c>
      <c r="F62" s="334">
        <v>305808.90916359401</v>
      </c>
    </row>
    <row r="63" spans="1:6">
      <c r="A63" s="348" t="s">
        <v>49</v>
      </c>
      <c r="B63" s="348" t="s">
        <v>29</v>
      </c>
      <c r="C63" s="334">
        <v>99</v>
      </c>
      <c r="D63" s="334">
        <v>4956428.0907952897</v>
      </c>
      <c r="E63" s="334">
        <v>114</v>
      </c>
      <c r="F63" s="334">
        <v>3808161.7630419899</v>
      </c>
    </row>
    <row r="64" spans="1:6">
      <c r="A64" s="348" t="s">
        <v>56</v>
      </c>
      <c r="B64" s="348" t="s">
        <v>57</v>
      </c>
      <c r="C64" s="334">
        <v>0</v>
      </c>
      <c r="D64" s="334">
        <v>0</v>
      </c>
      <c r="E64" s="334">
        <v>0</v>
      </c>
      <c r="F64" s="334">
        <v>0</v>
      </c>
    </row>
    <row r="65" spans="1:6">
      <c r="A65" s="348" t="s">
        <v>56</v>
      </c>
      <c r="B65" s="348" t="s">
        <v>29</v>
      </c>
      <c r="C65" s="334">
        <v>5</v>
      </c>
      <c r="D65" s="334">
        <v>125671.42272338099</v>
      </c>
      <c r="E65" s="334">
        <v>2</v>
      </c>
      <c r="F65" s="334">
        <v>19690.287278585602</v>
      </c>
    </row>
    <row r="66" spans="1:6">
      <c r="A66" s="348" t="s">
        <v>56</v>
      </c>
      <c r="B66" s="348" t="s">
        <v>58</v>
      </c>
      <c r="C66" s="334">
        <v>0</v>
      </c>
      <c r="D66" s="334">
        <v>0</v>
      </c>
      <c r="E66" s="334">
        <v>18</v>
      </c>
      <c r="F66" s="334">
        <v>237230.70195190801</v>
      </c>
    </row>
    <row r="67" spans="1:6">
      <c r="A67" s="355" t="s">
        <v>56</v>
      </c>
      <c r="B67" s="355" t="s">
        <v>59</v>
      </c>
      <c r="C67" s="334">
        <v>0</v>
      </c>
      <c r="D67" s="334">
        <v>0</v>
      </c>
      <c r="E67" s="334">
        <v>0</v>
      </c>
      <c r="F67" s="334">
        <v>0</v>
      </c>
    </row>
    <row r="68" spans="1:6">
      <c r="A68" s="341" t="s">
        <v>56</v>
      </c>
      <c r="B68" s="341" t="s">
        <v>60</v>
      </c>
      <c r="C68" s="334">
        <v>0</v>
      </c>
      <c r="D68" s="334">
        <v>0</v>
      </c>
      <c r="E68" s="334">
        <v>8</v>
      </c>
      <c r="F68" s="334">
        <v>263764.69442977902</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59823633</v>
      </c>
      <c r="E73" s="476">
        <v>60773095.989911556</v>
      </c>
    </row>
    <row r="74" spans="1:6">
      <c r="A74" s="348" t="s">
        <v>64</v>
      </c>
      <c r="B74" s="348" t="s">
        <v>657</v>
      </c>
      <c r="C74" s="1272" t="s">
        <v>659</v>
      </c>
      <c r="D74" s="476">
        <v>8005694.0127968453</v>
      </c>
      <c r="E74" s="476">
        <v>8073143.8002457628</v>
      </c>
    </row>
    <row r="75" spans="1:6">
      <c r="A75" s="348" t="s">
        <v>65</v>
      </c>
      <c r="B75" s="348" t="s">
        <v>656</v>
      </c>
      <c r="C75" s="1272" t="s">
        <v>660</v>
      </c>
      <c r="D75" s="476">
        <v>6745527</v>
      </c>
      <c r="E75" s="476">
        <v>6490458.2152916212</v>
      </c>
    </row>
    <row r="76" spans="1:6">
      <c r="A76" s="348" t="s">
        <v>65</v>
      </c>
      <c r="B76" s="348" t="s">
        <v>657</v>
      </c>
      <c r="C76" s="1272" t="s">
        <v>661</v>
      </c>
      <c r="D76" s="476">
        <v>173716.01279684532</v>
      </c>
      <c r="E76" s="476">
        <v>169101.07786576648</v>
      </c>
    </row>
    <row r="77" spans="1:6">
      <c r="A77" s="348" t="s">
        <v>66</v>
      </c>
      <c r="B77" s="348" t="s">
        <v>656</v>
      </c>
      <c r="C77" s="1272" t="s">
        <v>662</v>
      </c>
      <c r="D77" s="476">
        <v>60575758</v>
      </c>
      <c r="E77" s="476">
        <v>66933200.807902195</v>
      </c>
    </row>
    <row r="78" spans="1:6">
      <c r="A78" s="341" t="s">
        <v>66</v>
      </c>
      <c r="B78" s="341" t="s">
        <v>657</v>
      </c>
      <c r="C78" s="341" t="s">
        <v>663</v>
      </c>
      <c r="D78" s="1273">
        <v>8848324</v>
      </c>
      <c r="E78" s="1273">
        <v>9673428.3419228382</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79445.974406309382</v>
      </c>
      <c r="C83" s="476">
        <v>79379.483559873828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3584.3446689485827</v>
      </c>
    </row>
    <row r="92" spans="1:6">
      <c r="A92" s="341" t="s">
        <v>69</v>
      </c>
      <c r="B92" s="342">
        <v>3447.6837098367218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4275</v>
      </c>
    </row>
    <row r="98" spans="1:6">
      <c r="A98" s="348" t="s">
        <v>72</v>
      </c>
      <c r="B98" s="334">
        <v>0</v>
      </c>
    </row>
    <row r="99" spans="1:6">
      <c r="A99" s="348" t="s">
        <v>73</v>
      </c>
      <c r="B99" s="334">
        <v>150</v>
      </c>
    </row>
    <row r="100" spans="1:6">
      <c r="A100" s="348" t="s">
        <v>74</v>
      </c>
      <c r="B100" s="334">
        <v>542</v>
      </c>
    </row>
    <row r="101" spans="1:6">
      <c r="A101" s="348" t="s">
        <v>75</v>
      </c>
      <c r="B101" s="334">
        <v>119</v>
      </c>
    </row>
    <row r="102" spans="1:6">
      <c r="A102" s="348" t="s">
        <v>76</v>
      </c>
      <c r="B102" s="334">
        <v>92</v>
      </c>
    </row>
    <row r="103" spans="1:6">
      <c r="A103" s="348" t="s">
        <v>77</v>
      </c>
      <c r="B103" s="334">
        <v>391</v>
      </c>
    </row>
    <row r="104" spans="1:6">
      <c r="A104" s="348" t="s">
        <v>78</v>
      </c>
      <c r="B104" s="334">
        <v>1284</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1</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23</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152</v>
      </c>
    </row>
    <row r="130" spans="1:6">
      <c r="A130" s="348" t="s">
        <v>295</v>
      </c>
      <c r="B130" s="334">
        <v>2</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59347.062642730016</v>
      </c>
      <c r="C3" s="43" t="s">
        <v>170</v>
      </c>
      <c r="D3" s="43"/>
      <c r="E3" s="154"/>
      <c r="F3" s="43"/>
      <c r="G3" s="43"/>
      <c r="H3" s="43"/>
      <c r="I3" s="43"/>
      <c r="J3" s="43"/>
      <c r="K3" s="96"/>
    </row>
    <row r="4" spans="1:11">
      <c r="A4" s="383" t="s">
        <v>171</v>
      </c>
      <c r="B4" s="49">
        <f>IF(ISERROR('SEAP template'!B69),0,'SEAP template'!B69)</f>
        <v>7032.0283787853041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0.19481372889392826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1283.8779999999999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1283.8779999999999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0.19481372889392826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250.1170606248788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25163.103914493502</v>
      </c>
      <c r="C5" s="17">
        <f>IF(ISERROR('Eigen informatie GS &amp; warmtenet'!B57),0,'Eigen informatie GS &amp; warmtenet'!B57)</f>
        <v>0</v>
      </c>
      <c r="D5" s="30">
        <f>(SUM(HH_hh_gas_kWh,HH_rest_gas_kWh)/1000)*0.902</f>
        <v>78834.592134278515</v>
      </c>
      <c r="E5" s="17">
        <f>B46*B57</f>
        <v>5569.5792336601671</v>
      </c>
      <c r="F5" s="17">
        <f>B51*B62</f>
        <v>0</v>
      </c>
      <c r="G5" s="18"/>
      <c r="H5" s="17"/>
      <c r="I5" s="17"/>
      <c r="J5" s="17">
        <f>B50*B61+C50*C61</f>
        <v>7397.6165977903829</v>
      </c>
      <c r="K5" s="17"/>
      <c r="L5" s="17"/>
      <c r="M5" s="17"/>
      <c r="N5" s="17">
        <f>B48*B59+C48*C59</f>
        <v>15058.120115257203</v>
      </c>
      <c r="O5" s="17">
        <f>B69*B70*B71</f>
        <v>275.1466666666667</v>
      </c>
      <c r="P5" s="17">
        <f>B77*B78*B79/1000-B77*B78*B79/1000/B80</f>
        <v>266.93333333333334</v>
      </c>
    </row>
    <row r="6" spans="1:16">
      <c r="A6" s="16" t="s">
        <v>621</v>
      </c>
      <c r="B6" s="843">
        <f>kWh_PV_kleiner_dan_10kW</f>
        <v>3584.3446689485827</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28747.448583442085</v>
      </c>
      <c r="C8" s="21">
        <f>C5</f>
        <v>0</v>
      </c>
      <c r="D8" s="21">
        <f>D5</f>
        <v>78834.592134278515</v>
      </c>
      <c r="E8" s="21">
        <f>E5</f>
        <v>5569.5792336601671</v>
      </c>
      <c r="F8" s="21">
        <f>F5</f>
        <v>0</v>
      </c>
      <c r="G8" s="21"/>
      <c r="H8" s="21"/>
      <c r="I8" s="21"/>
      <c r="J8" s="21">
        <f>J5</f>
        <v>7397.6165977903829</v>
      </c>
      <c r="K8" s="21"/>
      <c r="L8" s="21">
        <f>L5</f>
        <v>0</v>
      </c>
      <c r="M8" s="21">
        <f>M5</f>
        <v>0</v>
      </c>
      <c r="N8" s="21">
        <f>N5</f>
        <v>15058.120115257203</v>
      </c>
      <c r="O8" s="21">
        <f>O5</f>
        <v>275.1466666666667</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0.19481372889392826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5600.3976547268285</v>
      </c>
      <c r="C12" s="23">
        <f ca="1">C10*C8</f>
        <v>0</v>
      </c>
      <c r="D12" s="23">
        <f>D8*D10</f>
        <v>15924.587611124261</v>
      </c>
      <c r="E12" s="23">
        <f>E10*E8</f>
        <v>1264.2944860408579</v>
      </c>
      <c r="F12" s="23">
        <f>F10*F8</f>
        <v>0</v>
      </c>
      <c r="G12" s="23"/>
      <c r="H12" s="23"/>
      <c r="I12" s="23"/>
      <c r="J12" s="23">
        <f>J10*J8</f>
        <v>2618.7562756177954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4275</v>
      </c>
      <c r="C18" s="166" t="s">
        <v>111</v>
      </c>
      <c r="D18" s="228"/>
      <c r="E18" s="15"/>
    </row>
    <row r="19" spans="1:7">
      <c r="A19" s="171" t="s">
        <v>72</v>
      </c>
      <c r="B19" s="37">
        <f>aantalw2001_ander</f>
        <v>0</v>
      </c>
      <c r="C19" s="166" t="s">
        <v>111</v>
      </c>
      <c r="D19" s="229"/>
      <c r="E19" s="15"/>
    </row>
    <row r="20" spans="1:7">
      <c r="A20" s="171" t="s">
        <v>73</v>
      </c>
      <c r="B20" s="37">
        <f>aantalw2001_propaan</f>
        <v>150</v>
      </c>
      <c r="C20" s="167">
        <f>IF(ISERROR(B20/SUM($B$20,$B$21,$B$22)*100),0,B20/SUM($B$20,$B$21,$B$22)*100)</f>
        <v>18.495684340320594</v>
      </c>
      <c r="D20" s="229"/>
      <c r="E20" s="15"/>
    </row>
    <row r="21" spans="1:7">
      <c r="A21" s="171" t="s">
        <v>74</v>
      </c>
      <c r="B21" s="37">
        <f>aantalw2001_elektriciteit</f>
        <v>542</v>
      </c>
      <c r="C21" s="167">
        <f>IF(ISERROR(B21/SUM($B$20,$B$21,$B$22)*100),0,B21/SUM($B$20,$B$21,$B$22)*100)</f>
        <v>66.831072749691728</v>
      </c>
      <c r="D21" s="229"/>
      <c r="E21" s="15"/>
    </row>
    <row r="22" spans="1:7">
      <c r="A22" s="171" t="s">
        <v>75</v>
      </c>
      <c r="B22" s="37">
        <f>aantalw2001_hout</f>
        <v>119</v>
      </c>
      <c r="C22" s="167">
        <f>IF(ISERROR(B22/SUM($B$20,$B$21,$B$22)*100),0,B22/SUM($B$20,$B$21,$B$22)*100)</f>
        <v>14.673242909987669</v>
      </c>
      <c r="D22" s="229"/>
      <c r="E22" s="15"/>
    </row>
    <row r="23" spans="1:7">
      <c r="A23" s="171" t="s">
        <v>76</v>
      </c>
      <c r="B23" s="37">
        <f>aantalw2001_niet_gespec</f>
        <v>92</v>
      </c>
      <c r="C23" s="166" t="s">
        <v>111</v>
      </c>
      <c r="D23" s="228"/>
      <c r="E23" s="15"/>
    </row>
    <row r="24" spans="1:7">
      <c r="A24" s="171" t="s">
        <v>77</v>
      </c>
      <c r="B24" s="37">
        <f>aantalw2001_steenkool</f>
        <v>391</v>
      </c>
      <c r="C24" s="166" t="s">
        <v>111</v>
      </c>
      <c r="D24" s="229"/>
      <c r="E24" s="15"/>
    </row>
    <row r="25" spans="1:7">
      <c r="A25" s="171" t="s">
        <v>78</v>
      </c>
      <c r="B25" s="37">
        <f>aantalw2001_stookolie</f>
        <v>1284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7733</v>
      </c>
      <c r="C28" s="36"/>
      <c r="D28" s="228"/>
    </row>
    <row r="29" spans="1:7" s="15" customFormat="1">
      <c r="A29" s="230" t="s">
        <v>795</v>
      </c>
      <c r="B29" s="37">
        <f>SUM(HH_hh_gas_aantal,HH_rest_gas_aantal)</f>
        <v>6087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6087</v>
      </c>
      <c r="C32" s="167">
        <f>IF(ISERROR(B32/SUM($B$32,$B$34,$B$35,$B$36,$B$38,$B$39)*100),0,B32/SUM($B$32,$B$34,$B$35,$B$36,$B$38,$B$39)*100)</f>
        <v>78.85736494364555</v>
      </c>
      <c r="D32" s="233"/>
      <c r="G32" s="15"/>
    </row>
    <row r="33" spans="1:7">
      <c r="A33" s="171" t="s">
        <v>72</v>
      </c>
      <c r="B33" s="34" t="s">
        <v>111</v>
      </c>
      <c r="C33" s="167"/>
      <c r="D33" s="233"/>
      <c r="G33" s="15"/>
    </row>
    <row r="34" spans="1:7">
      <c r="A34" s="171" t="s">
        <v>73</v>
      </c>
      <c r="B34" s="33">
        <f>IF((($B$28-$B$32-$B$39-$B$77-$B$38)*C20/100)&lt;0,0,($B$28-$B$32-$B$39-$B$77-$B$38)*C20/100)</f>
        <v>263.04562268803949</v>
      </c>
      <c r="C34" s="167">
        <f>IF(ISERROR(B34/SUM($B$32,$B$34,$B$35,$B$36,$B$38,$B$39)*100),0,B34/SUM($B$32,$B$34,$B$35,$B$36,$B$38,$B$39)*100)</f>
        <v>3.4077681395004467</v>
      </c>
      <c r="D34" s="233"/>
      <c r="G34" s="15"/>
    </row>
    <row r="35" spans="1:7">
      <c r="A35" s="171" t="s">
        <v>74</v>
      </c>
      <c r="B35" s="33">
        <f>IF((($B$28-$B$32-$B$39-$B$77-$B$38)*C21/100)&lt;0,0,($B$28-$B$32-$B$39-$B$77-$B$38)*C21/100)</f>
        <v>950.47151664611579</v>
      </c>
      <c r="C35" s="167">
        <f>IF(ISERROR(B35/SUM($B$32,$B$34,$B$35,$B$36,$B$38,$B$39)*100),0,B35/SUM($B$32,$B$34,$B$35,$B$36,$B$38,$B$39)*100)</f>
        <v>12.313402210728277</v>
      </c>
      <c r="D35" s="233"/>
      <c r="G35" s="15"/>
    </row>
    <row r="36" spans="1:7">
      <c r="A36" s="171" t="s">
        <v>75</v>
      </c>
      <c r="B36" s="33">
        <f>IF((($B$28-$B$32-$B$39-$B$77-$B$38)*C22/100)&lt;0,0,($B$28-$B$32-$B$39-$B$77-$B$38)*C22/100)</f>
        <v>208.68286066584463</v>
      </c>
      <c r="C36" s="167">
        <f>IF(ISERROR(B36/SUM($B$32,$B$34,$B$35,$B$36,$B$38,$B$39)*100),0,B36/SUM($B$32,$B$34,$B$35,$B$36,$B$38,$B$39)*100)</f>
        <v>2.7034960573370204</v>
      </c>
      <c r="D36" s="233"/>
      <c r="G36" s="15"/>
    </row>
    <row r="37" spans="1:7">
      <c r="A37" s="171" t="s">
        <v>76</v>
      </c>
      <c r="B37" s="34" t="s">
        <v>111</v>
      </c>
      <c r="C37" s="167"/>
      <c r="D37" s="173"/>
      <c r="G37" s="15"/>
    </row>
    <row r="38" spans="1:7">
      <c r="A38" s="171" t="s">
        <v>77</v>
      </c>
      <c r="B38" s="33">
        <f>IF((B24-(B29-B18)*0.1)&lt;0,0,B24-(B29-B18)*0.1)</f>
        <v>209.79999999999998</v>
      </c>
      <c r="C38" s="167">
        <f>IF(ISERROR(B38/SUM($B$32,$B$34,$B$35,$B$36,$B$38,$B$39)*100),0,B38/SUM($B$32,$B$34,$B$35,$B$36,$B$38,$B$39)*100)</f>
        <v>2.7179686487887031</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6087</v>
      </c>
      <c r="C44" s="34" t="s">
        <v>111</v>
      </c>
      <c r="D44" s="174"/>
    </row>
    <row r="45" spans="1:7">
      <c r="A45" s="171" t="s">
        <v>72</v>
      </c>
      <c r="B45" s="33" t="str">
        <f t="shared" si="0"/>
        <v>-</v>
      </c>
      <c r="C45" s="34" t="s">
        <v>111</v>
      </c>
      <c r="D45" s="174"/>
    </row>
    <row r="46" spans="1:7">
      <c r="A46" s="171" t="s">
        <v>73</v>
      </c>
      <c r="B46" s="33">
        <f t="shared" si="0"/>
        <v>263.04562268803949</v>
      </c>
      <c r="C46" s="34" t="s">
        <v>111</v>
      </c>
      <c r="D46" s="174"/>
    </row>
    <row r="47" spans="1:7">
      <c r="A47" s="171" t="s">
        <v>74</v>
      </c>
      <c r="B47" s="33">
        <f t="shared" si="0"/>
        <v>950.47151664611579</v>
      </c>
      <c r="C47" s="34" t="s">
        <v>111</v>
      </c>
      <c r="D47" s="174"/>
    </row>
    <row r="48" spans="1:7">
      <c r="A48" s="171" t="s">
        <v>75</v>
      </c>
      <c r="B48" s="33">
        <f t="shared" si="0"/>
        <v>208.68286066584463</v>
      </c>
      <c r="C48" s="33">
        <f>B48*10</f>
        <v>2086.8286066584465</v>
      </c>
      <c r="D48" s="234"/>
    </row>
    <row r="49" spans="1:6">
      <c r="A49" s="171" t="s">
        <v>76</v>
      </c>
      <c r="B49" s="33" t="str">
        <f t="shared" si="0"/>
        <v>-</v>
      </c>
      <c r="C49" s="34" t="s">
        <v>111</v>
      </c>
      <c r="D49" s="234"/>
    </row>
    <row r="50" spans="1:6">
      <c r="A50" s="171" t="s">
        <v>77</v>
      </c>
      <c r="B50" s="33">
        <f t="shared" si="0"/>
        <v>209.79999999999998</v>
      </c>
      <c r="C50" s="33">
        <f>B50*2</f>
        <v>419.59999999999997</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13548.753994940664</v>
      </c>
      <c r="C5" s="17">
        <f>IF(ISERROR('Eigen informatie GS &amp; warmtenet'!B58),0,'Eigen informatie GS &amp; warmtenet'!B58)</f>
        <v>0</v>
      </c>
      <c r="D5" s="30">
        <f>SUM(D6:D12)</f>
        <v>20494.4737442396</v>
      </c>
      <c r="E5" s="17">
        <f>SUM(E6:E12)</f>
        <v>178.28478397730041</v>
      </c>
      <c r="F5" s="17">
        <f>SUM(F6:F12)</f>
        <v>2275.9638165050683</v>
      </c>
      <c r="G5" s="18"/>
      <c r="H5" s="17"/>
      <c r="I5" s="17"/>
      <c r="J5" s="17">
        <f>SUM(J6:J12)</f>
        <v>1.9829559308099279E-2</v>
      </c>
      <c r="K5" s="17"/>
      <c r="L5" s="17"/>
      <c r="M5" s="17"/>
      <c r="N5" s="17">
        <f>SUM(N6:N12)</f>
        <v>797.73527881169196</v>
      </c>
      <c r="O5" s="17">
        <f>B38*B39*B40</f>
        <v>3.1266666666666669</v>
      </c>
      <c r="P5" s="17">
        <f>B46*B47*B48/1000-B46*B47*B48/1000/B49</f>
        <v>19.066666666666666</v>
      </c>
      <c r="R5" s="32"/>
    </row>
    <row r="6" spans="1:18">
      <c r="A6" s="32" t="s">
        <v>54</v>
      </c>
      <c r="B6" s="37">
        <f>B26</f>
        <v>4368.6343159657399</v>
      </c>
      <c r="C6" s="33"/>
      <c r="D6" s="37">
        <f>IF(ISERROR(TER_kantoor_gas_kWh/1000),0,TER_kantoor_gas_kWh/1000)*0.902</f>
        <v>7601.8442235451439</v>
      </c>
      <c r="E6" s="33">
        <f>$C$26*'E Balans VL '!I12/100/3.6*1000000</f>
        <v>2.7381146907462826E-2</v>
      </c>
      <c r="F6" s="33">
        <f>$C$26*('E Balans VL '!L12+'E Balans VL '!N12)/100/3.6*1000000</f>
        <v>656.48366640446488</v>
      </c>
      <c r="G6" s="34"/>
      <c r="H6" s="33"/>
      <c r="I6" s="33"/>
      <c r="J6" s="33">
        <f>$C$26*('E Balans VL '!D12+'E Balans VL '!E12)/100/3.6*1000000</f>
        <v>0</v>
      </c>
      <c r="K6" s="33"/>
      <c r="L6" s="33"/>
      <c r="M6" s="33"/>
      <c r="N6" s="33">
        <f>$C$26*'E Balans VL '!Y12/100/3.6*1000000</f>
        <v>4.1779510021002739</v>
      </c>
      <c r="O6" s="33"/>
      <c r="P6" s="33"/>
      <c r="R6" s="32"/>
    </row>
    <row r="7" spans="1:18">
      <c r="A7" s="32" t="s">
        <v>53</v>
      </c>
      <c r="B7" s="37">
        <f t="shared" ref="B7:B12" si="0">B27</f>
        <v>1354.2298519901701</v>
      </c>
      <c r="C7" s="33"/>
      <c r="D7" s="37">
        <f>IF(ISERROR(TER_horeca_gas_kWh/1000),0,TER_horeca_gas_kWh/1000)*0.902</f>
        <v>1777.3492762435746</v>
      </c>
      <c r="E7" s="33">
        <f>$C$27*'E Balans VL '!I9/100/3.6*1000000</f>
        <v>19.392345908867092</v>
      </c>
      <c r="F7" s="33">
        <f>$C$27*('E Balans VL '!L9+'E Balans VL '!N9)/100/3.6*1000000</f>
        <v>171.49016348320188</v>
      </c>
      <c r="G7" s="34"/>
      <c r="H7" s="33"/>
      <c r="I7" s="33"/>
      <c r="J7" s="33">
        <f>$C$27*('E Balans VL '!D9+'E Balans VL '!E9)/100/3.6*1000000</f>
        <v>0</v>
      </c>
      <c r="K7" s="33"/>
      <c r="L7" s="33"/>
      <c r="M7" s="33"/>
      <c r="N7" s="33">
        <f>$C$27*'E Balans VL '!Y9/100/3.6*1000000</f>
        <v>0.38931122424195586</v>
      </c>
      <c r="O7" s="33"/>
      <c r="P7" s="33"/>
      <c r="R7" s="32"/>
    </row>
    <row r="8" spans="1:18">
      <c r="A8" s="6" t="s">
        <v>52</v>
      </c>
      <c r="B8" s="37">
        <f t="shared" si="0"/>
        <v>2932.47422692901</v>
      </c>
      <c r="C8" s="33"/>
      <c r="D8" s="37">
        <f>IF(ISERROR(TER_handel_gas_kWh/1000),0,TER_handel_gas_kWh/1000)*0.902</f>
        <v>3059.5078004461998</v>
      </c>
      <c r="E8" s="33">
        <f>$C$28*'E Balans VL '!I13/100/3.6*1000000</f>
        <v>106.36047859419453</v>
      </c>
      <c r="F8" s="33">
        <f>$C$28*('E Balans VL '!L13+'E Balans VL '!N13)/100/3.6*1000000</f>
        <v>564.82422929590905</v>
      </c>
      <c r="G8" s="34"/>
      <c r="H8" s="33"/>
      <c r="I8" s="33"/>
      <c r="J8" s="33">
        <f>$C$28*('E Balans VL '!D13+'E Balans VL '!E13)/100/3.6*1000000</f>
        <v>0</v>
      </c>
      <c r="K8" s="33"/>
      <c r="L8" s="33"/>
      <c r="M8" s="33"/>
      <c r="N8" s="33">
        <f>$C$28*'E Balans VL '!Y13/100/3.6*1000000</f>
        <v>4.0621515365241398</v>
      </c>
      <c r="O8" s="33"/>
      <c r="P8" s="33"/>
      <c r="R8" s="32"/>
    </row>
    <row r="9" spans="1:18">
      <c r="A9" s="32" t="s">
        <v>51</v>
      </c>
      <c r="B9" s="37">
        <f t="shared" si="0"/>
        <v>290.73395648851402</v>
      </c>
      <c r="C9" s="33"/>
      <c r="D9" s="37">
        <f>IF(ISERROR(TER_gezond_gas_kWh/1000),0,TER_gezond_gas_kWh/1000)*0.902</f>
        <v>1052.6270036174985</v>
      </c>
      <c r="E9" s="33">
        <f>$C$29*'E Balans VL '!I10/100/3.6*1000000</f>
        <v>1.8202816155419247E-2</v>
      </c>
      <c r="F9" s="33">
        <f>$C$29*('E Balans VL '!L10+'E Balans VL '!N10)/100/3.6*1000000</f>
        <v>43.189414436964228</v>
      </c>
      <c r="G9" s="34"/>
      <c r="H9" s="33"/>
      <c r="I9" s="33"/>
      <c r="J9" s="33">
        <f>$C$29*('E Balans VL '!D10+'E Balans VL '!E10)/100/3.6*1000000</f>
        <v>0</v>
      </c>
      <c r="K9" s="33"/>
      <c r="L9" s="33"/>
      <c r="M9" s="33"/>
      <c r="N9" s="33">
        <f>$C$29*'E Balans VL '!Y10/100/3.6*1000000</f>
        <v>4.4971008923931262</v>
      </c>
      <c r="O9" s="33"/>
      <c r="P9" s="33"/>
      <c r="R9" s="32"/>
    </row>
    <row r="10" spans="1:18">
      <c r="A10" s="32" t="s">
        <v>50</v>
      </c>
      <c r="B10" s="37">
        <f t="shared" si="0"/>
        <v>488.71097136164798</v>
      </c>
      <c r="C10" s="33"/>
      <c r="D10" s="37">
        <f>IF(ISERROR(TER_ander_gas_kWh/1000),0,TER_ander_gas_kWh/1000)*0.902</f>
        <v>1121.4664337972356</v>
      </c>
      <c r="E10" s="33">
        <f>$C$30*'E Balans VL '!I14/100/3.6*1000000</f>
        <v>0.58252601428379436</v>
      </c>
      <c r="F10" s="33">
        <f>$C$30*('E Balans VL '!L14+'E Balans VL '!N14)/100/3.6*1000000</f>
        <v>127.86851649153544</v>
      </c>
      <c r="G10" s="34"/>
      <c r="H10" s="33"/>
      <c r="I10" s="33"/>
      <c r="J10" s="33">
        <f>$C$30*('E Balans VL '!D14+'E Balans VL '!E14)/100/3.6*1000000</f>
        <v>1.0607999494149711E-2</v>
      </c>
      <c r="K10" s="33"/>
      <c r="L10" s="33"/>
      <c r="M10" s="33"/>
      <c r="N10" s="33">
        <f>$C$30*'E Balans VL '!Y14/100/3.6*1000000</f>
        <v>415.00139829117143</v>
      </c>
      <c r="O10" s="33"/>
      <c r="P10" s="33"/>
      <c r="R10" s="32"/>
    </row>
    <row r="11" spans="1:18">
      <c r="A11" s="32" t="s">
        <v>55</v>
      </c>
      <c r="B11" s="37">
        <f t="shared" si="0"/>
        <v>305.80890916359402</v>
      </c>
      <c r="C11" s="33"/>
      <c r="D11" s="37">
        <f>IF(ISERROR(TER_onderwijs_gas_kWh/1000),0,TER_onderwijs_gas_kWh/1000)*0.902</f>
        <v>1410.9808686925965</v>
      </c>
      <c r="E11" s="33">
        <f>$C$31*'E Balans VL '!I11/100/3.6*1000000</f>
        <v>4.614163887193798</v>
      </c>
      <c r="F11" s="33">
        <f>$C$31*('E Balans VL '!L11+'E Balans VL '!N11)/100/3.6*1000000</f>
        <v>53.582606328125841</v>
      </c>
      <c r="G11" s="34"/>
      <c r="H11" s="33"/>
      <c r="I11" s="33"/>
      <c r="J11" s="33">
        <f>$C$31*('E Balans VL '!D11+'E Balans VL '!E11)/100/3.6*1000000</f>
        <v>0</v>
      </c>
      <c r="K11" s="33"/>
      <c r="L11" s="33"/>
      <c r="M11" s="33"/>
      <c r="N11" s="33">
        <f>$C$31*'E Balans VL '!Y11/100/3.6*1000000</f>
        <v>0.86056951886497357</v>
      </c>
      <c r="O11" s="33"/>
      <c r="P11" s="33"/>
      <c r="R11" s="32"/>
    </row>
    <row r="12" spans="1:18">
      <c r="A12" s="32" t="s">
        <v>260</v>
      </c>
      <c r="B12" s="37">
        <f t="shared" si="0"/>
        <v>3808.1617630419901</v>
      </c>
      <c r="C12" s="33"/>
      <c r="D12" s="37">
        <f>IF(ISERROR(TER_rest_gas_kWh/1000),0,TER_rest_gas_kWh/1000)*0.902</f>
        <v>4470.6981378973514</v>
      </c>
      <c r="E12" s="33">
        <f>$C$32*'E Balans VL '!I8/100/3.6*1000000</f>
        <v>47.289685609698303</v>
      </c>
      <c r="F12" s="33">
        <f>$C$32*('E Balans VL '!L8+'E Balans VL '!N8)/100/3.6*1000000</f>
        <v>658.52522006486709</v>
      </c>
      <c r="G12" s="34"/>
      <c r="H12" s="33"/>
      <c r="I12" s="33"/>
      <c r="J12" s="33">
        <f>$C$32*('E Balans VL '!D8+'E Balans VL '!E8)/100/3.6*1000000</f>
        <v>9.2215598139495682E-3</v>
      </c>
      <c r="K12" s="33"/>
      <c r="L12" s="33"/>
      <c r="M12" s="33"/>
      <c r="N12" s="33">
        <f>$C$32*'E Balans VL '!Y8/100/3.6*1000000</f>
        <v>368.74679634639608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13548.753994940664</v>
      </c>
      <c r="C16" s="21">
        <f t="shared" ca="1" si="1"/>
        <v>0</v>
      </c>
      <c r="D16" s="21">
        <f t="shared" ca="1" si="1"/>
        <v>20494.4737442396</v>
      </c>
      <c r="E16" s="21">
        <f t="shared" si="1"/>
        <v>178.28478397730041</v>
      </c>
      <c r="F16" s="21">
        <f t="shared" ca="1" si="1"/>
        <v>2275.9638165050683</v>
      </c>
      <c r="G16" s="21">
        <f t="shared" si="1"/>
        <v>0</v>
      </c>
      <c r="H16" s="21">
        <f t="shared" si="1"/>
        <v>0</v>
      </c>
      <c r="I16" s="21">
        <f t="shared" si="1"/>
        <v>0</v>
      </c>
      <c r="J16" s="21">
        <f t="shared" si="1"/>
        <v>1.9829559308099279E-2</v>
      </c>
      <c r="K16" s="21">
        <f t="shared" si="1"/>
        <v>0</v>
      </c>
      <c r="L16" s="21">
        <f t="shared" ca="1" si="1"/>
        <v>0</v>
      </c>
      <c r="M16" s="21">
        <f t="shared" si="1"/>
        <v>0</v>
      </c>
      <c r="N16" s="21">
        <f t="shared" ca="1" si="1"/>
        <v>797.73527881169196</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0.19481372889392826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2639.483287620898</v>
      </c>
      <c r="C20" s="23">
        <f t="shared" ref="C20:P20" ca="1" si="2">C16*C18</f>
        <v>0</v>
      </c>
      <c r="D20" s="23">
        <f t="shared" ca="1" si="2"/>
        <v>4139.8836963363992</v>
      </c>
      <c r="E20" s="23">
        <f t="shared" si="2"/>
        <v>40.470645962847193</v>
      </c>
      <c r="F20" s="23">
        <f t="shared" ca="1" si="2"/>
        <v>607.68233900685323</v>
      </c>
      <c r="G20" s="23">
        <f t="shared" si="2"/>
        <v>0</v>
      </c>
      <c r="H20" s="23">
        <f t="shared" si="2"/>
        <v>0</v>
      </c>
      <c r="I20" s="23">
        <f t="shared" si="2"/>
        <v>0</v>
      </c>
      <c r="J20" s="23">
        <f t="shared" si="2"/>
        <v>7.0196639950671439E-3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4368.6343159657399</v>
      </c>
      <c r="C26" s="39">
        <f>IF(ISERROR(B26*3.6/1000000/'E Balans VL '!Z12*100),0,B26*3.6/1000000/'E Balans VL '!Z12*100)</f>
        <v>9.2346008963757331E-2</v>
      </c>
      <c r="D26" s="237" t="s">
        <v>754</v>
      </c>
      <c r="F26" s="6"/>
    </row>
    <row r="27" spans="1:18">
      <c r="A27" s="231" t="s">
        <v>53</v>
      </c>
      <c r="B27" s="33">
        <f>IF(ISERROR(TER_horeca_ele_kWh/1000),0,TER_horeca_ele_kWh/1000)</f>
        <v>1354.2298519901701</v>
      </c>
      <c r="C27" s="39">
        <f>IF(ISERROR(B27*3.6/1000000/'E Balans VL '!Z9*100),0,B27*3.6/1000000/'E Balans VL '!Z9*100)</f>
        <v>0.106753434485151</v>
      </c>
      <c r="D27" s="237" t="s">
        <v>754</v>
      </c>
      <c r="F27" s="6"/>
    </row>
    <row r="28" spans="1:18">
      <c r="A28" s="171" t="s">
        <v>52</v>
      </c>
      <c r="B28" s="33">
        <f>IF(ISERROR(TER_handel_ele_kWh/1000),0,TER_handel_ele_kWh/1000)</f>
        <v>2932.47422692901</v>
      </c>
      <c r="C28" s="39">
        <f>IF(ISERROR(B28*3.6/1000000/'E Balans VL '!Z13*100),0,B28*3.6/1000000/'E Balans VL '!Z13*100)</f>
        <v>8.5112250589056068E-2</v>
      </c>
      <c r="D28" s="237" t="s">
        <v>754</v>
      </c>
      <c r="F28" s="6"/>
    </row>
    <row r="29" spans="1:18">
      <c r="A29" s="231" t="s">
        <v>51</v>
      </c>
      <c r="B29" s="33">
        <f>IF(ISERROR(TER_gezond_ele_kWh/1000),0,TER_gezond_ele_kWh/1000)</f>
        <v>290.73395648851402</v>
      </c>
      <c r="C29" s="39">
        <f>IF(ISERROR(B29*3.6/1000000/'E Balans VL '!Z10*100),0,B29*3.6/1000000/'E Balans VL '!Z10*100)</f>
        <v>3.0619059595820629E-2</v>
      </c>
      <c r="D29" s="237" t="s">
        <v>754</v>
      </c>
      <c r="F29" s="6"/>
    </row>
    <row r="30" spans="1:18">
      <c r="A30" s="231" t="s">
        <v>50</v>
      </c>
      <c r="B30" s="33">
        <f>IF(ISERROR(TER_ander_ele_kWh/1000),0,TER_ander_ele_kWh/1000)</f>
        <v>488.71097136164798</v>
      </c>
      <c r="C30" s="39">
        <f>IF(ISERROR(B30*3.6/1000000/'E Balans VL '!Z14*100),0,B30*3.6/1000000/'E Balans VL '!Z14*100)</f>
        <v>3.6047427395130123E-2</v>
      </c>
      <c r="D30" s="237" t="s">
        <v>754</v>
      </c>
      <c r="F30" s="6"/>
    </row>
    <row r="31" spans="1:18">
      <c r="A31" s="231" t="s">
        <v>55</v>
      </c>
      <c r="B31" s="33">
        <f>IF(ISERROR(TER_onderwijs_ele_kWh/1000),0,TER_onderwijs_ele_kWh/1000)</f>
        <v>305.80890916359402</v>
      </c>
      <c r="C31" s="39">
        <f>IF(ISERROR(B31*3.6/1000000/'E Balans VL '!Z11*100),0,B31*3.6/1000000/'E Balans VL '!Z11*100)</f>
        <v>7.594667707825041E-2</v>
      </c>
      <c r="D31" s="237" t="s">
        <v>754</v>
      </c>
    </row>
    <row r="32" spans="1:18">
      <c r="A32" s="231" t="s">
        <v>260</v>
      </c>
      <c r="B32" s="33">
        <f>IF(ISERROR(TER_rest_ele_kWh/1000),0,TER_rest_ele_kWh/1000)</f>
        <v>3808.1617630419901</v>
      </c>
      <c r="C32" s="39">
        <f>IF(ISERROR(B32*3.6/1000000/'E Balans VL '!Z8*100),0,B32*3.6/1000000/'E Balans VL '!Z8*100)</f>
        <v>3.1336116488931025E-2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11332.512108204095</v>
      </c>
      <c r="C5" s="17">
        <f>IF(ISERROR('Eigen informatie GS &amp; warmtenet'!B59),0,'Eigen informatie GS &amp; warmtenet'!B59)</f>
        <v>0</v>
      </c>
      <c r="D5" s="30">
        <f>SUM(D6:D15)</f>
        <v>9619.9246822071436</v>
      </c>
      <c r="E5" s="17">
        <f>SUM(E6:E15)</f>
        <v>984.76583680539295</v>
      </c>
      <c r="F5" s="17">
        <f>SUM(F6:F15)</f>
        <v>3167.8524865753334</v>
      </c>
      <c r="G5" s="18"/>
      <c r="H5" s="17"/>
      <c r="I5" s="17"/>
      <c r="J5" s="17">
        <f>SUM(J6:J15)</f>
        <v>18.003807058188311</v>
      </c>
      <c r="K5" s="17"/>
      <c r="L5" s="17"/>
      <c r="M5" s="17"/>
      <c r="N5" s="17">
        <f>SUM(N6:N15)</f>
        <v>2164.1314968786173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356.762940525837</v>
      </c>
      <c r="C8" s="33"/>
      <c r="D8" s="37">
        <f>IF( ISERROR(IND_metaal_Gas_kWH/1000),0,IND_metaal_Gas_kWH/1000)*0.902</f>
        <v>18.761993862756601</v>
      </c>
      <c r="E8" s="33">
        <f>C30*'E Balans VL '!I18/100/3.6*1000000</f>
        <v>3.2800906732102892</v>
      </c>
      <c r="F8" s="33">
        <f>C30*'E Balans VL '!L18/100/3.6*1000000+C30*'E Balans VL '!N18/100/3.6*1000000</f>
        <v>33.452485980703926</v>
      </c>
      <c r="G8" s="34"/>
      <c r="H8" s="33"/>
      <c r="I8" s="33"/>
      <c r="J8" s="40">
        <f>C30*'E Balans VL '!D18/100/3.6*1000000+C30*'E Balans VL '!E18/100/3.6*1000000</f>
        <v>0</v>
      </c>
      <c r="K8" s="33"/>
      <c r="L8" s="33"/>
      <c r="M8" s="33"/>
      <c r="N8" s="33">
        <f>C30*'E Balans VL '!Y18/100/3.6*1000000</f>
        <v>5.0898129221879307</v>
      </c>
      <c r="O8" s="33"/>
      <c r="P8" s="33"/>
      <c r="R8" s="32"/>
    </row>
    <row r="9" spans="1:18">
      <c r="A9" s="6" t="s">
        <v>33</v>
      </c>
      <c r="B9" s="37">
        <f t="shared" si="0"/>
        <v>2381.8005605164399</v>
      </c>
      <c r="C9" s="33"/>
      <c r="D9" s="37">
        <f>IF( ISERROR(IND_andere_gas_kWh/1000),0,IND_andere_gas_kWh/1000)*0.902</f>
        <v>1173.221823884988</v>
      </c>
      <c r="E9" s="33">
        <f>C31*'E Balans VL '!I19/100/3.6*1000000</f>
        <v>696.24667202677244</v>
      </c>
      <c r="F9" s="33">
        <f>C31*'E Balans VL '!L19/100/3.6*1000000+C31*'E Balans VL '!N19/100/3.6*1000000</f>
        <v>1913.9570361116691</v>
      </c>
      <c r="G9" s="34"/>
      <c r="H9" s="33"/>
      <c r="I9" s="33"/>
      <c r="J9" s="40">
        <f>C31*'E Balans VL '!D19/100/3.6*1000000+C31*'E Balans VL '!E19/100/3.6*1000000</f>
        <v>0</v>
      </c>
      <c r="K9" s="33"/>
      <c r="L9" s="33"/>
      <c r="M9" s="33"/>
      <c r="N9" s="33">
        <f>C31*'E Balans VL '!Y19/100/3.6*1000000</f>
        <v>786.98384430234046</v>
      </c>
      <c r="O9" s="33"/>
      <c r="P9" s="33"/>
      <c r="R9" s="32"/>
    </row>
    <row r="10" spans="1:18">
      <c r="A10" s="6" t="s">
        <v>41</v>
      </c>
      <c r="B10" s="37">
        <f t="shared" si="0"/>
        <v>3521.0923201596802</v>
      </c>
      <c r="C10" s="33"/>
      <c r="D10" s="37">
        <f>IF( ISERROR(IND_voed_gas_kWh/1000),0,IND_voed_gas_kWh/1000)*0.902</f>
        <v>941.5427741115052</v>
      </c>
      <c r="E10" s="33">
        <f>C32*'E Balans VL '!I20/100/3.6*1000000</f>
        <v>7.4489253984808474</v>
      </c>
      <c r="F10" s="33">
        <f>C32*'E Balans VL '!L20/100/3.6*1000000+C32*'E Balans VL '!N20/100/3.6*1000000</f>
        <v>223.87464640608621</v>
      </c>
      <c r="G10" s="34"/>
      <c r="H10" s="33"/>
      <c r="I10" s="33"/>
      <c r="J10" s="40">
        <f>C32*'E Balans VL '!D20/100/3.6*1000000+C32*'E Balans VL '!E20/100/3.6*1000000</f>
        <v>0</v>
      </c>
      <c r="K10" s="33"/>
      <c r="L10" s="33"/>
      <c r="M10" s="33"/>
      <c r="N10" s="33">
        <f>C32*'E Balans VL '!Y20/100/3.6*1000000</f>
        <v>242.99011707906143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43.833189734107798</v>
      </c>
      <c r="C14" s="33"/>
      <c r="D14" s="37">
        <f>IF( ISERROR(IND_chemie_gas_kWh/1000),0,IND_chemie_gas_kWh/1000)*0.902</f>
        <v>0</v>
      </c>
      <c r="E14" s="33">
        <f>C36*'E Balans VL '!I24/100/3.6*1000000</f>
        <v>0.10790475409218961</v>
      </c>
      <c r="F14" s="33">
        <f>C36*'E Balans VL '!L24/100/3.6*1000000+C36*'E Balans VL '!N24/100/3.6*1000000</f>
        <v>0.46936373985737151</v>
      </c>
      <c r="G14" s="34"/>
      <c r="H14" s="33"/>
      <c r="I14" s="33"/>
      <c r="J14" s="40">
        <f>C36*'E Balans VL '!D24/100/3.6*1000000+C36*'E Balans VL '!E24/100/3.6*1000000</f>
        <v>0</v>
      </c>
      <c r="K14" s="33"/>
      <c r="L14" s="33"/>
      <c r="M14" s="33"/>
      <c r="N14" s="33">
        <f>C36*'E Balans VL '!Y24/100/3.6*1000000</f>
        <v>0.97890333000917107</v>
      </c>
      <c r="O14" s="33"/>
      <c r="P14" s="33"/>
      <c r="R14" s="32"/>
    </row>
    <row r="15" spans="1:18">
      <c r="A15" s="6" t="s">
        <v>270</v>
      </c>
      <c r="B15" s="37">
        <f t="shared" si="0"/>
        <v>5029.0230972680301</v>
      </c>
      <c r="C15" s="33"/>
      <c r="D15" s="37">
        <f>IF( ISERROR(IND_rest_gas_kWh/1000),0,IND_rest_gas_kWh/1000)*0.902</f>
        <v>7486.3980903478941</v>
      </c>
      <c r="E15" s="33">
        <f>C37*'E Balans VL '!I15/100/3.6*1000000</f>
        <v>277.68224395283721</v>
      </c>
      <c r="F15" s="33">
        <f>C37*'E Balans VL '!L15/100/3.6*1000000+C37*'E Balans VL '!N15/100/3.6*1000000</f>
        <v>996.09895433701695</v>
      </c>
      <c r="G15" s="34"/>
      <c r="H15" s="33"/>
      <c r="I15" s="33"/>
      <c r="J15" s="40">
        <f>C37*'E Balans VL '!D15/100/3.6*1000000+C37*'E Balans VL '!E15/100/3.6*1000000</f>
        <v>18.003807058188311</v>
      </c>
      <c r="K15" s="33"/>
      <c r="L15" s="33"/>
      <c r="M15" s="33"/>
      <c r="N15" s="33">
        <f>C37*'E Balans VL '!Y15/100/3.6*1000000</f>
        <v>1128.0888192450182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11332.512108204095</v>
      </c>
      <c r="C18" s="21">
        <f>C5+C16</f>
        <v>0</v>
      </c>
      <c r="D18" s="21">
        <f>MAX((D5+D16),0)</f>
        <v>9619.9246822071436</v>
      </c>
      <c r="E18" s="21">
        <f>MAX((E5+E16),0)</f>
        <v>984.76583680539295</v>
      </c>
      <c r="F18" s="21">
        <f>MAX((F5+F16),0)</f>
        <v>3167.8524865753334</v>
      </c>
      <c r="G18" s="21"/>
      <c r="H18" s="21"/>
      <c r="I18" s="21"/>
      <c r="J18" s="21">
        <f>MAX((J5+J16),0)</f>
        <v>18.003807058188311</v>
      </c>
      <c r="K18" s="21"/>
      <c r="L18" s="21">
        <f>MAX((L5+L16),0)</f>
        <v>0</v>
      </c>
      <c r="M18" s="21"/>
      <c r="N18" s="21">
        <f>MAX((N5+N16),0)</f>
        <v>2164.1314968786173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0.19481372889392826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2207.7289415348318</v>
      </c>
      <c r="C22" s="23">
        <f ca="1">C18*C20</f>
        <v>0</v>
      </c>
      <c r="D22" s="23">
        <f>D18*D20</f>
        <v>1943.2247858058431</v>
      </c>
      <c r="E22" s="23">
        <f>E18*E20</f>
        <v>223.5418449548242</v>
      </c>
      <c r="F22" s="23">
        <f>F18*F20</f>
        <v>845.81661391561408</v>
      </c>
      <c r="G22" s="23"/>
      <c r="H22" s="23"/>
      <c r="I22" s="23"/>
      <c r="J22" s="23">
        <f>J18*J20</f>
        <v>6.3733476985986615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356.762940525837</v>
      </c>
      <c r="C30" s="39">
        <f>IF(ISERROR(B30*3.6/1000000/'E Balans VL '!Z18*100),0,B30*3.6/1000000/'E Balans VL '!Z18*100)</f>
        <v>2.0218670639611042E-2</v>
      </c>
      <c r="D30" s="237" t="s">
        <v>754</v>
      </c>
    </row>
    <row r="31" spans="1:18">
      <c r="A31" s="6" t="s">
        <v>33</v>
      </c>
      <c r="B31" s="37">
        <f>IF( ISERROR(IND_ander_ele_kWh/1000),0,IND_ander_ele_kWh/1000)</f>
        <v>2381.8005605164399</v>
      </c>
      <c r="C31" s="39">
        <f>IF(ISERROR(B31*3.6/1000000/'E Balans VL '!Z19*100),0,B31*3.6/1000000/'E Balans VL '!Z19*100)</f>
        <v>0.1080285557801053</v>
      </c>
      <c r="D31" s="237" t="s">
        <v>754</v>
      </c>
    </row>
    <row r="32" spans="1:18">
      <c r="A32" s="171" t="s">
        <v>41</v>
      </c>
      <c r="B32" s="37">
        <f>IF( ISERROR(IND_voed_ele_kWh/1000),0,IND_voed_ele_kWh/1000)</f>
        <v>3521.0923201596802</v>
      </c>
      <c r="C32" s="39">
        <f>IF(ISERROR(B32*3.6/1000000/'E Balans VL '!Z20*100),0,B32*3.6/1000000/'E Balans VL '!Z20*100)</f>
        <v>0.10892336987202095</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43.833189734107798</v>
      </c>
      <c r="C36" s="39">
        <f>IF(ISERROR(B36*3.6/1000000/'E Balans VL '!Z24*100),0,B36*3.6/1000000/'E Balans VL '!Z24*100)</f>
        <v>1.336650377788952E-3</v>
      </c>
      <c r="D36" s="237" t="s">
        <v>754</v>
      </c>
    </row>
    <row r="37" spans="1:5">
      <c r="A37" s="171" t="s">
        <v>270</v>
      </c>
      <c r="B37" s="37">
        <f>IF( ISERROR(IND_rest_ele_kWh/1000),0,IND_rest_ele_kWh/1000)</f>
        <v>5029.0230972680301</v>
      </c>
      <c r="C37" s="39">
        <f>IF(ISERROR(B37*3.6/1000000/'E Balans VL '!Z15*100),0,B37*3.6/1000000/'E Balans VL '!Z15*100)</f>
        <v>3.9861184273601573E-2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4384.4507241110059</v>
      </c>
      <c r="C5" s="17">
        <f>'Eigen informatie GS &amp; warmtenet'!B60</f>
        <v>0</v>
      </c>
      <c r="D5" s="30">
        <f>IF(ISERROR(SUM(LB_lb_gas_kWh,LB_rest_gas_kWh,onbekend_gas_kWh)/1000),0,SUM(LB_lb_gas_kWh,LB_rest_gas_kWh,onbekend_gas_kWh)/1000)*0.902</f>
        <v>10173.726978624991</v>
      </c>
      <c r="E5" s="17">
        <f>B17*'E Balans VL '!I25/3.6*1000000/100</f>
        <v>128.87239843981916</v>
      </c>
      <c r="F5" s="17">
        <f>B17*('E Balans VL '!L25/3.6*1000000+'E Balans VL '!N25/3.6*1000000)/100</f>
        <v>18265.384793364872</v>
      </c>
      <c r="G5" s="18"/>
      <c r="H5" s="17"/>
      <c r="I5" s="17"/>
      <c r="J5" s="17">
        <f>('E Balans VL '!D25+'E Balans VL '!E25)/3.6*1000000*landbouw!B17/100</f>
        <v>635.21275276657821</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4384.4507241110059</v>
      </c>
      <c r="C8" s="21">
        <f>C5+C6</f>
        <v>0</v>
      </c>
      <c r="D8" s="21">
        <f>MAX((D5+D6),0)</f>
        <v>10173.726978624991</v>
      </c>
      <c r="E8" s="21">
        <f>MAX((E5+E6),0)</f>
        <v>128.87239843981916</v>
      </c>
      <c r="F8" s="21">
        <f>MAX((F5+F6),0)</f>
        <v>18265.384793364872</v>
      </c>
      <c r="G8" s="21"/>
      <c r="H8" s="21"/>
      <c r="I8" s="21"/>
      <c r="J8" s="21">
        <f>MAX((J5+J6),0)</f>
        <v>635.21275276657821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0.19481372889392826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854.15119471574894</v>
      </c>
      <c r="C12" s="23">
        <f ca="1">C8*C10</f>
        <v>0</v>
      </c>
      <c r="D12" s="23">
        <f>D8*D10</f>
        <v>2055.0928496822485</v>
      </c>
      <c r="E12" s="23">
        <f>E8*E10</f>
        <v>29.254034445838951</v>
      </c>
      <c r="F12" s="23">
        <f>F8*F10</f>
        <v>4876.8577398284215</v>
      </c>
      <c r="G12" s="23"/>
      <c r="H12" s="23"/>
      <c r="I12" s="23"/>
      <c r="J12" s="23">
        <f>J8*J10</f>
        <v>224.86531447936866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0.62216731354598975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522.81573249695498</v>
      </c>
      <c r="C26" s="247">
        <f>B26*'GWP N2O_CH4'!B5</f>
        <v>10979.130382436055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235.36417025097796</v>
      </c>
      <c r="C27" s="247">
        <f>B27*'GWP N2O_CH4'!B5</f>
        <v>4942.6475752705373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7.9341497676094228</v>
      </c>
      <c r="C28" s="247">
        <f>B28*'GWP N2O_CH4'!B4</f>
        <v>2459.5864279589209</v>
      </c>
      <c r="D28" s="50"/>
    </row>
    <row r="29" spans="1:4">
      <c r="A29" s="41" t="s">
        <v>277</v>
      </c>
      <c r="B29" s="247">
        <f>B34*'ha_N2O bodem landbouw'!B4</f>
        <v>19.76159910863052</v>
      </c>
      <c r="C29" s="247">
        <f>B29*'GWP N2O_CH4'!B4</f>
        <v>6126.0957236754612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4.5095288150893195E-3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1.8006923531578952E-4</v>
      </c>
      <c r="C5" s="463" t="s">
        <v>211</v>
      </c>
      <c r="D5" s="448">
        <f>SUM(D6:D11)</f>
        <v>5.7424582768981678E-4</v>
      </c>
      <c r="E5" s="448">
        <f>SUM(E6:E11)</f>
        <v>8.6959106016432086E-4</v>
      </c>
      <c r="F5" s="461" t="s">
        <v>211</v>
      </c>
      <c r="G5" s="448">
        <f>SUM(G6:G11)</f>
        <v>0.36720497480877412</v>
      </c>
      <c r="H5" s="448">
        <f>SUM(H6:H11)</f>
        <v>6.6464603632047023E-2</v>
      </c>
      <c r="I5" s="463" t="s">
        <v>211</v>
      </c>
      <c r="J5" s="463" t="s">
        <v>211</v>
      </c>
      <c r="K5" s="463" t="s">
        <v>211</v>
      </c>
      <c r="L5" s="463" t="s">
        <v>211</v>
      </c>
      <c r="M5" s="448">
        <f>SUM(M6:M11)</f>
        <v>2.3426937152797589E-2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8.4725335605803997E-5</v>
      </c>
      <c r="C6" s="449"/>
      <c r="D6" s="962">
        <f>vkm_2011_GW_PW*SUMIFS(TableVerdeelsleutelVkm[CNG],TableVerdeelsleutelVkm[Voertuigtype],"Lichte voertuigen")*SUMIFS(TableECFTransport[EnergieConsumptieFactor (PJ per km)],TableECFTransport[Index],CONCATENATE($A6,"_CNG_CNG"))</f>
        <v>2.5412737889801782E-4</v>
      </c>
      <c r="E6" s="962">
        <f>vkm_2011_GW_PW*SUMIFS(TableVerdeelsleutelVkm[LPG],TableVerdeelsleutelVkm[Voertuigtype],"Lichte voertuigen")*SUMIFS(TableECFTransport[EnergieConsumptieFactor (PJ per km)],TableECFTransport[Index],CONCATENATE($A6,"_LPG_LPG"))</f>
        <v>3.4717450317369136E-4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8.9763411794133524E-2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2.8899009720496104E-2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6.1021033962672978E-3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7.5125825596267459E-2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2.2892820278043088E-5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4.3901037924962607E-3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9.5533656224624867E-6</v>
      </c>
      <c r="C8" s="449"/>
      <c r="D8" s="451">
        <f>vkm_2011_NGW_PW*SUMIFS(TableVerdeelsleutelVkm[CNG],TableVerdeelsleutelVkm[Voertuigtype],"Lichte voertuigen")*SUMIFS(TableECFTransport[EnergieConsumptieFactor (PJ per km)],TableECFTransport[Index],CONCATENATE($A8,"_CNG_CNG"))</f>
        <v>5.0948224218817626E-5</v>
      </c>
      <c r="E8" s="451">
        <f>vkm_2011_NGW_PW*SUMIFS(TableVerdeelsleutelVkm[LPG],TableVerdeelsleutelVkm[Voertuigtype],"Lichte voertuigen")*SUMIFS(TableECFTransport[EnergieConsumptieFactor (PJ per km)],TableECFTransport[Index],CONCATENATE($A8,"_LPG_LPG"))</f>
        <v>6.4459898852364204E-5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1.5531298012655043E-2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5.6302664259671549E-3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1.0745081627607028E-3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2.0902618639208619E-3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5.9964082084778003E-7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1.2214685540631122E-4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8.5790534087523031E-5</v>
      </c>
      <c r="C10" s="449"/>
      <c r="D10" s="451">
        <f>vkm_2011_SW_PW*SUMIFS(TableVerdeelsleutelVkm[CNG],TableVerdeelsleutelVkm[Voertuigtype],"Lichte voertuigen")*SUMIFS(TableECFTransport[EnergieConsumptieFactor (PJ per km)],TableECFTransport[Index],CONCATENATE($A10,"_CNG_CNG"))</f>
        <v>2.6917022457298125E-4</v>
      </c>
      <c r="E10" s="451">
        <f>vkm_2011_SW_PW*SUMIFS(TableVerdeelsleutelVkm[LPG],TableVerdeelsleutelVkm[Voertuigtype],"Lichte voertuigen")*SUMIFS(TableECFTransport[EnergieConsumptieFactor (PJ per km)],TableECFTransport[Index],CONCATENATE($A10,"_LPG_LPG"))</f>
        <v>4.5795665813826533E-4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0.10556004729216557</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3.1885794279677339E-2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7.1136819797202652E-3</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7.9134130249631673E-2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2.6040744807545349E-5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4.6243929661467491E-3</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50.019232032163757</v>
      </c>
      <c r="C14" s="21"/>
      <c r="D14" s="21">
        <f t="shared" ref="D14:M14" si="0">((D5)*10^9/3600)+D12</f>
        <v>159.512729913838</v>
      </c>
      <c r="E14" s="21">
        <f t="shared" si="0"/>
        <v>241.5530722678669</v>
      </c>
      <c r="F14" s="21"/>
      <c r="G14" s="21">
        <f t="shared" si="0"/>
        <v>102001.38189132615</v>
      </c>
      <c r="H14" s="21">
        <f t="shared" si="0"/>
        <v>18462.389897790839</v>
      </c>
      <c r="I14" s="21"/>
      <c r="J14" s="21"/>
      <c r="K14" s="21"/>
      <c r="L14" s="21"/>
      <c r="M14" s="21">
        <f t="shared" si="0"/>
        <v>6507.482542443774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0.19481372889392826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9.7444331085964428</v>
      </c>
      <c r="C18" s="23"/>
      <c r="D18" s="23">
        <f t="shared" ref="D18:M18" si="1">D14*D16</f>
        <v>32.221571442595277</v>
      </c>
      <c r="E18" s="23">
        <f t="shared" si="1"/>
        <v>54.832547404805787</v>
      </c>
      <c r="F18" s="23"/>
      <c r="G18" s="23">
        <f t="shared" si="1"/>
        <v>27234.368964984082</v>
      </c>
      <c r="H18" s="23">
        <f t="shared" si="1"/>
        <v>4597.1350845499192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9.9785389878645318E-4</v>
      </c>
      <c r="H50" s="321">
        <f t="shared" si="2"/>
        <v>0</v>
      </c>
      <c r="I50" s="321">
        <f t="shared" si="2"/>
        <v>0</v>
      </c>
      <c r="J50" s="321">
        <f t="shared" si="2"/>
        <v>0</v>
      </c>
      <c r="K50" s="321">
        <f t="shared" si="2"/>
        <v>0</v>
      </c>
      <c r="L50" s="321">
        <f t="shared" si="2"/>
        <v>0</v>
      </c>
      <c r="M50" s="321">
        <f t="shared" si="2"/>
        <v>5.6673696348813719E-5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9.9785389878645318E-4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5.6673696348813719E-5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277.18163855179256</v>
      </c>
      <c r="H54" s="21">
        <f t="shared" si="3"/>
        <v>0</v>
      </c>
      <c r="I54" s="21">
        <f t="shared" si="3"/>
        <v>0</v>
      </c>
      <c r="J54" s="21">
        <f t="shared" si="3"/>
        <v>0</v>
      </c>
      <c r="K54" s="21">
        <f t="shared" si="3"/>
        <v>0</v>
      </c>
      <c r="L54" s="21">
        <f t="shared" si="3"/>
        <v>0</v>
      </c>
      <c r="M54" s="21">
        <f t="shared" si="3"/>
        <v>15.742693430226034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0.19481372889392826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74.007497493328614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7032.0283787853041</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7032.0283787853041</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2019-01-01T21:19:24Z</dcterms:modified>
</cp:coreProperties>
</file>