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D6" i="17"/>
  <c r="J15" i="16"/>
  <c r="C16" i="15"/>
  <c r="D10" i="14" s="1"/>
  <c r="L6" i="17"/>
  <c r="L5" s="1"/>
  <c r="O4" i="48"/>
  <c r="E16"/>
  <c r="I16"/>
  <c r="I24" s="1"/>
  <c r="F16"/>
  <c r="J16"/>
  <c r="K16"/>
  <c r="D16"/>
  <c r="D27" s="1"/>
  <c r="H16"/>
  <c r="L16" i="16"/>
  <c r="L18"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D12" i="17"/>
  <c r="E48" i="14" s="1"/>
  <c r="L10"/>
  <c r="K5" i="48"/>
  <c r="K22" s="1"/>
  <c r="C17" i="14"/>
  <c r="B13" i="48"/>
  <c r="E17" i="14"/>
  <c r="D13" i="48"/>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O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G81" i="14"/>
  <c r="D79"/>
  <c r="H79"/>
  <c r="H81" s="1"/>
  <c r="L79"/>
  <c r="L81" s="1"/>
  <c r="F79"/>
  <c r="J79"/>
  <c r="E68"/>
  <c r="E69" s="1"/>
  <c r="I68"/>
  <c r="M68"/>
  <c r="M69" s="1"/>
  <c r="D19" i="18"/>
  <c r="L19"/>
  <c r="B68" i="14"/>
  <c r="G68"/>
  <c r="G69" s="1"/>
  <c r="E81"/>
  <c r="M81"/>
  <c r="F19" i="18"/>
  <c r="D11" i="14"/>
  <c r="C4" i="48"/>
  <c r="M17" i="18"/>
  <c r="M18"/>
  <c r="I21" i="48" l="1"/>
  <c r="I31" s="1"/>
  <c r="D28"/>
  <c r="D30"/>
  <c r="I28"/>
  <c r="E28"/>
  <c r="I20" i="15"/>
  <c r="J36" i="14" s="1"/>
  <c r="K28" i="48"/>
  <c r="K31" s="1"/>
  <c r="G22" i="14"/>
  <c r="P22" i="16"/>
  <c r="Q39" i="14" s="1"/>
  <c r="G11"/>
  <c r="J12" i="17"/>
  <c r="K48" i="14" s="1"/>
  <c r="Q13"/>
  <c r="B35" i="13"/>
  <c r="J15" i="14"/>
  <c r="J23" s="1"/>
  <c r="P8" i="48"/>
  <c r="P25" s="1"/>
  <c r="D18" i="16"/>
  <c r="E13" i="14" s="1"/>
  <c r="G31" i="20"/>
  <c r="H43" i="14" s="1"/>
  <c r="G12" i="22"/>
  <c r="D16" i="15"/>
  <c r="K22" i="14"/>
  <c r="E8" i="17"/>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10"/>
  <c r="Q15" s="1"/>
  <c r="Q23" s="1"/>
  <c r="J5" i="15"/>
  <c r="F4" i="48"/>
  <c r="F21" s="1"/>
  <c r="B69" i="14"/>
  <c r="B4" i="6" s="1"/>
  <c r="F5" i="15"/>
  <c r="F16" s="1"/>
  <c r="B5"/>
  <c r="B16" s="1"/>
  <c r="B5" i="16"/>
  <c r="B18" s="1"/>
  <c r="N5" i="15"/>
  <c r="N16" s="1"/>
  <c r="F12" i="13"/>
  <c r="G37" i="14" s="1"/>
  <c r="P5" i="48"/>
  <c r="P22" s="1"/>
  <c r="F13" i="16"/>
  <c r="E13"/>
  <c r="N13"/>
  <c r="J13"/>
  <c r="B47" i="13"/>
  <c r="N12" i="16"/>
  <c r="J12"/>
  <c r="F12"/>
  <c r="E12"/>
  <c r="Q11" i="48"/>
  <c r="O5"/>
  <c r="R9" i="14"/>
  <c r="O28" i="48"/>
  <c r="H22"/>
  <c r="B46" i="13"/>
  <c r="E5" s="1"/>
  <c r="E8" s="1"/>
  <c r="M25" i="48"/>
  <c r="M24"/>
  <c r="C50" i="13"/>
  <c r="J5" s="1"/>
  <c r="J8" s="1"/>
  <c r="E12" i="17"/>
  <c r="F48" i="14" s="1"/>
  <c r="C5" i="48"/>
  <c r="Q41" i="14" l="1"/>
  <c r="Q53" s="1"/>
  <c r="Q55"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5" i="48" l="1"/>
  <c r="J22" s="1"/>
  <c r="B22" i="6"/>
  <c r="C29" i="20" s="1"/>
  <c r="E41" i="14"/>
  <c r="E53" s="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17" i="49"/>
  <c r="C56" i="22"/>
  <c r="C58" s="1"/>
  <c r="D44" i="14" s="1"/>
  <c r="D46" s="1"/>
  <c r="Q4" i="48"/>
  <c r="N22"/>
  <c r="R11" i="14"/>
  <c r="J21" i="48"/>
  <c r="C20" i="16" l="1"/>
  <c r="C22" s="1"/>
  <c r="D39" i="14" s="1"/>
  <c r="C17" i="19"/>
  <c r="C19" s="1"/>
  <c r="D35" i="14" s="1"/>
  <c r="Q5" i="48"/>
  <c r="C18" i="15"/>
  <c r="C20" s="1"/>
  <c r="D36" i="14" s="1"/>
  <c r="C16" i="48"/>
  <c r="E22" i="16"/>
  <c r="F39" i="14" s="1"/>
  <c r="K13"/>
  <c r="K15" s="1"/>
  <c r="K23" s="1"/>
  <c r="G13"/>
  <c r="G15" s="1"/>
  <c r="G23" s="1"/>
  <c r="N8" i="48"/>
  <c r="N25" s="1"/>
  <c r="N31" s="1"/>
  <c r="F8"/>
  <c r="F22" i="16"/>
  <c r="G39" i="14" s="1"/>
  <c r="G41" s="1"/>
  <c r="G53" s="1"/>
  <c r="O13"/>
  <c r="O15" s="1"/>
  <c r="F41"/>
  <c r="F53" s="1"/>
  <c r="N22" i="16"/>
  <c r="O39" i="14" s="1"/>
  <c r="O41" s="1"/>
  <c r="O53" s="1"/>
  <c r="E8" i="48"/>
  <c r="E25" s="1"/>
  <c r="E31" s="1"/>
  <c r="F13" i="14"/>
  <c r="F15" s="1"/>
  <c r="F23" s="1"/>
  <c r="J22" i="16"/>
  <c r="K39" i="14" s="1"/>
  <c r="K41" s="1"/>
  <c r="K53" s="1"/>
  <c r="J8" i="48"/>
  <c r="J25" s="1"/>
  <c r="J31" s="1"/>
  <c r="N55" i="14"/>
  <c r="H55"/>
  <c r="E55"/>
  <c r="C78"/>
  <c r="C81" s="1"/>
  <c r="J14" i="48"/>
  <c r="R19" i="14"/>
  <c r="R20" s="1"/>
  <c r="H14" i="48"/>
  <c r="G31"/>
  <c r="H26"/>
  <c r="H31" s="1"/>
  <c r="M53" i="14"/>
  <c r="M55" s="1"/>
  <c r="C12" i="13"/>
  <c r="D37" i="14" s="1"/>
  <c r="D41" s="1"/>
  <c r="F25" i="48"/>
  <c r="F31" s="1"/>
  <c r="F14"/>
  <c r="K55" i="14" l="1"/>
  <c r="E14" i="48"/>
  <c r="N14"/>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<sst xmlns="http://schemas.openxmlformats.org/spreadsheetml/2006/main" count="2116" uniqueCount="855">
  <si>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</si>
  <si>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</si>
  <si>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</si>
  <si>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</si>
  <si>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</si>
  <si>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</si>
  <si>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</si>
  <si>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</si>
  <si>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</si>
  <si>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</si>
  <si>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</si>
  <si>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</si>
  <si>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</si>
  <si>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</si>
  <si>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</si>
  <si>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</si>
  <si>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</si>
  <si>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</si>
  <si>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</si>
  <si>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</si>
  <si>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</si>
  <si>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</si>
  <si>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</si>
  <si>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</si>
  <si>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</si>
  <si>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</si>
  <si>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</si>
  <si>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</si>
  <si>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</si>
  <si>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</si>
  <si>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</si>
  <si>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</si>
  <si>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</si>
  <si>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</si>
  <si>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</si>
  <si>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</si>
  <si>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</si>
  <si>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</si>
  <si>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</si>
  <si>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</si>
  <si>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</si>
  <si>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</si>
  <si>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</si>
  <si>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</si>
  <si>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</si>
  <si>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</si>
  <si>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</si>
  <si>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</si>
  <si>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</si>
  <si>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</si>
  <si>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</si>
  <si>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</si>
  <si>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</si>
  <si>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</si>
  <si>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</si>
  <si>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</si>
  <si>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</si>
  <si>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</si>
  <si>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</si>
  <si>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</si>
  <si>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</si>
  <si>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</si>
  <si>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</si>
  <si>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</si>
  <si>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</si>
  <si>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</si>
  <si>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</si>
  <si>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</si>
  <si>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</si>
  <si>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</si>
  <si>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</si>
  <si>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</si>
  <si>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</si>
  <si>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</si>
  <si>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</si>
  <si>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</si>
  <si>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</si>
  <si>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</si>
  <si>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</si>
  <si>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</si>
  <si>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</si>
  <si>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</si>
  <si>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</si>
  <si>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</si>
  <si>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</si>
  <si>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</si>
  <si>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</si>
  <si>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</si>
  <si>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</si>
  <si>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</si>
  <si>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</si>
  <si>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</si>
  <si>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</si>
  <si>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</si>
  <si>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</si>
  <si>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</si>
  <si>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</si>
  <si>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</si>
  <si>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</si>
  <si>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</si>
  <si>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</si>
  <si>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</si>
  <si>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</si>
  <si>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</si>
  <si>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</si>
  <si>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</si>
  <si>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</si>
  <si>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</si>
  <si>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</si>
  <si>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</si>
  <si>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</si>
  <si>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</si>
  <si>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</si>
  <si>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</si>
  <si>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</si>
  <si>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</si>
  <si>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</si>
  <si>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</si>
  <si>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</si>
  <si>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</si>
  <si>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</si>
  <si>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</si>
  <si>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</si>
  <si>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</si>
  <si>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</si>
  <si>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</si>
  <si>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</si>
  <si>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</si>
  <si>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</si>
  <si>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</si>
  <si>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</si>
  <si>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</si>
  <si>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</si>
  <si>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</si>
  <si>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</si>
  <si>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</si>
  <si>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</si>
  <si>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</si>
  <si>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</si>
  <si>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</si>
  <si>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</si>
  <si>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</si>
  <si>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</si>
  <si>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</si>
  <si>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</si>
  <si>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</si>
  <si>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</si>
  <si>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</si>
  <si>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</si>
  <si>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</si>
  <si>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</si>
  <si>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</si>
  <si>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</si>
  <si>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</si>
  <si>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</si>
  <si>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</si>
  <si>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</si>
  <si>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</si>
  <si>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</si>
  <si>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</si>
  <si>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</si>
  <si>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</si>
  <si>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</si>
  <si>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</si>
  <si>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</si>
  <si>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</si>
  <si>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</si>
  <si>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</si>
  <si>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</si>
  <si>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</si>
  <si>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</si>
  <si>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</si>
  <si>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</si>
  <si>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</si>
  <si>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</si>
  <si>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</si>
  <si>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</si>
  <si>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</si>
  <si>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</si>
  <si>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</si>
  <si>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</si>
  <si>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</si>
  <si>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</si>
  <si>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</si>
  <si>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</si>
  <si>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</si>
  <si>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</si>
  <si>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</si>
  <si>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</si>
  <si>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</si>
  <si>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</si>
  <si>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</si>
  <si>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</si>
  <si>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</si>
  <si>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</si>
  <si>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</si>
  <si>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</si>
  <si>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</si>
  <si>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</si>
  <si>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</si>
  <si>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</si>
  <si>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</si>
  <si>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</si>
  <si>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</si>
  <si>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</si>
  <si>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</si>
  <si>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</si>
  <si>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</si>
  <si>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</si>
  <si>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</si>
  <si>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</si>
  <si>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</si>
  <si>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</si>
  <si>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</si>
  <si>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</si>
  <si>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</si>
  <si>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</si>
  <si>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</si>
  <si>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</si>
  <si>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</si>
  <si>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</si>
  <si>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</si>
  <si>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</si>
  <si>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</si>
  <si>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</si>
  <si>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</si>
  <si>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</si>
  <si>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</si>
  <si>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</si>
  <si>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</si>
  <si>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</si>
  <si>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</si>
  <si>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</si>
  <si>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</si>
  <si>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</si>
  <si>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</si>
  <si>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</si>
  <si>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</si>
  <si>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</si>
  <si>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</si>
  <si>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</si>
  <si>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</si>
  <si>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</si>
  <si>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</si>
  <si>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</si>
  <si>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</si>
  <si>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</si>
  <si>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</si>
  <si>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</si>
  <si>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</si>
  <si>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</si>
  <si>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</si>
  <si>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</si>
  <si>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</si>
  <si>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</si>
  <si>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</si>
  <si>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</si>
  <si>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</si>
  <si>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</si>
  <si>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</si>
  <si>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</si>
  <si>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</si>
  <si>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</si>
  <si>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</si>
  <si>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</si>
  <si>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</si>
  <si>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</si>
  <si>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</si>
  <si>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</si>
  <si>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</si>
  <si>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</si>
  <si>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</si>
  <si>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</si>
  <si>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</si>
  <si>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</si>
  <si>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</si>
  <si>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</si>
  <si>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</si>
  <si>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</si>
  <si>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</si>
  <si>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</si>
  <si>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</si>
  <si>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</si>
  <si>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</si>
  <si>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</si>
  <si>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</si>
  <si>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</si>
  <si>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</si>
  <si>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</si>
  <si>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</si>
  <si>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</si>
  <si>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</si>
  <si>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</si>
  <si>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</si>
  <si>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</si>
  <si>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</si>
  <si>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</si>
  <si>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</si>
  <si>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</si>
  <si>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</si>
  <si>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</si>
  <si>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</si>
  <si>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</si>
  <si>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</si>
  <si>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</si>
  <si>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</si>
  <si>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</si>
  <si>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</si>
  <si>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</si>
  <si>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</si>
  <si>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</si>
  <si>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</si>
  <si>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</si>
  <si>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</si>
  <si>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</si>
  <si>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</si>
  <si>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</si>
  <si>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</si>
  <si>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</si>
  <si>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</si>
  <si>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</si>
  <si>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</si>
  <si>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</si>
  <si>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</si>
  <si>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</si>
  <si>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</si>
  <si>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</si>
  <si>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</si>
  <si>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</si>
  <si>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</si>
  <si>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</si>
  <si>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</si>
  <si>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</si>
  <si>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</si>
  <si>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</si>
  <si>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</si>
  <si>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</si>
  <si>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</si>
  <si>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</si>
  <si>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</si>
  <si>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</si>
  <si>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</si>
  <si>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</si>
  <si>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</si>
  <si>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</si>
  <si>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</si>
  <si>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</si>
  <si>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</si>
  <si>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</si>
  <si>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</si>
  <si>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</si>
  <si>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</si>
  <si>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</si>
  <si>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</si>
  <si>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</si>
  <si>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</si>
  <si>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</si>
  <si>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</si>
  <si>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</si>
  <si>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</si>
  <si>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</si>
  <si>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</si>
  <si>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</si>
  <si>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</si>
  <si>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</si>
  <si>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</si>
  <si>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</si>
  <si>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</si>
  <si>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</si>
  <si>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</si>
  <si>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</si>
  <si>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</si>
  <si>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</si>
  <si>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</si>
  <si>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</si>
  <si>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</si>
  <si>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</si>
  <si>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</si>
  <si>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</si>
  <si>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</si>
  <si>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</si>
  <si>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</si>
  <si>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</si>
  <si>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</si>
  <si>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</si>
  <si>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</si>
  <si>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</si>
  <si>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</si>
  <si>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</si>
  <si>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</si>
  <si>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</si>
  <si>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</si>
  <si>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</si>
  <si>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</si>
  <si>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</si>
  <si>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</si>
  <si>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</si>
  <si>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</si>
  <si>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</si>
  <si>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</si>
  <si>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</si>
  <si>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</si>
  <si>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</si>
  <si>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</si>
  <si>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</si>
  <si>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</si>
  <si>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</si>
  <si>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</si>
  <si>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</si>
  <si>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</si>
  <si>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</si>
  <si>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</si>
  <si>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</si>
  <si>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</si>
  <si>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</si>
  <si>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</si>
  <si>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</si>
  <si>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</si>
  <si>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</si>
  <si>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</si>
  <si>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</si>
  <si>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</si>
  <si>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</si>
  <si>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</si>
  <si>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</si>
  <si>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</si>
  <si>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</si>
  <si>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</si>
  <si>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</si>
  <si>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</si>
  <si>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</si>
  <si>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</si>
  <si>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</si>
  <si>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</si>
  <si>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</si>
  <si>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</si>
  <si>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</si>
  <si>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</si>
  <si>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</si>
  <si>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</si>
  <si>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</si>
  <si>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</si>
  <si>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</si>
  <si>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</si>
  <si>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</si>
  <si>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</si>
  <si>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</si>
  <si>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</si>
  <si>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</si>
  <si>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</si>
  <si>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</si>
  <si>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</si>
  <si>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</si>
  <si>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</si>
  <si>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</si>
  <si>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</si>
  <si>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</si>
  <si>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</si>
  <si>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</si>
  <si>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</si>
  <si>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</si>
  <si>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</si>
  <si>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</si>
  <si>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</si>
  <si>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</si>
  <si>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</si>
  <si>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</si>
  <si>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</si>
  <si>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</si>
  <si>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</si>
  <si>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</si>
  <si>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</si>
  <si>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</si>
  <si>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</si>
  <si>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</si>
  <si>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</si>
  <si>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</si>
  <si>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</si>
  <si>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</si>
  <si>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</si>
  <si>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</si>
  <si>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</si>
  <si>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</si>
  <si>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</si>
  <si>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</si>
  <si>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</si>
  <si>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</si>
  <si>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</si>
  <si>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</si>
  <si>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</si>
  <si>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</si>
  <si>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</si>
  <si>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</si>
  <si>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</si>
  <si>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</si>
  <si>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</si>
  <si>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</si>
  <si>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</si>
  <si>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</si>
  <si>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</si>
  <si>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</si>
  <si>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</si>
  <si>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</si>
  <si>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</si>
  <si>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</si>
  <si>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</si>
  <si>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</si>
  <si>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</si>
  <si>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</si>
  <si>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</si>
  <si>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</si>
  <si>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</si>
  <si>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</si>
  <si>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</si>
  <si>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</si>
  <si>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</si>
  <si>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</si>
  <si>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</si>
  <si>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</si>
  <si>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</si>
  <si>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</si>
  <si>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</si>
  <si>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</si>
  <si>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</si>
  <si>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</si>
  <si>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</si>
  <si>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</si>
  <si>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</si>
  <si>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</si>
  <si>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</si>
  <si>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</si>
  <si>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</si>
  <si>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</si>
  <si>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</si>
  <si>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</si>
  <si>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</si>
  <si>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</si>
  <si>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</si>
  <si>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</si>
  <si>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</si>
  <si>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</si>
  <si>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</si>
  <si>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</si>
  <si>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</si>
  <si>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</si>
  <si>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</si>
  <si>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</si>
  <si>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</si>
  <si>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</si>
  <si>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</si>
  <si>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</si>
  <si>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</si>
  <si>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</si>
  <si>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</si>
  <si>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</si>
  <si>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</si>
  <si>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</si>
  <si>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</si>
  <si>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</si>
  <si>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</si>
  <si>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</si>
  <si>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</si>
  <si>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</si>
  <si>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</si>
  <si>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</si>
  <si>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</si>
  <si>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</si>
  <si>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</si>
  <si>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</si>
  <si>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</si>
  <si>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</si>
  <si>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</si>
  <si>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</si>
  <si>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</si>
  <si>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</si>
  <si>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</si>
  <si>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</si>
  <si>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</si>
  <si>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</si>
  <si>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</si>
  <si>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</si>
  <si>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</si>
  <si>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</si>
  <si>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</si>
  <si>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</si>
  <si>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</si>
  <si>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</si>
  <si>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</si>
  <si>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</si>
  <si>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</si>
  <si>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</si>
  <si>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</si>
  <si>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</si>
  <si>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</si>
  <si>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</si>
  <si>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</si>
  <si>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</si>
  <si>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</si>
  <si>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</si>
  <si>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</si>
  <si>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</si>
  <si>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</si>
  <si>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</si>
  <si>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</si>
  <si>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</si>
  <si>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</si>
  <si>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</si>
  <si>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</si>
  <si>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</si>
  <si>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</si>
  <si>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</si>
  <si>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</si>
  <si>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</si>
  <si>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</si>
  <si>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</si>
  <si>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</si>
  <si>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</si>
  <si>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</si>
  <si>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</si>
  <si>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</si>
  <si>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</si>
  <si>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</si>
  <si>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</si>
  <si>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</si>
  <si>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</si>
  <si>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</si>
  <si>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</si>
  <si>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</si>
  <si>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</si>
  <si>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</si>
  <si>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</si>
  <si>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</si>
  <si>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</si>
  <si>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</si>
  <si>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</si>
  <si>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</si>
  <si>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</si>
  <si>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</si>
  <si>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</si>
  <si>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</si>
  <si>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</si>
  <si>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</si>
  <si>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</si>
  <si>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</si>
  <si>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</si>
  <si>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</si>
  <si>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</si>
  <si>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</si>
  <si>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</si>
  <si>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</si>
  <si>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</si>
  <si>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</si>
  <si>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</si>
  <si>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</si>
  <si>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</si>
  <si>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</si>
  <si>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</si>
  <si>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</si>
  <si>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</si>
  <si>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</si>
  <si>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</si>
  <si>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</si>
  <si>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</si>
  <si>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</si>
  <si>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</si>
  <si>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</si>
  <si>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</si>
  <si>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</si>
  <si>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</si>
  <si>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</si>
  <si>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</si>
  <si>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</si>
  <si>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</si>
  <si>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</si>
  <si>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</si>
  <si>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</si>
  <si>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</si>
  <si>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</si>
  <si>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</si>
  <si>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</si>
  <si>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</si>
  <si>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</si>
  <si>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</si>
  <si>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</si>
  <si>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</si>
  <si>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</si>
  <si>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</si>
  <si>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</si>
  <si>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</si>
  <si>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</si>
  <si>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</si>
  <si>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</si>
  <si>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</si>
  <si>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</si>
  <si>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</si>
  <si>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</si>
  <si>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</si>
  <si>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</si>
  <si>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</si>
  <si>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</si>
  <si>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</si>
  <si>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</si>
  <si>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</si>
  <si>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</si>
  <si>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</si>
  <si>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</si>
  <si>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</si>
  <si>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</si>
  <si>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</si>
  <si>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</si>
  <si>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</si>
  <si>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</si>
  <si>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</si>
  <si>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</si>
  <si>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</si>
  <si>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</si>
  <si>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</si>
  <si>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</si>
  <si>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</si>
  <si>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</si>
  <si>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</si>
  <si>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</si>
  <si>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</si>
  <si>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</si>
  <si>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</si>
  <si>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</si>
  <si>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</si>
  <si>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</si>
  <si>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</si>
  <si>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</si>
  <si>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</si>
  <si>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</si>
  <si>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</si>
  <si>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</si>
  <si>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</si>
  <si>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</si>
  <si>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</si>
  <si>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</si>
  <si>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</si>
  <si>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</si>
  <si>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</si>
  <si>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</si>
  <si>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</si>
  <si>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</si>
  <si>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</si>
  <si>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</si>
  <si>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</si>
  <si>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</si>
  <si>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</si>
  <si>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</si>
  <si>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</si>
  <si>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</si>
  <si>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</si>
  <si>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</si>
  <si>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</si>
  <si>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</si>
  <si>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</si>
  <si>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</si>
  <si>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</si>
  <si>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</si>
  <si>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</si>
  <si>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</si>
  <si>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</si>
  <si>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</si>
  <si>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</si>
  <si>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</si>
  <si>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</si>
  <si>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</si>
  <si>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</si>
  <si>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</si>
  <si>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</si>
  <si>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</si>
  <si>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</si>
  <si>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</si>
  <si>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</si>
  <si>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</si>
  <si>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</si>
  <si>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</si>
  <si>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</si>
  <si>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</si>
  <si>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</si>
  <si>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</si>
  <si>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</si>
  <si>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</si>
  <si>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</si>
  <si>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</si>
  <si>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</si>
  <si>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</si>
  <si>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</si>
  <si>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</si>
  <si>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</si>
  <si>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</si>
  <si>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</si>
  <si>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</si>
  <si>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</si>
  <si>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</si>
  <si>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</si>
  <si>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</si>
  <si>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</si>
  <si>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</si>
  <si>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</si>
  <si>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</si>
  <si>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</si>
  <si>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</si>
  <si>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</si>
  <si>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</si>
  <si>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</si>
  <si>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</si>
  <si>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</si>
  <si>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</si>
  <si>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</si>
  <si>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</si>
  <si>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</si>
  <si>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</si>
  <si>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</si>
  <si>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</si>
  <si>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</si>
  <si>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</si>
  <si>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</si>
  <si>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</si>
  <si>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</si>
  <si>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</si>
  <si>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</si>
  <si>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</si>
  <si>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</si>
  <si>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</si>
  <si>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</si>
  <si>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</si>
  <si>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</si>
  <si>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</si>
  <si>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</si>
  <si>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</si>
  <si>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</si>
  <si>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</si>
  <si>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</si>
  <si>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</si>
  <si>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33021</t>
  </si>
  <si>
    <t>POPERINGE</t>
  </si>
  <si>
    <t>Eandis (januari 2018); Infrax (juni 2018)</t>
  </si>
  <si>
    <t>MOW (september 2017)</t>
  </si>
  <si>
    <t>referentietaak LNE (2017); Jaarverslag De Lijn (2016)</t>
  </si>
  <si>
    <t>VEA (april 2018)</t>
  </si>
  <si>
    <t>VEA (januari 2017)</t>
  </si>
  <si>
    <t>VEA (juni 2018)</t>
  </si>
  <si>
    <t>Eurofreez NV</t>
  </si>
  <si>
    <t>Molendreef 22 , 8972 Proven</t>
  </si>
  <si>
    <t>WKK-0416 Eurofreez</t>
  </si>
  <si>
    <t>interne verbrandingsmotor</t>
  </si>
  <si>
    <t>WKK interne verbrandinsgmotor (gas)</t>
  </si>
  <si>
    <t>GASELWEST</t>
  </si>
  <si>
    <t>Zwembad De Kouter</t>
  </si>
  <si>
    <t>WKK-0810</t>
  </si>
  <si>
    <t>Interne verbrandingsmotor</t>
  </si>
  <si>
    <t>Bruggestraat 42, 8970 Poperinge, BE</t>
  </si>
  <si>
    <t>GASELWEST (via EANDIS)</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</si>
</sst>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178205.08365164409</c:v>
                </c:pt>
                <c:pt idx="1">
                  <c:v>54792.713161531436</c:v>
                </c:pt>
                <c:pt idx="2">
                  <c:v>1436.7850000000001</c:v>
                </c:pt>
                <c:pt idx="3">
                  <c:v>56698.828409823451</c:v>
                </c:pt>
                <c:pt idx="4">
                  <c:v>133620.70411803681</c:v>
                </c:pt>
                <c:pt idx="5">
                  <c:v>80459.490325746228</c:v>
                </c:pt>
                <c:pt idx="6">
                  <c:v>683.60280620259778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00864"/>
        <c:axId val="183755904"/>
      </c:barChart>
      <c:catAx>
        <c:axId val="183700864"/>
        <c:scaling>
          <c:orientation val="minMax"/>
        </c:scaling>
        <c:axPos val="b"/>
        <c:numFmt formatCode="General" sourceLinked="0"/>
        <c:tickLblPos val="nextTo"/>
        <c:crossAx val="183755904"/>
        <c:crosses val="autoZero"/>
        <c:auto val="1"/>
        <c:lblAlgn val="ctr"/>
        <c:lblOffset val="100"/>
      </c:catAx>
      <c:valAx>
        <c:axId val="183755904"/>
        <c:scaling>
          <c:orientation val="minMax"/>
        </c:scaling>
        <c:axPos val="l"/>
        <c:majorGridlines>
          <c:spPr>
            <a:ln>
              <a:noFill/>
            </a:ln>
          </c:spPr>
        </c:majorGridlines>
        <c:numFmt formatCode="#,##0" sourceLinked="1"/>
        <c:tickLblPos val="nextTo"/>
        <c:crossAx val="18370086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178205.08365164409</c:v>
                </c:pt>
                <c:pt idx="1">
                  <c:v>54792.713161531436</c:v>
                </c:pt>
                <c:pt idx="2">
                  <c:v>1436.7850000000001</c:v>
                </c:pt>
                <c:pt idx="3">
                  <c:v>56698.828409823451</c:v>
                </c:pt>
                <c:pt idx="4">
                  <c:v>133620.70411803681</c:v>
                </c:pt>
                <c:pt idx="5">
                  <c:v>80459.490325746228</c:v>
                </c:pt>
                <c:pt idx="6">
                  <c:v>683.60280620259778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31045.719304142709</c:v>
                </c:pt>
                <c:pt idx="1">
                  <c:v>10159.714695678751</c:v>
                </c:pt>
                <c:pt idx="2">
                  <c:v>241.67135122379102</c:v>
                </c:pt>
                <c:pt idx="3">
                  <c:v>14011.985216361609</c:v>
                </c:pt>
                <c:pt idx="4">
                  <c:v>24704.794989301296</c:v>
                </c:pt>
                <c:pt idx="5">
                  <c:v>20150.150491726828</c:v>
                </c:pt>
                <c:pt idx="6">
                  <c:v>172.71263409274167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49888"/>
        <c:axId val="184151424"/>
      </c:barChart>
      <c:catAx>
        <c:axId val="184149888"/>
        <c:scaling>
          <c:orientation val="minMax"/>
        </c:scaling>
        <c:axPos val="b"/>
        <c:numFmt formatCode="General" sourceLinked="0"/>
        <c:tickLblPos val="nextTo"/>
        <c:crossAx val="184151424"/>
        <c:crosses val="autoZero"/>
        <c:auto val="1"/>
        <c:lblAlgn val="ctr"/>
        <c:lblOffset val="100"/>
      </c:catAx>
      <c:valAx>
        <c:axId val="184151424"/>
        <c:scaling>
          <c:orientation val="minMax"/>
        </c:scaling>
        <c:axPos val="l"/>
        <c:majorGridlines>
          <c:spPr>
            <a:ln>
              <a:noFill/>
            </a:ln>
          </c:spPr>
        </c:majorGridlines>
        <c:numFmt formatCode="#,##0" sourceLinked="1"/>
        <c:tickLblPos val="nextTo"/>
        <c:crossAx val="18414988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31045.719304142709</c:v>
                </c:pt>
                <c:pt idx="1">
                  <c:v>10159.714695678751</c:v>
                </c:pt>
                <c:pt idx="2">
                  <c:v>241.67135122379102</c:v>
                </c:pt>
                <c:pt idx="3">
                  <c:v>14011.985216361609</c:v>
                </c:pt>
                <c:pt idx="4">
                  <c:v>24704.794989301296</c:v>
                </c:pt>
                <c:pt idx="5">
                  <c:v>20150.150491726828</c:v>
                </c:pt>
                <c:pt idx="6">
                  <c:v>172.71263409274167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33021</v>
      </c>
      <c r="B6" s="415"/>
      <c r="C6" s="416"/>
    </row>
    <row r="7" spans="1:7" s="413" customFormat="1" ht="15.75" customHeight="1">
      <c r="A7" s="417" t="str">
        <f>txtMunicipality</f>
        <v>POPERINGE</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22780.353156314955</v>
      </c>
      <c r="D10" s="718">
        <f ca="1">tertiair!C16</f>
        <v>433.92857142857144</v>
      </c>
      <c r="E10" s="718">
        <f ca="1">tertiair!D16</f>
        <v>27319.871967386618</v>
      </c>
      <c r="F10" s="718">
        <f>tertiair!E16</f>
        <v>309.06991281260662</v>
      </c>
      <c r="G10" s="718">
        <f ca="1">tertiair!F16</f>
        <v>3591.5866538308937</v>
      </c>
      <c r="H10" s="718">
        <f>tertiair!G16</f>
        <v>0</v>
      </c>
      <c r="I10" s="718">
        <f>tertiair!H16</f>
        <v>0</v>
      </c>
      <c r="J10" s="718">
        <f>tertiair!I16</f>
        <v>0</v>
      </c>
      <c r="K10" s="718">
        <f>tertiair!J16</f>
        <v>4.3016355193617378E-2</v>
      </c>
      <c r="L10" s="718">
        <f>tertiair!K16</f>
        <v>0</v>
      </c>
      <c r="M10" s="718">
        <f ca="1">tertiair!L16</f>
        <v>0</v>
      </c>
      <c r="N10" s="718">
        <f>tertiair!M16</f>
        <v>0</v>
      </c>
      <c r="O10" s="718">
        <f ca="1">tertiair!N16</f>
        <v>1731.1915500692594</v>
      </c>
      <c r="P10" s="718">
        <f>tertiair!O16</f>
        <v>6.2533333333333339</v>
      </c>
      <c r="Q10" s="719">
        <f>tertiair!P16</f>
        <v>57.2</v>
      </c>
      <c r="R10" s="721">
        <f ca="1">SUM(C10:Q10)</f>
        <v>56229.498161531425</v>
      </c>
      <c r="S10" s="67"/>
    </row>
    <row r="11" spans="1:19" s="474" customFormat="1">
      <c r="A11" s="870" t="s">
        <v>225</v>
      </c>
      <c r="B11" s="875"/>
      <c r="C11" s="718">
        <f>huishoudens!B8</f>
        <v>30745.273782105462</v>
      </c>
      <c r="D11" s="718">
        <f>huishoudens!C8</f>
        <v>0</v>
      </c>
      <c r="E11" s="718">
        <f>huishoudens!D8</f>
        <v>70114.498048617606</v>
      </c>
      <c r="F11" s="718">
        <f>huishoudens!E8</f>
        <v>10946.879452897787</v>
      </c>
      <c r="G11" s="718">
        <f>huishoudens!F8</f>
        <v>16757.487943038897</v>
      </c>
      <c r="H11" s="718">
        <f>huishoudens!G8</f>
        <v>0</v>
      </c>
      <c r="I11" s="718">
        <f>huishoudens!H8</f>
        <v>0</v>
      </c>
      <c r="J11" s="718">
        <f>huishoudens!I8</f>
        <v>0</v>
      </c>
      <c r="K11" s="718">
        <f>huishoudens!J8</f>
        <v>13423.606476543369</v>
      </c>
      <c r="L11" s="718">
        <f>huishoudens!K8</f>
        <v>0</v>
      </c>
      <c r="M11" s="718">
        <f>huishoudens!L8</f>
        <v>0</v>
      </c>
      <c r="N11" s="718">
        <f>huishoudens!M8</f>
        <v>0</v>
      </c>
      <c r="O11" s="718">
        <f>huishoudens!N8</f>
        <v>34789.671281774281</v>
      </c>
      <c r="P11" s="718">
        <f>huishoudens!O8</f>
        <v>531.5333333333333</v>
      </c>
      <c r="Q11" s="719">
        <f>huishoudens!P8</f>
        <v>896.13333333333333</v>
      </c>
      <c r="R11" s="721">
        <f>SUM(C11:Q11)</f>
        <v>178205.08365164409</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43816.430776697496</v>
      </c>
      <c r="D13" s="718">
        <f>industrie!C18</f>
        <v>1607.1428571428571</v>
      </c>
      <c r="E13" s="718">
        <f>industrie!D18</f>
        <v>68940.420947423816</v>
      </c>
      <c r="F13" s="718">
        <f>industrie!E18</f>
        <v>2890.5483020404517</v>
      </c>
      <c r="G13" s="718">
        <f>industrie!F18</f>
        <v>9830.5642084364463</v>
      </c>
      <c r="H13" s="718">
        <f>industrie!G18</f>
        <v>0</v>
      </c>
      <c r="I13" s="718">
        <f>industrie!H18</f>
        <v>0</v>
      </c>
      <c r="J13" s="718">
        <f>industrie!I18</f>
        <v>0</v>
      </c>
      <c r="K13" s="718">
        <f>industrie!J18</f>
        <v>131.82886702970765</v>
      </c>
      <c r="L13" s="718">
        <f>industrie!K18</f>
        <v>0</v>
      </c>
      <c r="M13" s="718">
        <f>industrie!L18</f>
        <v>0</v>
      </c>
      <c r="N13" s="718">
        <f>industrie!M18</f>
        <v>0</v>
      </c>
      <c r="O13" s="718">
        <f>industrie!N18</f>
        <v>6403.7681592660347</v>
      </c>
      <c r="P13" s="718">
        <f>industrie!O18</f>
        <v>0</v>
      </c>
      <c r="Q13" s="719">
        <f>industrie!P18</f>
        <v>0</v>
      </c>
      <c r="R13" s="721">
        <f>SUM(C13:Q13)</f>
        <v>133620.70411803681</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97342.057715117917</v>
      </c>
      <c r="D15" s="723">
        <f t="shared" ref="D15:Q15" ca="1" si="0">SUM(D9:D14)</f>
        <v>2041.0714285714284</v>
      </c>
      <c r="E15" s="723">
        <f t="shared" ca="1" si="0"/>
        <v>166374.79096342804</v>
      </c>
      <c r="F15" s="723">
        <f t="shared" si="0"/>
        <v>14146.497667750846</v>
      </c>
      <c r="G15" s="723">
        <f t="shared" ca="1" si="0"/>
        <v>30179.63880530624</v>
      </c>
      <c r="H15" s="723">
        <f t="shared" si="0"/>
        <v>0</v>
      </c>
      <c r="I15" s="723">
        <f t="shared" si="0"/>
        <v>0</v>
      </c>
      <c r="J15" s="723">
        <f t="shared" si="0"/>
        <v>0</v>
      </c>
      <c r="K15" s="723">
        <f t="shared" si="0"/>
        <v>13555.478359928271</v>
      </c>
      <c r="L15" s="723">
        <f t="shared" si="0"/>
        <v>0</v>
      </c>
      <c r="M15" s="723">
        <f t="shared" ca="1" si="0"/>
        <v>0</v>
      </c>
      <c r="N15" s="723">
        <f t="shared" si="0"/>
        <v>0</v>
      </c>
      <c r="O15" s="723">
        <f t="shared" ca="1" si="0"/>
        <v>42924.630991109574</v>
      </c>
      <c r="P15" s="723">
        <f t="shared" si="0"/>
        <v>537.78666666666663</v>
      </c>
      <c r="Q15" s="724">
        <f t="shared" si="0"/>
        <v>953.33333333333337</v>
      </c>
      <c r="R15" s="725">
        <f ca="1">SUM(R9:R14)</f>
        <v>368055.28593121236</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646.86379810015603</v>
      </c>
      <c r="I18" s="718">
        <f>transport!H54</f>
        <v>0</v>
      </c>
      <c r="J18" s="718">
        <f>transport!I54</f>
        <v>0</v>
      </c>
      <c r="K18" s="718">
        <f>transport!J54</f>
        <v>0</v>
      </c>
      <c r="L18" s="718">
        <f>transport!K54</f>
        <v>0</v>
      </c>
      <c r="M18" s="718">
        <f>transport!L54</f>
        <v>0</v>
      </c>
      <c r="N18" s="718">
        <f>transport!M54</f>
        <v>36.739008102441737</v>
      </c>
      <c r="O18" s="718">
        <f>transport!N54</f>
        <v>0</v>
      </c>
      <c r="P18" s="718">
        <f>transport!O54</f>
        <v>0</v>
      </c>
      <c r="Q18" s="719">
        <f>transport!P54</f>
        <v>0</v>
      </c>
      <c r="R18" s="721">
        <f>SUM(C18:Q18)</f>
        <v>683.60280620259778</v>
      </c>
      <c r="S18" s="67"/>
    </row>
    <row r="19" spans="1:19" s="474" customFormat="1" ht="15" thickBot="1">
      <c r="A19" s="870" t="s">
        <v>307</v>
      </c>
      <c r="B19" s="875"/>
      <c r="C19" s="727">
        <f>transport!B14</f>
        <v>30.44756195941449</v>
      </c>
      <c r="D19" s="727">
        <f>transport!C14</f>
        <v>0</v>
      </c>
      <c r="E19" s="727">
        <f>transport!D14</f>
        <v>111.49992283220864</v>
      </c>
      <c r="F19" s="727">
        <f>transport!E14</f>
        <v>147.67100477556835</v>
      </c>
      <c r="G19" s="727">
        <f>transport!F14</f>
        <v>0</v>
      </c>
      <c r="H19" s="727">
        <f>transport!G14</f>
        <v>63545.378598745068</v>
      </c>
      <c r="I19" s="727">
        <f>transport!H14</f>
        <v>12539.633478946911</v>
      </c>
      <c r="J19" s="727">
        <f>transport!I14</f>
        <v>0</v>
      </c>
      <c r="K19" s="727">
        <f>transport!J14</f>
        <v>0</v>
      </c>
      <c r="L19" s="727">
        <f>transport!K14</f>
        <v>0</v>
      </c>
      <c r="M19" s="727">
        <f>transport!L14</f>
        <v>0</v>
      </c>
      <c r="N19" s="727">
        <f>transport!M14</f>
        <v>4084.8597584870581</v>
      </c>
      <c r="O19" s="727">
        <f>transport!N14</f>
        <v>0</v>
      </c>
      <c r="P19" s="727">
        <f>transport!O14</f>
        <v>0</v>
      </c>
      <c r="Q19" s="728">
        <f>transport!P14</f>
        <v>0</v>
      </c>
      <c r="R19" s="729">
        <f>SUM(C19:Q19)</f>
        <v>80459.490325746228</v>
      </c>
      <c r="S19" s="67"/>
    </row>
    <row r="20" spans="1:19" s="474" customFormat="1" ht="15.75" thickBot="1">
      <c r="A20" s="730" t="s">
        <v>230</v>
      </c>
      <c r="B20" s="878"/>
      <c r="C20" s="873">
        <f>SUM(C17:C19)</f>
        <v>30.44756195941449</v>
      </c>
      <c r="D20" s="731">
        <f t="shared" ref="D20:R20" si="1">SUM(D17:D19)</f>
        <v>0</v>
      </c>
      <c r="E20" s="731">
        <f t="shared" si="1"/>
        <v>111.49992283220864</v>
      </c>
      <c r="F20" s="731">
        <f t="shared" si="1"/>
        <v>147.67100477556835</v>
      </c>
      <c r="G20" s="731">
        <f t="shared" si="1"/>
        <v>0</v>
      </c>
      <c r="H20" s="731">
        <f t="shared" si="1"/>
        <v>64192.242396845228</v>
      </c>
      <c r="I20" s="731">
        <f t="shared" si="1"/>
        <v>12539.633478946911</v>
      </c>
      <c r="J20" s="731">
        <f t="shared" si="1"/>
        <v>0</v>
      </c>
      <c r="K20" s="731">
        <f t="shared" si="1"/>
        <v>0</v>
      </c>
      <c r="L20" s="731">
        <f t="shared" si="1"/>
        <v>0</v>
      </c>
      <c r="M20" s="731">
        <f t="shared" si="1"/>
        <v>0</v>
      </c>
      <c r="N20" s="731">
        <f t="shared" si="1"/>
        <v>4121.5987665895</v>
      </c>
      <c r="O20" s="731">
        <f t="shared" si="1"/>
        <v>0</v>
      </c>
      <c r="P20" s="731">
        <f t="shared" si="1"/>
        <v>0</v>
      </c>
      <c r="Q20" s="732">
        <f t="shared" si="1"/>
        <v>0</v>
      </c>
      <c r="R20" s="733">
        <f t="shared" si="1"/>
        <v>81143.09313194883</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9851.257393490725</v>
      </c>
      <c r="D22" s="727">
        <f>+landbouw!C8</f>
        <v>0</v>
      </c>
      <c r="E22" s="727">
        <f>+landbouw!D8</f>
        <v>4090.9708669086326</v>
      </c>
      <c r="F22" s="727">
        <f>+landbouw!E8</f>
        <v>289.55854400771409</v>
      </c>
      <c r="G22" s="727">
        <f>+landbouw!F8</f>
        <v>41039.80596727378</v>
      </c>
      <c r="H22" s="727">
        <f>+landbouw!G8</f>
        <v>0</v>
      </c>
      <c r="I22" s="727">
        <f>+landbouw!H8</f>
        <v>0</v>
      </c>
      <c r="J22" s="727">
        <f>+landbouw!I8</f>
        <v>0</v>
      </c>
      <c r="K22" s="727">
        <f>+landbouw!J8</f>
        <v>1427.235638142598</v>
      </c>
      <c r="L22" s="727">
        <f>+landbouw!K8</f>
        <v>0</v>
      </c>
      <c r="M22" s="727">
        <f>+landbouw!L8</f>
        <v>0</v>
      </c>
      <c r="N22" s="727">
        <f>+landbouw!M8</f>
        <v>0</v>
      </c>
      <c r="O22" s="727">
        <f>+landbouw!N8</f>
        <v>0</v>
      </c>
      <c r="P22" s="727">
        <f>+landbouw!O8</f>
        <v>0</v>
      </c>
      <c r="Q22" s="728">
        <f>+landbouw!P8</f>
        <v>0</v>
      </c>
      <c r="R22" s="729">
        <f>SUM(C22:Q22)</f>
        <v>56698.828409823451</v>
      </c>
      <c r="S22" s="67"/>
    </row>
    <row r="23" spans="1:19" s="474" customFormat="1" ht="17.25" thickTop="1" thickBot="1">
      <c r="A23" s="734" t="s">
        <v>116</v>
      </c>
      <c r="B23" s="864"/>
      <c r="C23" s="735">
        <f ca="1">C20+C15+C22</f>
        <v>107223.76267056806</v>
      </c>
      <c r="D23" s="735">
        <f t="shared" ref="D23:Q23" ca="1" si="2">D20+D15+D22</f>
        <v>2041.0714285714284</v>
      </c>
      <c r="E23" s="735">
        <f t="shared" ca="1" si="2"/>
        <v>170577.26175316889</v>
      </c>
      <c r="F23" s="735">
        <f t="shared" si="2"/>
        <v>14583.727216534127</v>
      </c>
      <c r="G23" s="735">
        <f t="shared" ca="1" si="2"/>
        <v>71219.444772580027</v>
      </c>
      <c r="H23" s="735">
        <f t="shared" si="2"/>
        <v>64192.242396845228</v>
      </c>
      <c r="I23" s="735">
        <f t="shared" si="2"/>
        <v>12539.633478946911</v>
      </c>
      <c r="J23" s="735">
        <f t="shared" si="2"/>
        <v>0</v>
      </c>
      <c r="K23" s="735">
        <f t="shared" si="2"/>
        <v>14982.713998070869</v>
      </c>
      <c r="L23" s="735">
        <f t="shared" si="2"/>
        <v>0</v>
      </c>
      <c r="M23" s="735">
        <f t="shared" ca="1" si="2"/>
        <v>0</v>
      </c>
      <c r="N23" s="735">
        <f t="shared" si="2"/>
        <v>4121.5987665895</v>
      </c>
      <c r="O23" s="735">
        <f t="shared" ca="1" si="2"/>
        <v>42924.630991109574</v>
      </c>
      <c r="P23" s="735">
        <f t="shared" si="2"/>
        <v>537.78666666666663</v>
      </c>
      <c r="Q23" s="736">
        <f t="shared" si="2"/>
        <v>953.33333333333337</v>
      </c>
      <c r="R23" s="737">
        <f ca="1">R20+R15+R22</f>
        <v>505897.20747298468</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3831.7206322739921</v>
      </c>
      <c r="D36" s="718">
        <f ca="1">tertiair!C20</f>
        <v>21.92354264540462</v>
      </c>
      <c r="E36" s="718">
        <f ca="1">tertiair!D20</f>
        <v>5518.6141374120971</v>
      </c>
      <c r="F36" s="718">
        <f>tertiair!E20</f>
        <v>70.158870208461707</v>
      </c>
      <c r="G36" s="718">
        <f ca="1">tertiair!F20</f>
        <v>958.95363657284872</v>
      </c>
      <c r="H36" s="718">
        <f>tertiair!G20</f>
        <v>0</v>
      </c>
      <c r="I36" s="718">
        <f>tertiair!H20</f>
        <v>0</v>
      </c>
      <c r="J36" s="718">
        <f>tertiair!I20</f>
        <v>0</v>
      </c>
      <c r="K36" s="718">
        <f>tertiair!J20</f>
        <v>1.5227789738540552E-2</v>
      </c>
      <c r="L36" s="718">
        <f>tertiair!K20</f>
        <v>0</v>
      </c>
      <c r="M36" s="718">
        <f ca="1">tertiair!L20</f>
        <v>0</v>
      </c>
      <c r="N36" s="718">
        <f>tertiair!M20</f>
        <v>0</v>
      </c>
      <c r="O36" s="718">
        <f ca="1">tertiair!N20</f>
        <v>0</v>
      </c>
      <c r="P36" s="718">
        <f>tertiair!O20</f>
        <v>0</v>
      </c>
      <c r="Q36" s="828">
        <f>tertiair!P20</f>
        <v>0</v>
      </c>
      <c r="R36" s="917">
        <f ca="1">SUM(C36:Q36)</f>
        <v>10401.386046902542</v>
      </c>
    </row>
    <row r="37" spans="1:18">
      <c r="A37" s="885" t="s">
        <v>225</v>
      </c>
      <c r="B37" s="892"/>
      <c r="C37" s="718">
        <f ca="1">huishoudens!B12</f>
        <v>5171.4430890264184</v>
      </c>
      <c r="D37" s="718">
        <f ca="1">huishoudens!C12</f>
        <v>0</v>
      </c>
      <c r="E37" s="718">
        <f>huishoudens!D12</f>
        <v>14163.128605820757</v>
      </c>
      <c r="F37" s="718">
        <f>huishoudens!E12</f>
        <v>2484.9416358077979</v>
      </c>
      <c r="G37" s="718">
        <f>huishoudens!F12</f>
        <v>4474.2492807913859</v>
      </c>
      <c r="H37" s="718">
        <f>huishoudens!G12</f>
        <v>0</v>
      </c>
      <c r="I37" s="718">
        <f>huishoudens!H12</f>
        <v>0</v>
      </c>
      <c r="J37" s="718">
        <f>huishoudens!I12</f>
        <v>0</v>
      </c>
      <c r="K37" s="718">
        <f>huishoudens!J12</f>
        <v>4751.9566926963525</v>
      </c>
      <c r="L37" s="718">
        <f>huishoudens!K12</f>
        <v>0</v>
      </c>
      <c r="M37" s="718">
        <f>huishoudens!L12</f>
        <v>0</v>
      </c>
      <c r="N37" s="718">
        <f>huishoudens!M12</f>
        <v>0</v>
      </c>
      <c r="O37" s="718">
        <f>huishoudens!N12</f>
        <v>0</v>
      </c>
      <c r="P37" s="718">
        <f>huishoudens!O12</f>
        <v>0</v>
      </c>
      <c r="Q37" s="828">
        <f>huishoudens!P12</f>
        <v>0</v>
      </c>
      <c r="R37" s="917">
        <f ca="1">SUM(C37:Q37)</f>
        <v>31045.719304142709</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7370.0491246833635</v>
      </c>
      <c r="D39" s="718">
        <f ca="1">industrie!C22</f>
        <v>81.19830609409118</v>
      </c>
      <c r="E39" s="718">
        <f>industrie!D22</f>
        <v>13925.965031379612</v>
      </c>
      <c r="F39" s="718">
        <f>industrie!E22</f>
        <v>656.15446456318261</v>
      </c>
      <c r="G39" s="718">
        <f>industrie!F22</f>
        <v>2624.7606436525311</v>
      </c>
      <c r="H39" s="718">
        <f>industrie!G22</f>
        <v>0</v>
      </c>
      <c r="I39" s="718">
        <f>industrie!H22</f>
        <v>0</v>
      </c>
      <c r="J39" s="718">
        <f>industrie!I22</f>
        <v>0</v>
      </c>
      <c r="K39" s="718">
        <f>industrie!J22</f>
        <v>46.667418928516504</v>
      </c>
      <c r="L39" s="718">
        <f>industrie!K22</f>
        <v>0</v>
      </c>
      <c r="M39" s="718">
        <f>industrie!L22</f>
        <v>0</v>
      </c>
      <c r="N39" s="718">
        <f>industrie!M22</f>
        <v>0</v>
      </c>
      <c r="O39" s="718">
        <f>industrie!N22</f>
        <v>0</v>
      </c>
      <c r="P39" s="718">
        <f>industrie!O22</f>
        <v>0</v>
      </c>
      <c r="Q39" s="828">
        <f>industrie!P22</f>
        <v>0</v>
      </c>
      <c r="R39" s="918">
        <f ca="1">SUM(C39:Q39)</f>
        <v>24704.794989301296</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16373.212845983773</v>
      </c>
      <c r="D41" s="763">
        <f t="shared" ref="D41:R41" ca="1" si="4">SUM(D35:D40)</f>
        <v>103.1218487394958</v>
      </c>
      <c r="E41" s="763">
        <f t="shared" ca="1" si="4"/>
        <v>33607.707774612471</v>
      </c>
      <c r="F41" s="763">
        <f t="shared" si="4"/>
        <v>3211.2549705794422</v>
      </c>
      <c r="G41" s="763">
        <f t="shared" ca="1" si="4"/>
        <v>8057.9635610167661</v>
      </c>
      <c r="H41" s="763">
        <f t="shared" si="4"/>
        <v>0</v>
      </c>
      <c r="I41" s="763">
        <f t="shared" si="4"/>
        <v>0</v>
      </c>
      <c r="J41" s="763">
        <f t="shared" si="4"/>
        <v>0</v>
      </c>
      <c r="K41" s="763">
        <f t="shared" si="4"/>
        <v>4798.639339414608</v>
      </c>
      <c r="L41" s="763">
        <f t="shared" si="4"/>
        <v>0</v>
      </c>
      <c r="M41" s="763">
        <f t="shared" ca="1" si="4"/>
        <v>0</v>
      </c>
      <c r="N41" s="763">
        <f t="shared" si="4"/>
        <v>0</v>
      </c>
      <c r="O41" s="763">
        <f t="shared" ca="1" si="4"/>
        <v>0</v>
      </c>
      <c r="P41" s="763">
        <f t="shared" si="4"/>
        <v>0</v>
      </c>
      <c r="Q41" s="764">
        <f t="shared" si="4"/>
        <v>0</v>
      </c>
      <c r="R41" s="765">
        <f t="shared" ca="1" si="4"/>
        <v>66151.900340346547</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172.71263409274167</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172.71263409274167</v>
      </c>
    </row>
    <row r="45" spans="1:18" ht="15" thickBot="1">
      <c r="A45" s="888" t="s">
        <v>307</v>
      </c>
      <c r="B45" s="898"/>
      <c r="C45" s="727">
        <f ca="1">transport!B18</f>
        <v>5.1213671079540761</v>
      </c>
      <c r="D45" s="727">
        <f>transport!C18</f>
        <v>0</v>
      </c>
      <c r="E45" s="727">
        <f>transport!D18</f>
        <v>22.522984412106148</v>
      </c>
      <c r="F45" s="727">
        <f>transport!E18</f>
        <v>33.521318084054016</v>
      </c>
      <c r="G45" s="727">
        <f>transport!F18</f>
        <v>0</v>
      </c>
      <c r="H45" s="727">
        <f>transport!G18</f>
        <v>16966.616085864935</v>
      </c>
      <c r="I45" s="727">
        <f>transport!H18</f>
        <v>3122.3687362577807</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20150.150491726828</v>
      </c>
    </row>
    <row r="46" spans="1:18" ht="15.75" thickBot="1">
      <c r="A46" s="886" t="s">
        <v>230</v>
      </c>
      <c r="B46" s="899"/>
      <c r="C46" s="763">
        <f t="shared" ref="C46:R46" ca="1" si="5">SUM(C43:C45)</f>
        <v>5.1213671079540761</v>
      </c>
      <c r="D46" s="763">
        <f t="shared" ca="1" si="5"/>
        <v>0</v>
      </c>
      <c r="E46" s="763">
        <f t="shared" si="5"/>
        <v>22.522984412106148</v>
      </c>
      <c r="F46" s="763">
        <f t="shared" si="5"/>
        <v>33.521318084054016</v>
      </c>
      <c r="G46" s="763">
        <f t="shared" si="5"/>
        <v>0</v>
      </c>
      <c r="H46" s="763">
        <f t="shared" si="5"/>
        <v>17139.328719957677</v>
      </c>
      <c r="I46" s="763">
        <f t="shared" si="5"/>
        <v>3122.3687362577807</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20322.863125819571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1657.0097025917344</v>
      </c>
      <c r="D48" s="718">
        <f ca="1">+landbouw!C12</f>
        <v>0</v>
      </c>
      <c r="E48" s="718">
        <f>+landbouw!D12</f>
        <v>826.37611511554383</v>
      </c>
      <c r="F48" s="718">
        <f>+landbouw!E12</f>
        <v>65.729789489751099</v>
      </c>
      <c r="G48" s="718">
        <f>+landbouw!F12</f>
        <v>10957.6281932621</v>
      </c>
      <c r="H48" s="718">
        <f>+landbouw!G12</f>
        <v>0</v>
      </c>
      <c r="I48" s="718">
        <f>+landbouw!H12</f>
        <v>0</v>
      </c>
      <c r="J48" s="718">
        <f>+landbouw!I12</f>
        <v>0</v>
      </c>
      <c r="K48" s="718">
        <f>+landbouw!J12</f>
        <v>505.24141590247967</v>
      </c>
      <c r="L48" s="718">
        <f>+landbouw!K12</f>
        <v>0</v>
      </c>
      <c r="M48" s="718">
        <f>+landbouw!L12</f>
        <v>0</v>
      </c>
      <c r="N48" s="718">
        <f>+landbouw!M12</f>
        <v>0</v>
      </c>
      <c r="O48" s="718">
        <f>+landbouw!N12</f>
        <v>0</v>
      </c>
      <c r="P48" s="718">
        <f>+landbouw!O12</f>
        <v>0</v>
      </c>
      <c r="Q48" s="719">
        <f>+landbouw!P12</f>
        <v>0</v>
      </c>
      <c r="R48" s="761">
        <f ca="1">SUM(C48:Q48)</f>
        <v>14011.985216361609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18035.343915683461</v>
      </c>
      <c r="D53" s="773">
        <f t="shared" ref="D53:Q53" ca="1" si="6">D41+D46+D48</f>
        <v>103.1218487394958</v>
      </c>
      <c r="E53" s="773">
        <f t="shared" ca="1" si="6"/>
        <v>34456.606874140118</v>
      </c>
      <c r="F53" s="773">
        <f t="shared" si="6"/>
        <v>3310.5060781532475</v>
      </c>
      <c r="G53" s="773">
        <f t="shared" ca="1" si="6"/>
        <v>19015.591754278867</v>
      </c>
      <c r="H53" s="773">
        <f t="shared" si="6"/>
        <v>17139.328719957677</v>
      </c>
      <c r="I53" s="773">
        <f t="shared" si="6"/>
        <v>3122.3687362577807</v>
      </c>
      <c r="J53" s="773">
        <f t="shared" si="6"/>
        <v>0</v>
      </c>
      <c r="K53" s="773">
        <f t="shared" si="6"/>
        <v>5303.8807553170873</v>
      </c>
      <c r="L53" s="773">
        <f t="shared" si="6"/>
        <v>0</v>
      </c>
      <c r="M53" s="773">
        <f t="shared" ca="1" si="6"/>
        <v>0</v>
      </c>
      <c r="N53" s="773">
        <f t="shared" si="6"/>
        <v>0</v>
      </c>
      <c r="O53" s="773">
        <f t="shared" ca="1" si="6"/>
        <v>0</v>
      </c>
      <c r="P53" s="773">
        <f>P41+P46+P48</f>
        <v>0</v>
      </c>
      <c r="Q53" s="774">
        <f t="shared" si="6"/>
        <v>0</v>
      </c>
      <c r="R53" s="775">
        <f ca="1">R41+R46+R48</f>
        <v>100486.74868252772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0.16820286349300068</v>
      </c>
      <c r="D55" s="836">
        <f t="shared" ca="1" si="7"/>
        <v>5.0523390458545626E-2</v>
      </c>
      <c r="E55" s="836">
        <f t="shared" ca="1" si="7"/>
        <v>0.20200000000000001</v>
      </c>
      <c r="F55" s="836">
        <f t="shared" si="7"/>
        <v>0.22700000000000004</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14123.299081857582</v>
      </c>
      <c r="C64" s="795">
        <f>'lokale energieproductie'!B4</f>
        <v>14123.299081857582</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10390.45285764344</v>
      </c>
      <c r="C66" s="795">
        <f>'lokale energieproductie'!B6</f>
        <v>10390.45285764344</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1428.75</v>
      </c>
      <c r="C67" s="794">
        <f>B67*IFERROR(SUM(J67:L67)/SUM(D67:M67),0)</f>
        <v>1125</v>
      </c>
      <c r="D67" s="826">
        <f>'lokale energieproductie'!C7</f>
        <v>357.35294117647061</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1323.5294117647061</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72.185294117647061</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25942.501939501024</v>
      </c>
      <c r="C69" s="803">
        <f>SUM(C64:C68)</f>
        <v>25638.751939501024</v>
      </c>
      <c r="D69" s="804">
        <f t="shared" ref="D69:M69" si="8">SUM(D67:D68)</f>
        <v>357.35294117647061</v>
      </c>
      <c r="E69" s="804">
        <f t="shared" si="8"/>
        <v>0</v>
      </c>
      <c r="F69" s="804">
        <f t="shared" si="8"/>
        <v>0</v>
      </c>
      <c r="G69" s="804">
        <f t="shared" si="8"/>
        <v>0</v>
      </c>
      <c r="H69" s="804">
        <f t="shared" si="8"/>
        <v>0</v>
      </c>
      <c r="I69" s="804">
        <f t="shared" si="8"/>
        <v>0</v>
      </c>
      <c r="J69" s="804">
        <f t="shared" si="8"/>
        <v>0</v>
      </c>
      <c r="K69" s="804">
        <f t="shared" si="8"/>
        <v>1323.5294117647061</v>
      </c>
      <c r="L69" s="804">
        <f t="shared" si="8"/>
        <v>0</v>
      </c>
      <c r="M69" s="930">
        <f t="shared" si="8"/>
        <v>0</v>
      </c>
      <c r="N69" s="805">
        <v>0</v>
      </c>
      <c r="O69" s="805">
        <f>SUM(O67:O68)</f>
        <v>72.185294117647061</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2041.0714285714284</v>
      </c>
      <c r="C78" s="817">
        <f>B78*IFERROR(SUM(I78:L78)/SUM(D78:M78),0)</f>
        <v>1607.1428571428571</v>
      </c>
      <c r="D78" s="832">
        <f>'lokale energieproductie'!C16</f>
        <v>510.50420168067228</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1890.7563025210086</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103.1218487394958</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2041.0714285714284</v>
      </c>
      <c r="C81" s="803">
        <f>SUM(C78:C80)</f>
        <v>1607.1428571428571</v>
      </c>
      <c r="D81" s="803">
        <f t="shared" ref="D81:P81" si="9">SUM(D78:D80)</f>
        <v>510.50420168067228</v>
      </c>
      <c r="E81" s="803">
        <f t="shared" si="9"/>
        <v>0</v>
      </c>
      <c r="F81" s="803">
        <f t="shared" si="9"/>
        <v>0</v>
      </c>
      <c r="G81" s="803">
        <f t="shared" si="9"/>
        <v>0</v>
      </c>
      <c r="H81" s="803">
        <f t="shared" si="9"/>
        <v>0</v>
      </c>
      <c r="I81" s="803">
        <f t="shared" si="9"/>
        <v>0</v>
      </c>
      <c r="J81" s="803">
        <f t="shared" si="9"/>
        <v>0</v>
      </c>
      <c r="K81" s="803">
        <f t="shared" si="9"/>
        <v>1890.7563025210086</v>
      </c>
      <c r="L81" s="803">
        <f t="shared" si="9"/>
        <v>0</v>
      </c>
      <c r="M81" s="803">
        <f t="shared" si="9"/>
        <v>0</v>
      </c>
      <c r="N81" s="803">
        <v>0</v>
      </c>
      <c r="O81" s="803">
        <f>SUM(O78:O80)</f>
        <v>103.1218487394958</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30745.273782105462</v>
      </c>
      <c r="C4" s="478">
        <f>huishoudens!C8</f>
        <v>0</v>
      </c>
      <c r="D4" s="478">
        <f>huishoudens!D8</f>
        <v>70114.498048617606</v>
      </c>
      <c r="E4" s="478">
        <f>huishoudens!E8</f>
        <v>10946.879452897787</v>
      </c>
      <c r="F4" s="478">
        <f>huishoudens!F8</f>
        <v>16757.487943038897</v>
      </c>
      <c r="G4" s="478">
        <f>huishoudens!G8</f>
        <v>0</v>
      </c>
      <c r="H4" s="478">
        <f>huishoudens!H8</f>
        <v>0</v>
      </c>
      <c r="I4" s="478">
        <f>huishoudens!I8</f>
        <v>0</v>
      </c>
      <c r="J4" s="478">
        <f>huishoudens!J8</f>
        <v>13423.606476543369</v>
      </c>
      <c r="K4" s="478">
        <f>huishoudens!K8</f>
        <v>0</v>
      </c>
      <c r="L4" s="478">
        <f>huishoudens!L8</f>
        <v>0</v>
      </c>
      <c r="M4" s="478">
        <f>huishoudens!M8</f>
        <v>0</v>
      </c>
      <c r="N4" s="478">
        <f>huishoudens!N8</f>
        <v>34789.671281774281</v>
      </c>
      <c r="O4" s="478">
        <f>huishoudens!O8</f>
        <v>531.5333333333333</v>
      </c>
      <c r="P4" s="479">
        <f>huishoudens!P8</f>
        <v>896.13333333333333</v>
      </c>
      <c r="Q4" s="480">
        <f>SUM(B4:P4)</f>
        <v>178205.08365164409</v>
      </c>
    </row>
    <row r="5" spans="1:17">
      <c r="A5" s="477" t="s">
        <v>156</v>
      </c>
      <c r="B5" s="478">
        <f ca="1">tertiair!B16</f>
        <v>21343.568156314956</v>
      </c>
      <c r="C5" s="478">
        <f ca="1">tertiair!C16</f>
        <v>433.92857142857144</v>
      </c>
      <c r="D5" s="478">
        <f ca="1">tertiair!D16</f>
        <v>27319.871967386618</v>
      </c>
      <c r="E5" s="478">
        <f>tertiair!E16</f>
        <v>309.06991281260662</v>
      </c>
      <c r="F5" s="478">
        <f ca="1">tertiair!F16</f>
        <v>3591.5866538308937</v>
      </c>
      <c r="G5" s="478">
        <f>tertiair!G16</f>
        <v>0</v>
      </c>
      <c r="H5" s="478">
        <f>tertiair!H16</f>
        <v>0</v>
      </c>
      <c r="I5" s="478">
        <f>tertiair!I16</f>
        <v>0</v>
      </c>
      <c r="J5" s="478">
        <f>tertiair!J16</f>
        <v>4.3016355193617378E-2</v>
      </c>
      <c r="K5" s="478">
        <f>tertiair!K16</f>
        <v>0</v>
      </c>
      <c r="L5" s="478">
        <f ca="1">tertiair!L16</f>
        <v>0</v>
      </c>
      <c r="M5" s="478">
        <f>tertiair!M16</f>
        <v>0</v>
      </c>
      <c r="N5" s="478">
        <f ca="1">tertiair!N16</f>
        <v>1731.1915500692594</v>
      </c>
      <c r="O5" s="478">
        <f>tertiair!O16</f>
        <v>6.2533333333333339</v>
      </c>
      <c r="P5" s="479">
        <f>tertiair!P16</f>
        <v>57.2</v>
      </c>
      <c r="Q5" s="477">
        <f t="shared" ref="Q5:Q13" ca="1" si="0">SUM(B5:P5)</f>
        <v>54792.713161531436</v>
      </c>
    </row>
    <row r="6" spans="1:17">
      <c r="A6" s="477" t="s">
        <v>194</v>
      </c>
      <c r="B6" s="478">
        <f>'openbare verlichting'!B8</f>
        <v>1436.7850000000001</v>
      </c>
      <c r="C6" s="478"/>
      <c r="D6" s="478"/>
      <c r="E6" s="478"/>
      <c r="F6" s="478"/>
      <c r="G6" s="478"/>
      <c r="H6" s="478"/>
      <c r="I6" s="478"/>
      <c r="J6" s="478"/>
      <c r="K6" s="478"/>
      <c r="L6" s="478"/>
      <c r="M6" s="478"/>
      <c r="N6" s="478"/>
      <c r="O6" s="478"/>
      <c r="P6" s="479"/>
      <c r="Q6" s="477">
        <f t="shared" si="0"/>
        <v>1436.7850000000001</v>
      </c>
    </row>
    <row r="7" spans="1:17">
      <c r="A7" s="477" t="s">
        <v>112</v>
      </c>
      <c r="B7" s="478">
        <f>landbouw!B8</f>
        <v>9851.257393490725</v>
      </c>
      <c r="C7" s="478">
        <f>landbouw!C8</f>
        <v>0</v>
      </c>
      <c r="D7" s="478">
        <f>landbouw!D8</f>
        <v>4090.9708669086326</v>
      </c>
      <c r="E7" s="478">
        <f>landbouw!E8</f>
        <v>289.55854400771409</v>
      </c>
      <c r="F7" s="478">
        <f>landbouw!F8</f>
        <v>41039.80596727378</v>
      </c>
      <c r="G7" s="478">
        <f>landbouw!G8</f>
        <v>0</v>
      </c>
      <c r="H7" s="478">
        <f>landbouw!H8</f>
        <v>0</v>
      </c>
      <c r="I7" s="478">
        <f>landbouw!I8</f>
        <v>0</v>
      </c>
      <c r="J7" s="478">
        <f>landbouw!J8</f>
        <v>1427.235638142598</v>
      </c>
      <c r="K7" s="478">
        <f>landbouw!K8</f>
        <v>0</v>
      </c>
      <c r="L7" s="478">
        <f>landbouw!L8</f>
        <v>0</v>
      </c>
      <c r="M7" s="478">
        <f>landbouw!M8</f>
        <v>0</v>
      </c>
      <c r="N7" s="478">
        <f>landbouw!N8</f>
        <v>0</v>
      </c>
      <c r="O7" s="478">
        <f>landbouw!O8</f>
        <v>0</v>
      </c>
      <c r="P7" s="479">
        <f>landbouw!P8</f>
        <v>0</v>
      </c>
      <c r="Q7" s="477">
        <f t="shared" si="0"/>
        <v>56698.828409823451</v>
      </c>
    </row>
    <row r="8" spans="1:17">
      <c r="A8" s="477" t="s">
        <v>635</v>
      </c>
      <c r="B8" s="478">
        <f>industrie!B18</f>
        <v>43816.430776697496</v>
      </c>
      <c r="C8" s="478">
        <f>industrie!C18</f>
        <v>1607.1428571428571</v>
      </c>
      <c r="D8" s="478">
        <f>industrie!D18</f>
        <v>68940.420947423816</v>
      </c>
      <c r="E8" s="478">
        <f>industrie!E18</f>
        <v>2890.5483020404517</v>
      </c>
      <c r="F8" s="478">
        <f>industrie!F18</f>
        <v>9830.5642084364463</v>
      </c>
      <c r="G8" s="478">
        <f>industrie!G18</f>
        <v>0</v>
      </c>
      <c r="H8" s="478">
        <f>industrie!H18</f>
        <v>0</v>
      </c>
      <c r="I8" s="478">
        <f>industrie!I18</f>
        <v>0</v>
      </c>
      <c r="J8" s="478">
        <f>industrie!J18</f>
        <v>131.82886702970765</v>
      </c>
      <c r="K8" s="478">
        <f>industrie!K18</f>
        <v>0</v>
      </c>
      <c r="L8" s="478">
        <f>industrie!L18</f>
        <v>0</v>
      </c>
      <c r="M8" s="478">
        <f>industrie!M18</f>
        <v>0</v>
      </c>
      <c r="N8" s="478">
        <f>industrie!N18</f>
        <v>6403.7681592660347</v>
      </c>
      <c r="O8" s="478">
        <f>industrie!O18</f>
        <v>0</v>
      </c>
      <c r="P8" s="479">
        <f>industrie!P18</f>
        <v>0</v>
      </c>
      <c r="Q8" s="477">
        <f t="shared" si="0"/>
        <v>133620.70411803681</v>
      </c>
    </row>
    <row r="9" spans="1:17" s="483" customFormat="1">
      <c r="A9" s="481" t="s">
        <v>561</v>
      </c>
      <c r="B9" s="482">
        <f>transport!B14</f>
        <v>30.44756195941449</v>
      </c>
      <c r="C9" s="482"/>
      <c r="D9" s="482">
        <f>transport!D14</f>
        <v>111.49992283220864</v>
      </c>
      <c r="E9" s="482">
        <f>transport!E14</f>
        <v>147.67100477556835</v>
      </c>
      <c r="F9" s="482"/>
      <c r="G9" s="482">
        <f>transport!G14</f>
        <v>63545.378598745068</v>
      </c>
      <c r="H9" s="482">
        <f>transport!H14</f>
        <v>12539.633478946911</v>
      </c>
      <c r="I9" s="482"/>
      <c r="J9" s="482"/>
      <c r="K9" s="482"/>
      <c r="L9" s="482"/>
      <c r="M9" s="482">
        <f>transport!M14</f>
        <v>4084.8597584870581</v>
      </c>
      <c r="N9" s="482"/>
      <c r="O9" s="482"/>
      <c r="P9" s="482"/>
      <c r="Q9" s="481">
        <f>SUM(B9:P9)</f>
        <v>80459.490325746228</v>
      </c>
    </row>
    <row r="10" spans="1:17">
      <c r="A10" s="477" t="s">
        <v>551</v>
      </c>
      <c r="B10" s="478">
        <f>transport!B54</f>
        <v>0</v>
      </c>
      <c r="C10" s="478"/>
      <c r="D10" s="478">
        <f>transport!D54</f>
        <v>0</v>
      </c>
      <c r="E10" s="478"/>
      <c r="F10" s="478"/>
      <c r="G10" s="478">
        <f>transport!G54</f>
        <v>646.86379810015603</v>
      </c>
      <c r="H10" s="478"/>
      <c r="I10" s="478"/>
      <c r="J10" s="478"/>
      <c r="K10" s="478"/>
      <c r="L10" s="478"/>
      <c r="M10" s="478">
        <f>transport!M54</f>
        <v>36.739008102441737</v>
      </c>
      <c r="N10" s="478"/>
      <c r="O10" s="478"/>
      <c r="P10" s="479"/>
      <c r="Q10" s="477">
        <f t="shared" si="0"/>
        <v>683.60280620259778</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107223.76267056806</v>
      </c>
      <c r="C14" s="488">
        <f t="shared" ref="C14:Q14" ca="1" si="1">SUM(C4:C13)</f>
        <v>2041.0714285714284</v>
      </c>
      <c r="D14" s="488">
        <f t="shared" ca="1" si="1"/>
        <v>170577.26175316889</v>
      </c>
      <c r="E14" s="488">
        <f t="shared" si="1"/>
        <v>14583.727216534127</v>
      </c>
      <c r="F14" s="488">
        <f t="shared" ca="1" si="1"/>
        <v>71219.444772580027</v>
      </c>
      <c r="G14" s="488">
        <f t="shared" si="1"/>
        <v>64192.242396845228</v>
      </c>
      <c r="H14" s="488">
        <f t="shared" si="1"/>
        <v>12539.633478946911</v>
      </c>
      <c r="I14" s="488">
        <f t="shared" si="1"/>
        <v>0</v>
      </c>
      <c r="J14" s="488">
        <f t="shared" si="1"/>
        <v>14982.713998070869</v>
      </c>
      <c r="K14" s="488">
        <f t="shared" si="1"/>
        <v>0</v>
      </c>
      <c r="L14" s="488">
        <f t="shared" ca="1" si="1"/>
        <v>0</v>
      </c>
      <c r="M14" s="488">
        <f t="shared" si="1"/>
        <v>4121.5987665895</v>
      </c>
      <c r="N14" s="488">
        <f t="shared" ca="1" si="1"/>
        <v>42924.630991109574</v>
      </c>
      <c r="O14" s="488">
        <f t="shared" si="1"/>
        <v>537.78666666666663</v>
      </c>
      <c r="P14" s="489">
        <f t="shared" si="1"/>
        <v>953.33333333333337</v>
      </c>
      <c r="Q14" s="489">
        <f t="shared" ca="1" si="1"/>
        <v>505897.20747298468</v>
      </c>
    </row>
    <row r="16" spans="1:17">
      <c r="A16" s="491" t="s">
        <v>556</v>
      </c>
      <c r="B16" s="841">
        <f ca="1">huishoudens!B10</f>
        <v>0.1682028634930007</v>
      </c>
      <c r="C16" s="841">
        <f ca="1">huishoudens!C10</f>
        <v>5.0523390458545626E-2</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5171.4430890264184</v>
      </c>
      <c r="C21" s="478">
        <f t="shared" ref="C21:C28" ca="1" si="3">C4*$C$16</f>
        <v>0</v>
      </c>
      <c r="D21" s="478">
        <f t="shared" ref="D21:D30" si="4">D4*$D$16</f>
        <v>14163.128605820757</v>
      </c>
      <c r="E21" s="478">
        <f t="shared" ref="E21:E30" si="5">E4*$E$16</f>
        <v>2484.9416358077979</v>
      </c>
      <c r="F21" s="478">
        <f t="shared" ref="F21:F28" si="6">F4*$F$16</f>
        <v>4474.2492807913859</v>
      </c>
      <c r="G21" s="478">
        <f t="shared" ref="G21:G30" si="7">G4*$G$16</f>
        <v>0</v>
      </c>
      <c r="H21" s="478">
        <f t="shared" ref="H21:H30" si="8">H4*$H$16</f>
        <v>0</v>
      </c>
      <c r="I21" s="478">
        <f t="shared" ref="I21:I28" si="9">I4*$I$16</f>
        <v>0</v>
      </c>
      <c r="J21" s="478">
        <f t="shared" ref="J21:J28" si="10">J4*$J$16</f>
        <v>4751.9566926963525</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31045.719304142709</v>
      </c>
    </row>
    <row r="22" spans="1:17">
      <c r="A22" s="477" t="s">
        <v>156</v>
      </c>
      <c r="B22" s="478">
        <f t="shared" ca="1" si="2"/>
        <v>3590.049281050201</v>
      </c>
      <c r="C22" s="478">
        <f t="shared" ca="1" si="3"/>
        <v>21.92354264540462</v>
      </c>
      <c r="D22" s="478">
        <f t="shared" ca="1" si="4"/>
        <v>5518.6141374120971</v>
      </c>
      <c r="E22" s="478">
        <f t="shared" si="5"/>
        <v>70.158870208461707</v>
      </c>
      <c r="F22" s="478">
        <f t="shared" ca="1" si="6"/>
        <v>958.95363657284872</v>
      </c>
      <c r="G22" s="478">
        <f t="shared" si="7"/>
        <v>0</v>
      </c>
      <c r="H22" s="478">
        <f t="shared" si="8"/>
        <v>0</v>
      </c>
      <c r="I22" s="478">
        <f t="shared" si="9"/>
        <v>0</v>
      </c>
      <c r="J22" s="478">
        <f t="shared" si="10"/>
        <v>1.5227789738540552E-2</v>
      </c>
      <c r="K22" s="478">
        <f t="shared" si="11"/>
        <v>0</v>
      </c>
      <c r="L22" s="478">
        <f t="shared" ca="1" si="12"/>
        <v>0</v>
      </c>
      <c r="M22" s="478">
        <f t="shared" si="13"/>
        <v>0</v>
      </c>
      <c r="N22" s="478">
        <f t="shared" ca="1" si="14"/>
        <v>0</v>
      </c>
      <c r="O22" s="478">
        <f t="shared" si="15"/>
        <v>0</v>
      </c>
      <c r="P22" s="479">
        <f t="shared" si="16"/>
        <v>0</v>
      </c>
      <c r="Q22" s="477">
        <f t="shared" ref="Q22:Q30" ca="1" si="17">SUM(B22:P22)</f>
        <v>10159.714695678751</v>
      </c>
    </row>
    <row r="23" spans="1:17">
      <c r="A23" s="477" t="s">
        <v>194</v>
      </c>
      <c r="B23" s="478">
        <f t="shared" ca="1" si="2"/>
        <v>241.67135122379102</v>
      </c>
      <c r="C23" s="478"/>
      <c r="D23" s="478"/>
      <c r="E23" s="478"/>
      <c r="F23" s="478"/>
      <c r="G23" s="478"/>
      <c r="H23" s="478"/>
      <c r="I23" s="478"/>
      <c r="J23" s="478"/>
      <c r="K23" s="478"/>
      <c r="L23" s="478"/>
      <c r="M23" s="478"/>
      <c r="N23" s="478"/>
      <c r="O23" s="478"/>
      <c r="P23" s="479"/>
      <c r="Q23" s="477">
        <f t="shared" ca="1" si="17"/>
        <v>241.67135122379102</v>
      </c>
    </row>
    <row r="24" spans="1:17">
      <c r="A24" s="477" t="s">
        <v>112</v>
      </c>
      <c r="B24" s="478">
        <f t="shared" ca="1" si="2"/>
        <v>1657.0097025917344</v>
      </c>
      <c r="C24" s="478">
        <f t="shared" ca="1" si="3"/>
        <v>0</v>
      </c>
      <c r="D24" s="478">
        <f t="shared" si="4"/>
        <v>826.37611511554383</v>
      </c>
      <c r="E24" s="478">
        <f t="shared" si="5"/>
        <v>65.729789489751099</v>
      </c>
      <c r="F24" s="478">
        <f t="shared" si="6"/>
        <v>10957.6281932621</v>
      </c>
      <c r="G24" s="478">
        <f t="shared" si="7"/>
        <v>0</v>
      </c>
      <c r="H24" s="478">
        <f t="shared" si="8"/>
        <v>0</v>
      </c>
      <c r="I24" s="478">
        <f t="shared" si="9"/>
        <v>0</v>
      </c>
      <c r="J24" s="478">
        <f t="shared" si="10"/>
        <v>505.24141590247967</v>
      </c>
      <c r="K24" s="478">
        <f t="shared" si="11"/>
        <v>0</v>
      </c>
      <c r="L24" s="478">
        <f t="shared" si="12"/>
        <v>0</v>
      </c>
      <c r="M24" s="478">
        <f t="shared" si="13"/>
        <v>0</v>
      </c>
      <c r="N24" s="478">
        <f t="shared" si="14"/>
        <v>0</v>
      </c>
      <c r="O24" s="478">
        <f t="shared" si="15"/>
        <v>0</v>
      </c>
      <c r="P24" s="479">
        <f t="shared" si="16"/>
        <v>0</v>
      </c>
      <c r="Q24" s="477">
        <f t="shared" ca="1" si="17"/>
        <v>14011.985216361609</v>
      </c>
    </row>
    <row r="25" spans="1:17">
      <c r="A25" s="477" t="s">
        <v>635</v>
      </c>
      <c r="B25" s="478">
        <f t="shared" ca="1" si="2"/>
        <v>7370.0491246833635</v>
      </c>
      <c r="C25" s="478">
        <f t="shared" ca="1" si="3"/>
        <v>81.19830609409118</v>
      </c>
      <c r="D25" s="478">
        <f t="shared" si="4"/>
        <v>13925.965031379612</v>
      </c>
      <c r="E25" s="478">
        <f t="shared" si="5"/>
        <v>656.15446456318261</v>
      </c>
      <c r="F25" s="478">
        <f t="shared" si="6"/>
        <v>2624.7606436525311</v>
      </c>
      <c r="G25" s="478">
        <f t="shared" si="7"/>
        <v>0</v>
      </c>
      <c r="H25" s="478">
        <f t="shared" si="8"/>
        <v>0</v>
      </c>
      <c r="I25" s="478">
        <f t="shared" si="9"/>
        <v>0</v>
      </c>
      <c r="J25" s="478">
        <f t="shared" si="10"/>
        <v>46.667418928516504</v>
      </c>
      <c r="K25" s="478">
        <f t="shared" si="11"/>
        <v>0</v>
      </c>
      <c r="L25" s="478">
        <f t="shared" si="12"/>
        <v>0</v>
      </c>
      <c r="M25" s="478">
        <f t="shared" si="13"/>
        <v>0</v>
      </c>
      <c r="N25" s="478">
        <f t="shared" si="14"/>
        <v>0</v>
      </c>
      <c r="O25" s="478">
        <f t="shared" si="15"/>
        <v>0</v>
      </c>
      <c r="P25" s="479">
        <f t="shared" si="16"/>
        <v>0</v>
      </c>
      <c r="Q25" s="477">
        <f t="shared" ca="1" si="17"/>
        <v>24704.794989301296</v>
      </c>
    </row>
    <row r="26" spans="1:17" s="483" customFormat="1">
      <c r="A26" s="481" t="s">
        <v>561</v>
      </c>
      <c r="B26" s="835">
        <f t="shared" ca="1" si="2"/>
        <v>5.1213671079540761</v>
      </c>
      <c r="C26" s="482"/>
      <c r="D26" s="482">
        <f t="shared" si="4"/>
        <v>22.522984412106148</v>
      </c>
      <c r="E26" s="482">
        <f t="shared" si="5"/>
        <v>33.521318084054016</v>
      </c>
      <c r="F26" s="482"/>
      <c r="G26" s="482">
        <f t="shared" si="7"/>
        <v>16966.616085864935</v>
      </c>
      <c r="H26" s="482">
        <f t="shared" si="8"/>
        <v>3122.3687362577807</v>
      </c>
      <c r="I26" s="482"/>
      <c r="J26" s="482"/>
      <c r="K26" s="482"/>
      <c r="L26" s="482"/>
      <c r="M26" s="482">
        <f t="shared" si="13"/>
        <v>0</v>
      </c>
      <c r="N26" s="482"/>
      <c r="O26" s="482"/>
      <c r="P26" s="493"/>
      <c r="Q26" s="481">
        <f t="shared" ca="1" si="17"/>
        <v>20150.150491726828</v>
      </c>
    </row>
    <row r="27" spans="1:17">
      <c r="A27" s="477" t="s">
        <v>551</v>
      </c>
      <c r="B27" s="478">
        <f t="shared" ca="1" si="2"/>
        <v>0</v>
      </c>
      <c r="C27" s="478"/>
      <c r="D27" s="482">
        <f t="shared" si="4"/>
        <v>0</v>
      </c>
      <c r="E27" s="478"/>
      <c r="F27" s="478"/>
      <c r="G27" s="478">
        <f t="shared" si="7"/>
        <v>172.71263409274167</v>
      </c>
      <c r="H27" s="478"/>
      <c r="I27" s="478"/>
      <c r="J27" s="478"/>
      <c r="K27" s="478"/>
      <c r="L27" s="478"/>
      <c r="M27" s="478">
        <f t="shared" si="13"/>
        <v>0</v>
      </c>
      <c r="N27" s="478"/>
      <c r="O27" s="478"/>
      <c r="P27" s="479"/>
      <c r="Q27" s="477">
        <f t="shared" ca="1" si="17"/>
        <v>172.71263409274167</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18035.343915683461</v>
      </c>
      <c r="C31" s="488">
        <f t="shared" ca="1" si="18"/>
        <v>103.1218487394958</v>
      </c>
      <c r="D31" s="488">
        <f t="shared" ca="1" si="18"/>
        <v>34456.606874140118</v>
      </c>
      <c r="E31" s="488">
        <f t="shared" si="18"/>
        <v>3310.5060781532475</v>
      </c>
      <c r="F31" s="488">
        <f t="shared" ca="1" si="18"/>
        <v>19015.591754278867</v>
      </c>
      <c r="G31" s="488">
        <f t="shared" si="18"/>
        <v>17139.328719957677</v>
      </c>
      <c r="H31" s="488">
        <f t="shared" si="18"/>
        <v>3122.3687362577807</v>
      </c>
      <c r="I31" s="488">
        <f t="shared" si="18"/>
        <v>0</v>
      </c>
      <c r="J31" s="488">
        <f t="shared" si="18"/>
        <v>5303.8807553170873</v>
      </c>
      <c r="K31" s="488">
        <f t="shared" si="18"/>
        <v>0</v>
      </c>
      <c r="L31" s="488">
        <f t="shared" ca="1" si="18"/>
        <v>0</v>
      </c>
      <c r="M31" s="488">
        <f t="shared" si="18"/>
        <v>0</v>
      </c>
      <c r="N31" s="488">
        <f t="shared" ca="1" si="18"/>
        <v>0</v>
      </c>
      <c r="O31" s="488">
        <f t="shared" si="18"/>
        <v>0</v>
      </c>
      <c r="P31" s="489">
        <f t="shared" si="18"/>
        <v>0</v>
      </c>
      <c r="Q31" s="489">
        <f t="shared" ca="1" si="18"/>
        <v>100486.74868252772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0.1682028634930007</v>
      </c>
      <c r="C17" s="528">
        <f ca="1">'EF ele_warmte'!B22</f>
        <v>5.0523390458545626E-2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0.1682028634930007</v>
      </c>
      <c r="C17" s="528">
        <f ca="1">'EF ele_warmte'!B22</f>
        <v>5.0523390458545626E-2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0.1682028634930007</v>
      </c>
      <c r="C29" s="529">
        <f ca="1">'EF ele_warmte'!B22</f>
        <v>5.0523390458545626E-2</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33021</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8245</v>
      </c>
      <c r="C9" s="342">
        <v>8479</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9568.24</v>
      </c>
    </row>
    <row r="15" spans="1:6">
      <c r="A15" s="348" t="s">
        <v>184</v>
      </c>
      <c r="B15" s="334">
        <v>108</v>
      </c>
    </row>
    <row r="16" spans="1:6">
      <c r="A16" s="348" t="s">
        <v>6</v>
      </c>
      <c r="B16" s="334">
        <v>3310</v>
      </c>
    </row>
    <row r="17" spans="1:6">
      <c r="A17" s="348" t="s">
        <v>7</v>
      </c>
      <c r="B17" s="334">
        <v>2197</v>
      </c>
    </row>
    <row r="18" spans="1:6">
      <c r="A18" s="348" t="s">
        <v>8</v>
      </c>
      <c r="B18" s="334">
        <v>3248</v>
      </c>
    </row>
    <row r="19" spans="1:6">
      <c r="A19" s="348" t="s">
        <v>9</v>
      </c>
      <c r="B19" s="334">
        <v>3069</v>
      </c>
    </row>
    <row r="20" spans="1:6">
      <c r="A20" s="348" t="s">
        <v>10</v>
      </c>
      <c r="B20" s="334">
        <v>1671</v>
      </c>
    </row>
    <row r="21" spans="1:6">
      <c r="A21" s="348" t="s">
        <v>11</v>
      </c>
      <c r="B21" s="334">
        <v>46542</v>
      </c>
    </row>
    <row r="22" spans="1:6">
      <c r="A22" s="348" t="s">
        <v>12</v>
      </c>
      <c r="B22" s="334">
        <v>98029</v>
      </c>
    </row>
    <row r="23" spans="1:6">
      <c r="A23" s="348" t="s">
        <v>13</v>
      </c>
      <c r="B23" s="334">
        <v>1719</v>
      </c>
    </row>
    <row r="24" spans="1:6">
      <c r="A24" s="348" t="s">
        <v>14</v>
      </c>
      <c r="B24" s="334">
        <v>553</v>
      </c>
    </row>
    <row r="25" spans="1:6">
      <c r="A25" s="348" t="s">
        <v>15</v>
      </c>
      <c r="B25" s="334">
        <v>10981</v>
      </c>
    </row>
    <row r="26" spans="1:6">
      <c r="A26" s="348" t="s">
        <v>16</v>
      </c>
      <c r="B26" s="334">
        <v>509</v>
      </c>
    </row>
    <row r="27" spans="1:6">
      <c r="A27" s="348" t="s">
        <v>17</v>
      </c>
      <c r="B27" s="334">
        <v>14</v>
      </c>
    </row>
    <row r="28" spans="1:6" s="356" customFormat="1">
      <c r="A28" s="355" t="s">
        <v>18</v>
      </c>
      <c r="B28" s="355">
        <v>585045</v>
      </c>
    </row>
    <row r="29" spans="1:6">
      <c r="A29" s="355" t="s">
        <v>744</v>
      </c>
      <c r="B29" s="355">
        <v>152</v>
      </c>
      <c r="C29" s="356"/>
      <c r="D29" s="356"/>
      <c r="E29" s="356"/>
      <c r="F29" s="356"/>
    </row>
    <row r="30" spans="1:6">
      <c r="A30" s="341" t="s">
        <v>745</v>
      </c>
      <c r="B30" s="341">
        <v>72</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35782.251928520003</v>
      </c>
    </row>
    <row r="37" spans="1:6">
      <c r="A37" s="348" t="s">
        <v>25</v>
      </c>
      <c r="B37" s="348" t="s">
        <v>28</v>
      </c>
      <c r="C37" s="334">
        <v>0</v>
      </c>
      <c r="D37" s="334">
        <v>0</v>
      </c>
      <c r="E37" s="334">
        <v>0</v>
      </c>
      <c r="F37" s="334">
        <v>0</v>
      </c>
    </row>
    <row r="38" spans="1:6">
      <c r="A38" s="348" t="s">
        <v>25</v>
      </c>
      <c r="B38" s="348" t="s">
        <v>29</v>
      </c>
      <c r="C38" s="334">
        <v>1</v>
      </c>
      <c r="D38" s="334">
        <v>123741.946040022</v>
      </c>
      <c r="E38" s="334">
        <v>4</v>
      </c>
      <c r="F38" s="334">
        <v>6920.1717210712004</v>
      </c>
    </row>
    <row r="39" spans="1:6">
      <c r="A39" s="348" t="s">
        <v>30</v>
      </c>
      <c r="B39" s="348" t="s">
        <v>31</v>
      </c>
      <c r="C39" s="334">
        <v>5342</v>
      </c>
      <c r="D39" s="334">
        <v>77732259.477403104</v>
      </c>
      <c r="E39" s="334">
        <v>7764</v>
      </c>
      <c r="F39" s="334">
        <v>25519972.977233201</v>
      </c>
    </row>
    <row r="40" spans="1:6">
      <c r="A40" s="348" t="s">
        <v>30</v>
      </c>
      <c r="B40" s="348" t="s">
        <v>29</v>
      </c>
      <c r="C40" s="334">
        <v>0</v>
      </c>
      <c r="D40" s="334">
        <v>0</v>
      </c>
      <c r="E40" s="334">
        <v>0</v>
      </c>
      <c r="F40" s="334">
        <v>0</v>
      </c>
    </row>
    <row r="41" spans="1:6">
      <c r="A41" s="348" t="s">
        <v>32</v>
      </c>
      <c r="B41" s="348" t="s">
        <v>33</v>
      </c>
      <c r="C41" s="334">
        <v>110</v>
      </c>
      <c r="D41" s="334">
        <v>3178761.5974248699</v>
      </c>
      <c r="E41" s="334">
        <v>294</v>
      </c>
      <c r="F41" s="334">
        <v>2886446.7779884799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9</v>
      </c>
      <c r="D44" s="334">
        <v>1846619.4660788199</v>
      </c>
      <c r="E44" s="334">
        <v>21</v>
      </c>
      <c r="F44" s="334">
        <v>1056937.3209497901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70140.298685228307</v>
      </c>
      <c r="E47" s="334">
        <v>3</v>
      </c>
      <c r="F47" s="334">
        <v>90526.327533342002</v>
      </c>
    </row>
    <row r="48" spans="1:6">
      <c r="A48" s="348" t="s">
        <v>32</v>
      </c>
      <c r="B48" s="348" t="s">
        <v>29</v>
      </c>
      <c r="C48" s="334">
        <v>46</v>
      </c>
      <c r="D48" s="334">
        <v>70596743.674313799</v>
      </c>
      <c r="E48" s="334">
        <v>84</v>
      </c>
      <c r="F48" s="334">
        <v>36819990.625273101</v>
      </c>
    </row>
    <row r="49" spans="1:6">
      <c r="A49" s="348" t="s">
        <v>32</v>
      </c>
      <c r="B49" s="348" t="s">
        <v>40</v>
      </c>
      <c r="C49" s="334">
        <v>0</v>
      </c>
      <c r="D49" s="334">
        <v>0</v>
      </c>
      <c r="E49" s="334">
        <v>0</v>
      </c>
      <c r="F49" s="334">
        <v>0</v>
      </c>
    </row>
    <row r="50" spans="1:6">
      <c r="A50" s="348" t="s">
        <v>32</v>
      </c>
      <c r="B50" s="348" t="s">
        <v>41</v>
      </c>
      <c r="C50" s="334">
        <v>11</v>
      </c>
      <c r="D50" s="334">
        <v>738356.85642835102</v>
      </c>
      <c r="E50" s="334">
        <v>23</v>
      </c>
      <c r="F50" s="334">
        <v>1837529.7249527799</v>
      </c>
    </row>
    <row r="51" spans="1:6">
      <c r="A51" s="348" t="s">
        <v>42</v>
      </c>
      <c r="B51" s="348" t="s">
        <v>43</v>
      </c>
      <c r="C51" s="334">
        <v>25</v>
      </c>
      <c r="D51" s="334">
        <v>526800.99113976001</v>
      </c>
      <c r="E51" s="334">
        <v>335</v>
      </c>
      <c r="F51" s="334">
        <v>9419508.8620075602</v>
      </c>
    </row>
    <row r="52" spans="1:6">
      <c r="A52" s="348" t="s">
        <v>42</v>
      </c>
      <c r="B52" s="348" t="s">
        <v>29</v>
      </c>
      <c r="C52" s="334">
        <v>3</v>
      </c>
      <c r="D52" s="334">
        <v>50012.381626188602</v>
      </c>
      <c r="E52" s="334">
        <v>17</v>
      </c>
      <c r="F52" s="334">
        <v>431748.53148316499</v>
      </c>
    </row>
    <row r="53" spans="1:6">
      <c r="A53" s="348" t="s">
        <v>44</v>
      </c>
      <c r="B53" s="348" t="s">
        <v>45</v>
      </c>
      <c r="C53" s="334">
        <v>157</v>
      </c>
      <c r="D53" s="334">
        <v>3958631.04731014</v>
      </c>
      <c r="E53" s="334">
        <v>308</v>
      </c>
      <c r="F53" s="334">
        <v>945015.69435498805</v>
      </c>
    </row>
    <row r="54" spans="1:6">
      <c r="A54" s="348" t="s">
        <v>46</v>
      </c>
      <c r="B54" s="348" t="s">
        <v>47</v>
      </c>
      <c r="C54" s="334">
        <v>0</v>
      </c>
      <c r="D54" s="334">
        <v>0</v>
      </c>
      <c r="E54" s="334">
        <v>1</v>
      </c>
      <c r="F54" s="334">
        <v>1436785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41</v>
      </c>
      <c r="D57" s="334">
        <v>2516251.5917481501</v>
      </c>
      <c r="E57" s="334">
        <v>104</v>
      </c>
      <c r="F57" s="334">
        <v>1582750.24603571</v>
      </c>
    </row>
    <row r="58" spans="1:6">
      <c r="A58" s="348" t="s">
        <v>49</v>
      </c>
      <c r="B58" s="348" t="s">
        <v>51</v>
      </c>
      <c r="C58" s="334">
        <v>20</v>
      </c>
      <c r="D58" s="334">
        <v>734025.92393800395</v>
      </c>
      <c r="E58" s="334">
        <v>42</v>
      </c>
      <c r="F58" s="334">
        <v>1701250.0410538099</v>
      </c>
    </row>
    <row r="59" spans="1:6">
      <c r="A59" s="348" t="s">
        <v>49</v>
      </c>
      <c r="B59" s="348" t="s">
        <v>52</v>
      </c>
      <c r="C59" s="334">
        <v>128</v>
      </c>
      <c r="D59" s="334">
        <v>4353093.83487006</v>
      </c>
      <c r="E59" s="334">
        <v>277</v>
      </c>
      <c r="F59" s="334">
        <v>5777930.92512995</v>
      </c>
    </row>
    <row r="60" spans="1:6">
      <c r="A60" s="348" t="s">
        <v>49</v>
      </c>
      <c r="B60" s="348" t="s">
        <v>53</v>
      </c>
      <c r="C60" s="334">
        <v>90</v>
      </c>
      <c r="D60" s="334">
        <v>5563461.3970497902</v>
      </c>
      <c r="E60" s="334">
        <v>122</v>
      </c>
      <c r="F60" s="334">
        <v>3314945.4370622402</v>
      </c>
    </row>
    <row r="61" spans="1:6">
      <c r="A61" s="348" t="s">
        <v>49</v>
      </c>
      <c r="B61" s="348" t="s">
        <v>54</v>
      </c>
      <c r="C61" s="334">
        <v>129</v>
      </c>
      <c r="D61" s="334">
        <v>6714242.6448240504</v>
      </c>
      <c r="E61" s="334">
        <v>267</v>
      </c>
      <c r="F61" s="334">
        <v>4715258.4626091002</v>
      </c>
    </row>
    <row r="62" spans="1:6">
      <c r="A62" s="348" t="s">
        <v>49</v>
      </c>
      <c r="B62" s="348" t="s">
        <v>55</v>
      </c>
      <c r="C62" s="334">
        <v>11</v>
      </c>
      <c r="D62" s="334">
        <v>660669.59442007798</v>
      </c>
      <c r="E62" s="334">
        <v>19</v>
      </c>
      <c r="F62" s="334">
        <v>370990.37518326502</v>
      </c>
    </row>
    <row r="63" spans="1:6">
      <c r="A63" s="348" t="s">
        <v>49</v>
      </c>
      <c r="B63" s="348" t="s">
        <v>29</v>
      </c>
      <c r="C63" s="334">
        <v>136</v>
      </c>
      <c r="D63" s="334">
        <v>10708509.0156374</v>
      </c>
      <c r="E63" s="334">
        <v>172</v>
      </c>
      <c r="F63" s="334">
        <v>3576692.6692408798</v>
      </c>
    </row>
    <row r="64" spans="1:6">
      <c r="A64" s="348" t="s">
        <v>56</v>
      </c>
      <c r="B64" s="348" t="s">
        <v>57</v>
      </c>
      <c r="C64" s="334">
        <v>0</v>
      </c>
      <c r="D64" s="334">
        <v>0</v>
      </c>
      <c r="E64" s="334">
        <v>0</v>
      </c>
      <c r="F64" s="334">
        <v>0</v>
      </c>
    </row>
    <row r="65" spans="1:6">
      <c r="A65" s="348" t="s">
        <v>56</v>
      </c>
      <c r="B65" s="348" t="s">
        <v>29</v>
      </c>
      <c r="C65" s="334">
        <v>3</v>
      </c>
      <c r="D65" s="334">
        <v>97735.523447072599</v>
      </c>
      <c r="E65" s="334">
        <v>7</v>
      </c>
      <c r="F65" s="334">
        <v>92822.825695278298</v>
      </c>
    </row>
    <row r="66" spans="1:6">
      <c r="A66" s="348" t="s">
        <v>56</v>
      </c>
      <c r="B66" s="348" t="s">
        <v>58</v>
      </c>
      <c r="C66" s="334">
        <v>0</v>
      </c>
      <c r="D66" s="334">
        <v>0</v>
      </c>
      <c r="E66" s="334">
        <v>8</v>
      </c>
      <c r="F66" s="334">
        <v>255966.00585874799</v>
      </c>
    </row>
    <row r="67" spans="1:6">
      <c r="A67" s="355" t="s">
        <v>56</v>
      </c>
      <c r="B67" s="355" t="s">
        <v>59</v>
      </c>
      <c r="C67" s="334">
        <v>0</v>
      </c>
      <c r="D67" s="334">
        <v>0</v>
      </c>
      <c r="E67" s="334">
        <v>0</v>
      </c>
      <c r="F67" s="334">
        <v>0</v>
      </c>
    </row>
    <row r="68" spans="1:6">
      <c r="A68" s="341" t="s">
        <v>56</v>
      </c>
      <c r="B68" s="341" t="s">
        <v>60</v>
      </c>
      <c r="C68" s="334">
        <v>7</v>
      </c>
      <c r="D68" s="334">
        <v>273848.32814224198</v>
      </c>
      <c r="E68" s="334">
        <v>20</v>
      </c>
      <c r="F68" s="334">
        <v>177994.69715641899</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55419454</v>
      </c>
      <c r="E73" s="476">
        <v>56093958.905515887</v>
      </c>
    </row>
    <row r="74" spans="1:6">
      <c r="A74" s="348" t="s">
        <v>64</v>
      </c>
      <c r="B74" s="348" t="s">
        <v>657</v>
      </c>
      <c r="C74" s="1272" t="s">
        <v>659</v>
      </c>
      <c r="D74" s="476">
        <v>8644338.7470355947</v>
      </c>
      <c r="E74" s="476">
        <v>8815966.3593399655</v>
      </c>
    </row>
    <row r="75" spans="1:6">
      <c r="A75" s="348" t="s">
        <v>65</v>
      </c>
      <c r="B75" s="348" t="s">
        <v>656</v>
      </c>
      <c r="C75" s="1272" t="s">
        <v>660</v>
      </c>
      <c r="D75" s="476">
        <v>21975832</v>
      </c>
      <c r="E75" s="476">
        <v>22264036.876817748</v>
      </c>
    </row>
    <row r="76" spans="1:6">
      <c r="A76" s="348" t="s">
        <v>65</v>
      </c>
      <c r="B76" s="348" t="s">
        <v>657</v>
      </c>
      <c r="C76" s="1272" t="s">
        <v>661</v>
      </c>
      <c r="D76" s="476">
        <v>1154437.7470355951</v>
      </c>
      <c r="E76" s="476">
        <v>1175146.8366069696</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185404.50592880993</v>
      </c>
      <c r="C83" s="476">
        <v>185249.3350391041</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14123.299081857582</v>
      </c>
    </row>
    <row r="91" spans="1:6">
      <c r="A91" s="348" t="s">
        <v>68</v>
      </c>
      <c r="B91" s="334">
        <v>5225.3008048722586</v>
      </c>
    </row>
    <row r="92" spans="1:6">
      <c r="A92" s="341" t="s">
        <v>69</v>
      </c>
      <c r="B92" s="342">
        <v>5165.1520527711818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3399</v>
      </c>
    </row>
    <row r="98" spans="1:6">
      <c r="A98" s="348" t="s">
        <v>72</v>
      </c>
      <c r="B98" s="334">
        <v>0</v>
      </c>
    </row>
    <row r="99" spans="1:6">
      <c r="A99" s="348" t="s">
        <v>73</v>
      </c>
      <c r="B99" s="334">
        <v>252</v>
      </c>
    </row>
    <row r="100" spans="1:6">
      <c r="A100" s="348" t="s">
        <v>74</v>
      </c>
      <c r="B100" s="334">
        <v>404</v>
      </c>
    </row>
    <row r="101" spans="1:6">
      <c r="A101" s="348" t="s">
        <v>75</v>
      </c>
      <c r="B101" s="334">
        <v>235</v>
      </c>
    </row>
    <row r="102" spans="1:6">
      <c r="A102" s="348" t="s">
        <v>76</v>
      </c>
      <c r="B102" s="334">
        <v>124</v>
      </c>
    </row>
    <row r="103" spans="1:6">
      <c r="A103" s="348" t="s">
        <v>77</v>
      </c>
      <c r="B103" s="334">
        <v>575</v>
      </c>
    </row>
    <row r="104" spans="1:6">
      <c r="A104" s="348" t="s">
        <v>78</v>
      </c>
      <c r="B104" s="334">
        <v>2396</v>
      </c>
    </row>
    <row r="105" spans="1:6">
      <c r="A105" s="341" t="s">
        <v>79</v>
      </c>
      <c r="B105" s="341">
        <v>4</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21</v>
      </c>
      <c r="C123" s="334">
        <v>48</v>
      </c>
    </row>
    <row r="124" spans="1:6">
      <c r="A124" s="341" t="s">
        <v>89</v>
      </c>
      <c r="B124" s="334">
        <v>2</v>
      </c>
      <c r="C124" s="334">
        <v>7</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285</v>
      </c>
    </row>
    <row r="130" spans="1:6">
      <c r="A130" s="348" t="s">
        <v>295</v>
      </c>
      <c r="B130" s="334">
        <v>4</v>
      </c>
    </row>
    <row r="131" spans="1:6">
      <c r="A131" s="348" t="s">
        <v>296</v>
      </c>
      <c r="B131" s="334">
        <v>3</v>
      </c>
    </row>
    <row r="132" spans="1:6">
      <c r="A132" s="341" t="s">
        <v>297</v>
      </c>
      <c r="B132" s="342">
        <v>24</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107223.76267056806</v>
      </c>
      <c r="C3" s="43" t="s">
        <v>170</v>
      </c>
      <c r="D3" s="43"/>
      <c r="E3" s="154"/>
      <c r="F3" s="43"/>
      <c r="G3" s="43"/>
      <c r="H3" s="43"/>
      <c r="I3" s="43"/>
      <c r="J3" s="43"/>
      <c r="K3" s="96"/>
    </row>
    <row r="4" spans="1:11">
      <c r="A4" s="383" t="s">
        <v>171</v>
      </c>
      <c r="B4" s="49">
        <f>IF(ISERROR('SEAP template'!B69),0,'SEAP template'!B69)</f>
        <v>25942.501939501024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72.185294117647061</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0.1682028634930007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103.1218487394958</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2041.0714285714284</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5.0523390458545626E-2</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1436.7850000000001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1436.7850000000001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0.1682028634930007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241.67135122379102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25519.972977233203</v>
      </c>
      <c r="C5" s="17">
        <f>IF(ISERROR('Eigen informatie GS &amp; warmtenet'!B57),0,'Eigen informatie GS &amp; warmtenet'!B57)</f>
        <v>0</v>
      </c>
      <c r="D5" s="30">
        <f>(SUM(HH_hh_gas_kWh,HH_rest_gas_kWh)/1000)*0.902</f>
        <v>70114.498048617606</v>
      </c>
      <c r="E5" s="17">
        <f>B46*B57</f>
        <v>10946.879452897787</v>
      </c>
      <c r="F5" s="17">
        <f>B51*B62</f>
        <v>16757.487943038897</v>
      </c>
      <c r="G5" s="18"/>
      <c r="H5" s="17"/>
      <c r="I5" s="17"/>
      <c r="J5" s="17">
        <f>B50*B61+C50*C61</f>
        <v>13423.606476543369</v>
      </c>
      <c r="K5" s="17"/>
      <c r="L5" s="17"/>
      <c r="M5" s="17"/>
      <c r="N5" s="17">
        <f>B48*B59+C48*C59</f>
        <v>34789.671281774281</v>
      </c>
      <c r="O5" s="17">
        <f>B69*B70*B71</f>
        <v>531.5333333333333</v>
      </c>
      <c r="P5" s="17">
        <f>B77*B78*B79/1000-B77*B78*B79/1000/B80</f>
        <v>896.13333333333333</v>
      </c>
    </row>
    <row r="6" spans="1:16">
      <c r="A6" s="16" t="s">
        <v>621</v>
      </c>
      <c r="B6" s="843">
        <f>kWh_PV_kleiner_dan_10kW</f>
        <v>5225.3008048722586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30745.273782105462</v>
      </c>
      <c r="C8" s="21">
        <f>C5</f>
        <v>0</v>
      </c>
      <c r="D8" s="21">
        <f>D5</f>
        <v>70114.498048617606</v>
      </c>
      <c r="E8" s="21">
        <f>E5</f>
        <v>10946.879452897787</v>
      </c>
      <c r="F8" s="21">
        <f>F5</f>
        <v>16757.487943038897</v>
      </c>
      <c r="G8" s="21"/>
      <c r="H8" s="21"/>
      <c r="I8" s="21"/>
      <c r="J8" s="21">
        <f>J5</f>
        <v>13423.606476543369</v>
      </c>
      <c r="K8" s="21"/>
      <c r="L8" s="21">
        <f>L5</f>
        <v>0</v>
      </c>
      <c r="M8" s="21">
        <f>M5</f>
        <v>0</v>
      </c>
      <c r="N8" s="21">
        <f>N5</f>
        <v>34789.671281774281</v>
      </c>
      <c r="O8" s="21">
        <f>O5</f>
        <v>531.5333333333333</v>
      </c>
      <c r="P8" s="21">
        <f>P5</f>
        <v>896.13333333333333</v>
      </c>
    </row>
    <row r="9" spans="1:16">
      <c r="B9" s="19"/>
      <c r="C9" s="19"/>
      <c r="D9" s="258"/>
      <c r="E9" s="19"/>
      <c r="F9" s="19"/>
      <c r="G9" s="19"/>
      <c r="H9" s="19"/>
      <c r="I9" s="19"/>
      <c r="J9" s="19"/>
      <c r="K9" s="19"/>
      <c r="L9" s="19"/>
      <c r="M9" s="19"/>
      <c r="N9" s="19"/>
      <c r="O9" s="19"/>
      <c r="P9" s="19"/>
    </row>
    <row r="10" spans="1:16">
      <c r="A10" s="24" t="s">
        <v>214</v>
      </c>
      <c r="B10" s="25">
        <f ca="1">'EF ele_warmte'!B12</f>
        <v>0.1682028634930007</v>
      </c>
      <c r="C10" s="25">
        <f ca="1">'EF ele_warmte'!B22</f>
        <v>5.0523390458545626E-2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5171.4430890264184</v>
      </c>
      <c r="C12" s="23">
        <f ca="1">C10*C8</f>
        <v>0</v>
      </c>
      <c r="D12" s="23">
        <f>D8*D10</f>
        <v>14163.128605820757</v>
      </c>
      <c r="E12" s="23">
        <f>E10*E8</f>
        <v>2484.9416358077979</v>
      </c>
      <c r="F12" s="23">
        <f>F10*F8</f>
        <v>4474.2492807913859</v>
      </c>
      <c r="G12" s="23"/>
      <c r="H12" s="23"/>
      <c r="I12" s="23"/>
      <c r="J12" s="23">
        <f>J10*J8</f>
        <v>4751.9566926963525</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3399</v>
      </c>
      <c r="C18" s="166" t="s">
        <v>111</v>
      </c>
      <c r="D18" s="228"/>
      <c r="E18" s="15"/>
    </row>
    <row r="19" spans="1:7">
      <c r="A19" s="171" t="s">
        <v>72</v>
      </c>
      <c r="B19" s="37">
        <f>aantalw2001_ander</f>
        <v>0</v>
      </c>
      <c r="C19" s="166" t="s">
        <v>111</v>
      </c>
      <c r="D19" s="229"/>
      <c r="E19" s="15"/>
    </row>
    <row r="20" spans="1:7">
      <c r="A20" s="171" t="s">
        <v>73</v>
      </c>
      <c r="B20" s="37">
        <f>aantalw2001_propaan</f>
        <v>252</v>
      </c>
      <c r="C20" s="167">
        <f>IF(ISERROR(B20/SUM($B$20,$B$21,$B$22)*100),0,B20/SUM($B$20,$B$21,$B$22)*100)</f>
        <v>28.28282828282828</v>
      </c>
      <c r="D20" s="229"/>
      <c r="E20" s="15"/>
    </row>
    <row r="21" spans="1:7">
      <c r="A21" s="171" t="s">
        <v>74</v>
      </c>
      <c r="B21" s="37">
        <f>aantalw2001_elektriciteit</f>
        <v>404</v>
      </c>
      <c r="C21" s="167">
        <f>IF(ISERROR(B21/SUM($B$20,$B$21,$B$22)*100),0,B21/SUM($B$20,$B$21,$B$22)*100)</f>
        <v>45.342312008978674</v>
      </c>
      <c r="D21" s="229"/>
      <c r="E21" s="15"/>
    </row>
    <row r="22" spans="1:7">
      <c r="A22" s="171" t="s">
        <v>75</v>
      </c>
      <c r="B22" s="37">
        <f>aantalw2001_hout</f>
        <v>235</v>
      </c>
      <c r="C22" s="167">
        <f>IF(ISERROR(B22/SUM($B$20,$B$21,$B$22)*100),0,B22/SUM($B$20,$B$21,$B$22)*100)</f>
        <v>26.374859708193043</v>
      </c>
      <c r="D22" s="229"/>
      <c r="E22" s="15"/>
    </row>
    <row r="23" spans="1:7">
      <c r="A23" s="171" t="s">
        <v>76</v>
      </c>
      <c r="B23" s="37">
        <f>aantalw2001_niet_gespec</f>
        <v>124</v>
      </c>
      <c r="C23" s="166" t="s">
        <v>111</v>
      </c>
      <c r="D23" s="228"/>
      <c r="E23" s="15"/>
    </row>
    <row r="24" spans="1:7">
      <c r="A24" s="171" t="s">
        <v>77</v>
      </c>
      <c r="B24" s="37">
        <f>aantalw2001_steenkool</f>
        <v>575</v>
      </c>
      <c r="C24" s="166" t="s">
        <v>111</v>
      </c>
      <c r="D24" s="229"/>
      <c r="E24" s="15"/>
    </row>
    <row r="25" spans="1:7">
      <c r="A25" s="171" t="s">
        <v>78</v>
      </c>
      <c r="B25" s="37">
        <f>aantalw2001_stookolie</f>
        <v>2396</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794</v>
      </c>
      <c r="B28" s="37">
        <f>aantalHuishoudens2011</f>
        <v>8245</v>
      </c>
      <c r="C28" s="36"/>
      <c r="D28" s="228"/>
    </row>
    <row r="29" spans="1:7" s="15" customFormat="1">
      <c r="A29" s="230" t="s">
        <v>795</v>
      </c>
      <c r="B29" s="37">
        <f>SUM(HH_hh_gas_aantal,HH_rest_gas_aantal)</f>
        <v>5342</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5342</v>
      </c>
      <c r="C32" s="167">
        <f>IF(ISERROR(B32/SUM($B$32,$B$34,$B$35,$B$36,$B$38,$B$39)*100),0,B32/SUM($B$32,$B$34,$B$35,$B$36,$B$38,$B$39)*100)</f>
        <v>65.16223469138815</v>
      </c>
      <c r="D32" s="233"/>
      <c r="G32" s="15"/>
    </row>
    <row r="33" spans="1:7">
      <c r="A33" s="171" t="s">
        <v>72</v>
      </c>
      <c r="B33" s="34" t="s">
        <v>111</v>
      </c>
      <c r="C33" s="167"/>
      <c r="D33" s="233"/>
      <c r="G33" s="15"/>
    </row>
    <row r="34" spans="1:7">
      <c r="A34" s="171" t="s">
        <v>73</v>
      </c>
      <c r="B34" s="33">
        <f>IF((($B$28-$B$32-$B$39-$B$77-$B$38)*C20/100)&lt;0,0,($B$28-$B$32-$B$39-$B$77-$B$38)*C20/100)</f>
        <v>517.01010101010093</v>
      </c>
      <c r="C34" s="167">
        <f>IF(ISERROR(B34/SUM($B$32,$B$34,$B$35,$B$36,$B$38,$B$39)*100),0,B34/SUM($B$32,$B$34,$B$35,$B$36,$B$38,$B$39)*100)</f>
        <v>6.3065394121749314</v>
      </c>
      <c r="D34" s="233"/>
      <c r="G34" s="15"/>
    </row>
    <row r="35" spans="1:7">
      <c r="A35" s="171" t="s">
        <v>74</v>
      </c>
      <c r="B35" s="33">
        <f>IF((($B$28-$B$32-$B$39-$B$77-$B$38)*C21/100)&lt;0,0,($B$28-$B$32-$B$39-$B$77-$B$38)*C21/100)</f>
        <v>828.85746352413003</v>
      </c>
      <c r="C35" s="167">
        <f>IF(ISERROR(B35/SUM($B$32,$B$34,$B$35,$B$36,$B$38,$B$39)*100),0,B35/SUM($B$32,$B$34,$B$35,$B$36,$B$38,$B$39)*100)</f>
        <v>10.11048381951854</v>
      </c>
      <c r="D35" s="233"/>
      <c r="G35" s="15"/>
    </row>
    <row r="36" spans="1:7">
      <c r="A36" s="171" t="s">
        <v>75</v>
      </c>
      <c r="B36" s="33">
        <f>IF((($B$28-$B$32-$B$39-$B$77-$B$38)*C22/100)&lt;0,0,($B$28-$B$32-$B$39-$B$77-$B$38)*C22/100)</f>
        <v>482.13243546576882</v>
      </c>
      <c r="C36" s="167">
        <f>IF(ISERROR(B36/SUM($B$32,$B$34,$B$35,$B$36,$B$38,$B$39)*100),0,B36/SUM($B$32,$B$34,$B$35,$B$36,$B$38,$B$39)*100)</f>
        <v>5.8810982613536087</v>
      </c>
      <c r="D36" s="233"/>
      <c r="G36" s="15"/>
    </row>
    <row r="37" spans="1:7">
      <c r="A37" s="171" t="s">
        <v>76</v>
      </c>
      <c r="B37" s="34" t="s">
        <v>111</v>
      </c>
      <c r="C37" s="167"/>
      <c r="D37" s="173"/>
      <c r="G37" s="15"/>
    </row>
    <row r="38" spans="1:7">
      <c r="A38" s="171" t="s">
        <v>77</v>
      </c>
      <c r="B38" s="33">
        <f>IF((B24-(B29-B18)*0.1)&lt;0,0,B24-(B29-B18)*0.1)</f>
        <v>380.7</v>
      </c>
      <c r="C38" s="167">
        <f>IF(ISERROR(B38/SUM($B$32,$B$34,$B$35,$B$36,$B$38,$B$39)*100),0,B38/SUM($B$32,$B$34,$B$35,$B$36,$B$38,$B$39)*100)</f>
        <v>4.6438155647718959</v>
      </c>
      <c r="D38" s="234"/>
      <c r="G38" s="15"/>
    </row>
    <row r="39" spans="1:7">
      <c r="A39" s="171" t="s">
        <v>78</v>
      </c>
      <c r="B39" s="33">
        <f>IF((B25-(B29-B18))&lt;0,0,B25-(B29-B18)*0.9)</f>
        <v>647.29999999999995</v>
      </c>
      <c r="C39" s="167">
        <f>IF(ISERROR(B39/SUM($B$32,$B$34,$B$35,$B$36,$B$38,$B$39)*100),0,B39/SUM($B$32,$B$34,$B$35,$B$36,$B$38,$B$39)*100)</f>
        <v>7.8958282507928761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5342</v>
      </c>
      <c r="C44" s="34" t="s">
        <v>111</v>
      </c>
      <c r="D44" s="174"/>
    </row>
    <row r="45" spans="1:7">
      <c r="A45" s="171" t="s">
        <v>72</v>
      </c>
      <c r="B45" s="33" t="str">
        <f t="shared" si="0"/>
        <v>-</v>
      </c>
      <c r="C45" s="34" t="s">
        <v>111</v>
      </c>
      <c r="D45" s="174"/>
    </row>
    <row r="46" spans="1:7">
      <c r="A46" s="171" t="s">
        <v>73</v>
      </c>
      <c r="B46" s="33">
        <f t="shared" si="0"/>
        <v>517.01010101010093</v>
      </c>
      <c r="C46" s="34" t="s">
        <v>111</v>
      </c>
      <c r="D46" s="174"/>
    </row>
    <row r="47" spans="1:7">
      <c r="A47" s="171" t="s">
        <v>74</v>
      </c>
      <c r="B47" s="33">
        <f t="shared" si="0"/>
        <v>828.85746352413003</v>
      </c>
      <c r="C47" s="34" t="s">
        <v>111</v>
      </c>
      <c r="D47" s="174"/>
    </row>
    <row r="48" spans="1:7">
      <c r="A48" s="171" t="s">
        <v>75</v>
      </c>
      <c r="B48" s="33">
        <f t="shared" si="0"/>
        <v>482.13243546576882</v>
      </c>
      <c r="C48" s="33">
        <f>B48*10</f>
        <v>4821.3243546576887</v>
      </c>
      <c r="D48" s="234"/>
    </row>
    <row r="49" spans="1:6">
      <c r="A49" s="171" t="s">
        <v>76</v>
      </c>
      <c r="B49" s="33" t="str">
        <f t="shared" si="0"/>
        <v>-</v>
      </c>
      <c r="C49" s="34" t="s">
        <v>111</v>
      </c>
      <c r="D49" s="234"/>
    </row>
    <row r="50" spans="1:6">
      <c r="A50" s="171" t="s">
        <v>77</v>
      </c>
      <c r="B50" s="33">
        <f t="shared" si="0"/>
        <v>380.7</v>
      </c>
      <c r="C50" s="33">
        <f>B50*2</f>
        <v>761.4</v>
      </c>
      <c r="D50" s="234"/>
    </row>
    <row r="51" spans="1:6">
      <c r="A51" s="171" t="s">
        <v>78</v>
      </c>
      <c r="B51" s="33">
        <f t="shared" si="0"/>
        <v>647.29999999999995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340</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21039.818156314956</v>
      </c>
      <c r="C5" s="17">
        <f>IF(ISERROR('Eigen informatie GS &amp; warmtenet'!B58),0,'Eigen informatie GS &amp; warmtenet'!B58)</f>
        <v>0</v>
      </c>
      <c r="D5" s="30">
        <f>SUM(D6:D12)</f>
        <v>28187.729110243759</v>
      </c>
      <c r="E5" s="17">
        <f>SUM(E6:E12)</f>
        <v>309.06991281260662</v>
      </c>
      <c r="F5" s="17">
        <f>SUM(F6:F12)</f>
        <v>3591.5866538308937</v>
      </c>
      <c r="G5" s="18"/>
      <c r="H5" s="17"/>
      <c r="I5" s="17"/>
      <c r="J5" s="17">
        <f>SUM(J6:J12)</f>
        <v>4.3016355193617378E-2</v>
      </c>
      <c r="K5" s="17"/>
      <c r="L5" s="17"/>
      <c r="M5" s="17"/>
      <c r="N5" s="17">
        <f>SUM(N6:N12)</f>
        <v>1731.1915500692594</v>
      </c>
      <c r="O5" s="17">
        <f>B38*B39*B40</f>
        <v>6.2533333333333339</v>
      </c>
      <c r="P5" s="17">
        <f>B46*B47*B48/1000-B46*B47*B48/1000/B49</f>
        <v>57.2</v>
      </c>
      <c r="R5" s="32"/>
    </row>
    <row r="6" spans="1:18">
      <c r="A6" s="32" t="s">
        <v>54</v>
      </c>
      <c r="B6" s="37">
        <f>B26</f>
        <v>4715.2584626091002</v>
      </c>
      <c r="C6" s="33"/>
      <c r="D6" s="37">
        <f>IF(ISERROR(TER_kantoor_gas_kWh/1000),0,TER_kantoor_gas_kWh/1000)*0.902</f>
        <v>6056.246865631294</v>
      </c>
      <c r="E6" s="33">
        <f>$C$26*'E Balans VL '!I12/100/3.6*1000000</f>
        <v>2.9553671773238342E-2</v>
      </c>
      <c r="F6" s="33">
        <f>$C$26*('E Balans VL '!L12+'E Balans VL '!N12)/100/3.6*1000000</f>
        <v>708.5715900425522</v>
      </c>
      <c r="G6" s="34"/>
      <c r="H6" s="33"/>
      <c r="I6" s="33"/>
      <c r="J6" s="33">
        <f>$C$26*('E Balans VL '!D12+'E Balans VL '!E12)/100/3.6*1000000</f>
        <v>0</v>
      </c>
      <c r="K6" s="33"/>
      <c r="L6" s="33"/>
      <c r="M6" s="33"/>
      <c r="N6" s="33">
        <f>$C$26*'E Balans VL '!Y12/100/3.6*1000000</f>
        <v>4.5094456056948635</v>
      </c>
      <c r="O6" s="33"/>
      <c r="P6" s="33"/>
      <c r="R6" s="32"/>
    </row>
    <row r="7" spans="1:18">
      <c r="A7" s="32" t="s">
        <v>53</v>
      </c>
      <c r="B7" s="37">
        <f t="shared" ref="B7:B12" si="0">B27</f>
        <v>3314.9454370622402</v>
      </c>
      <c r="C7" s="33"/>
      <c r="D7" s="37">
        <f>IF(ISERROR(TER_horeca_gas_kWh/1000),0,TER_horeca_gas_kWh/1000)*0.902</f>
        <v>5018.242180138911</v>
      </c>
      <c r="E7" s="33">
        <f>$C$27*'E Balans VL '!I9/100/3.6*1000000</f>
        <v>47.469466494228612</v>
      </c>
      <c r="F7" s="33">
        <f>$C$27*('E Balans VL '!L9+'E Balans VL '!N9)/100/3.6*1000000</f>
        <v>419.78142344466954</v>
      </c>
      <c r="G7" s="34"/>
      <c r="H7" s="33"/>
      <c r="I7" s="33"/>
      <c r="J7" s="33">
        <f>$C$27*('E Balans VL '!D9+'E Balans VL '!E9)/100/3.6*1000000</f>
        <v>0</v>
      </c>
      <c r="K7" s="33"/>
      <c r="L7" s="33"/>
      <c r="M7" s="33"/>
      <c r="N7" s="33">
        <f>$C$27*'E Balans VL '!Y9/100/3.6*1000000</f>
        <v>0.95297372488237986</v>
      </c>
      <c r="O7" s="33"/>
      <c r="P7" s="33"/>
      <c r="R7" s="32"/>
    </row>
    <row r="8" spans="1:18">
      <c r="A8" s="6" t="s">
        <v>52</v>
      </c>
      <c r="B8" s="37">
        <f t="shared" si="0"/>
        <v>5777.9309251299501</v>
      </c>
      <c r="C8" s="33"/>
      <c r="D8" s="37">
        <f>IF(ISERROR(TER_handel_gas_kWh/1000),0,TER_handel_gas_kWh/1000)*0.902</f>
        <v>3926.4906390527944</v>
      </c>
      <c r="E8" s="33">
        <f>$C$28*'E Balans VL '!I13/100/3.6*1000000</f>
        <v>209.56484215194283</v>
      </c>
      <c r="F8" s="33">
        <f>$C$28*('E Balans VL '!L13+'E Balans VL '!N13)/100/3.6*1000000</f>
        <v>1112.8880014502943</v>
      </c>
      <c r="G8" s="34"/>
      <c r="H8" s="33"/>
      <c r="I8" s="33"/>
      <c r="J8" s="33">
        <f>$C$28*('E Balans VL '!D13+'E Balans VL '!E13)/100/3.6*1000000</f>
        <v>0</v>
      </c>
      <c r="K8" s="33"/>
      <c r="L8" s="33"/>
      <c r="M8" s="33"/>
      <c r="N8" s="33">
        <f>$C$28*'E Balans VL '!Y13/100/3.6*1000000</f>
        <v>8.0037637739194896</v>
      </c>
      <c r="O8" s="33"/>
      <c r="P8" s="33"/>
      <c r="R8" s="32"/>
    </row>
    <row r="9" spans="1:18">
      <c r="A9" s="32" t="s">
        <v>51</v>
      </c>
      <c r="B9" s="37">
        <f t="shared" si="0"/>
        <v>1701.25004105381</v>
      </c>
      <c r="C9" s="33"/>
      <c r="D9" s="37">
        <f>IF(ISERROR(TER_gezond_gas_kWh/1000),0,TER_gezond_gas_kWh/1000)*0.902</f>
        <v>662.09138339207959</v>
      </c>
      <c r="E9" s="33">
        <f>$C$29*'E Balans VL '!I10/100/3.6*1000000</f>
        <v>0.10651504937960479</v>
      </c>
      <c r="F9" s="33">
        <f>$C$29*('E Balans VL '!L10+'E Balans VL '!N10)/100/3.6*1000000</f>
        <v>252.7258734116192</v>
      </c>
      <c r="G9" s="34"/>
      <c r="H9" s="33"/>
      <c r="I9" s="33"/>
      <c r="J9" s="33">
        <f>$C$29*('E Balans VL '!D10+'E Balans VL '!E10)/100/3.6*1000000</f>
        <v>0</v>
      </c>
      <c r="K9" s="33"/>
      <c r="L9" s="33"/>
      <c r="M9" s="33"/>
      <c r="N9" s="33">
        <f>$C$29*'E Balans VL '!Y10/100/3.6*1000000</f>
        <v>26.315099791617168</v>
      </c>
      <c r="O9" s="33"/>
      <c r="P9" s="33"/>
      <c r="R9" s="32"/>
    </row>
    <row r="10" spans="1:18">
      <c r="A10" s="32" t="s">
        <v>50</v>
      </c>
      <c r="B10" s="37">
        <f t="shared" si="0"/>
        <v>1582.75024603571</v>
      </c>
      <c r="C10" s="33"/>
      <c r="D10" s="37">
        <f>IF(ISERROR(TER_ander_gas_kWh/1000),0,TER_ander_gas_kWh/1000)*0.902</f>
        <v>2269.6589357568314</v>
      </c>
      <c r="E10" s="33">
        <f>$C$30*'E Balans VL '!I14/100/3.6*1000000</f>
        <v>1.8865817353373853</v>
      </c>
      <c r="F10" s="33">
        <f>$C$30*('E Balans VL '!L14+'E Balans VL '!N14)/100/3.6*1000000</f>
        <v>414.11782791230615</v>
      </c>
      <c r="G10" s="34"/>
      <c r="H10" s="33"/>
      <c r="I10" s="33"/>
      <c r="J10" s="33">
        <f>$C$30*('E Balans VL '!D14+'E Balans VL '!E14)/100/3.6*1000000</f>
        <v>3.4355303631781187E-2</v>
      </c>
      <c r="K10" s="33"/>
      <c r="L10" s="33"/>
      <c r="M10" s="33"/>
      <c r="N10" s="33">
        <f>$C$30*'E Balans VL '!Y14/100/3.6*1000000</f>
        <v>1344.0327795801591</v>
      </c>
      <c r="O10" s="33"/>
      <c r="P10" s="33"/>
      <c r="R10" s="32"/>
    </row>
    <row r="11" spans="1:18">
      <c r="A11" s="32" t="s">
        <v>55</v>
      </c>
      <c r="B11" s="37">
        <f t="shared" si="0"/>
        <v>370.99037518326503</v>
      </c>
      <c r="C11" s="33"/>
      <c r="D11" s="37">
        <f>IF(ISERROR(TER_onderwijs_gas_kWh/1000),0,TER_onderwijs_gas_kWh/1000)*0.902</f>
        <v>595.92397416691028</v>
      </c>
      <c r="E11" s="33">
        <f>$C$31*'E Balans VL '!I11/100/3.6*1000000</f>
        <v>5.5976472246966438</v>
      </c>
      <c r="F11" s="33">
        <f>$C$31*('E Balans VL '!L11+'E Balans VL '!N11)/100/3.6*1000000</f>
        <v>65.00344047967036</v>
      </c>
      <c r="G11" s="34"/>
      <c r="H11" s="33"/>
      <c r="I11" s="33"/>
      <c r="J11" s="33">
        <f>$C$31*('E Balans VL '!D11+'E Balans VL '!E11)/100/3.6*1000000</f>
        <v>0</v>
      </c>
      <c r="K11" s="33"/>
      <c r="L11" s="33"/>
      <c r="M11" s="33"/>
      <c r="N11" s="33">
        <f>$C$31*'E Balans VL '!Y11/100/3.6*1000000</f>
        <v>1.0439951195280812</v>
      </c>
      <c r="O11" s="33"/>
      <c r="P11" s="33"/>
      <c r="R11" s="32"/>
    </row>
    <row r="12" spans="1:18">
      <c r="A12" s="32" t="s">
        <v>260</v>
      </c>
      <c r="B12" s="37">
        <f t="shared" si="0"/>
        <v>3576.6926692408797</v>
      </c>
      <c r="C12" s="33"/>
      <c r="D12" s="37">
        <f>IF(ISERROR(TER_rest_gas_kWh/1000),0,TER_rest_gas_kWh/1000)*0.902</f>
        <v>9659.0751321049338</v>
      </c>
      <c r="E12" s="33">
        <f>$C$32*'E Balans VL '!I8/100/3.6*1000000</f>
        <v>44.415306485248387</v>
      </c>
      <c r="F12" s="33">
        <f>$C$32*('E Balans VL '!L8+'E Balans VL '!N8)/100/3.6*1000000</f>
        <v>618.4984970897824</v>
      </c>
      <c r="G12" s="34"/>
      <c r="H12" s="33"/>
      <c r="I12" s="33"/>
      <c r="J12" s="33">
        <f>$C$32*('E Balans VL '!D8+'E Balans VL '!E8)/100/3.6*1000000</f>
        <v>8.6610515618361951E-3</v>
      </c>
      <c r="K12" s="33"/>
      <c r="L12" s="33"/>
      <c r="M12" s="33"/>
      <c r="N12" s="33">
        <f>$C$32*'E Balans VL '!Y8/100/3.6*1000000</f>
        <v>346.33349247345825</v>
      </c>
      <c r="O12" s="33"/>
      <c r="P12" s="33"/>
      <c r="R12" s="32"/>
    </row>
    <row r="13" spans="1:18">
      <c r="A13" s="16" t="s">
        <v>488</v>
      </c>
      <c r="B13" s="247">
        <f ca="1">'lokale energieproductie'!N90+'lokale energieproductie'!N59</f>
        <v>303.75</v>
      </c>
      <c r="C13" s="247">
        <f ca="1">'lokale energieproductie'!O90+'lokale energieproductie'!O59</f>
        <v>433.92857142857144</v>
      </c>
      <c r="D13" s="310">
        <f ca="1">('lokale energieproductie'!P59+'lokale energieproductie'!P90)*(-1)</f>
        <v>-867.85714285714289</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21343.568156314956</v>
      </c>
      <c r="C16" s="21">
        <f t="shared" ca="1" si="1"/>
        <v>433.92857142857144</v>
      </c>
      <c r="D16" s="21">
        <f t="shared" ca="1" si="1"/>
        <v>27319.871967386618</v>
      </c>
      <c r="E16" s="21">
        <f t="shared" si="1"/>
        <v>309.06991281260662</v>
      </c>
      <c r="F16" s="21">
        <f t="shared" ca="1" si="1"/>
        <v>3591.5866538308937</v>
      </c>
      <c r="G16" s="21">
        <f t="shared" si="1"/>
        <v>0</v>
      </c>
      <c r="H16" s="21">
        <f t="shared" si="1"/>
        <v>0</v>
      </c>
      <c r="I16" s="21">
        <f t="shared" si="1"/>
        <v>0</v>
      </c>
      <c r="J16" s="21">
        <f t="shared" si="1"/>
        <v>4.3016355193617378E-2</v>
      </c>
      <c r="K16" s="21">
        <f t="shared" si="1"/>
        <v>0</v>
      </c>
      <c r="L16" s="21">
        <f t="shared" ca="1" si="1"/>
        <v>0</v>
      </c>
      <c r="M16" s="21">
        <f t="shared" si="1"/>
        <v>0</v>
      </c>
      <c r="N16" s="21">
        <f t="shared" ca="1" si="1"/>
        <v>1731.1915500692594</v>
      </c>
      <c r="O16" s="21">
        <f>O5</f>
        <v>6.2533333333333339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0.1682028634930007</v>
      </c>
      <c r="C18" s="25">
        <f ca="1">'EF ele_warmte'!B22</f>
        <v>5.0523390458545626E-2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3590.049281050201</v>
      </c>
      <c r="C20" s="23">
        <f t="shared" ref="C20:P20" ca="1" si="2">C16*C18</f>
        <v>21.92354264540462</v>
      </c>
      <c r="D20" s="23">
        <f t="shared" ca="1" si="2"/>
        <v>5518.6141374120971</v>
      </c>
      <c r="E20" s="23">
        <f t="shared" si="2"/>
        <v>70.158870208461707</v>
      </c>
      <c r="F20" s="23">
        <f t="shared" ca="1" si="2"/>
        <v>958.95363657284872</v>
      </c>
      <c r="G20" s="23">
        <f t="shared" si="2"/>
        <v>0</v>
      </c>
      <c r="H20" s="23">
        <f t="shared" si="2"/>
        <v>0</v>
      </c>
      <c r="I20" s="23">
        <f t="shared" si="2"/>
        <v>0</v>
      </c>
      <c r="J20" s="23">
        <f t="shared" si="2"/>
        <v>1.5227789738540552E-2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4715.2584626091002</v>
      </c>
      <c r="C26" s="39">
        <f>IF(ISERROR(B26*3.6/1000000/'E Balans VL '!Z12*100),0,B26*3.6/1000000/'E Balans VL '!Z12*100)</f>
        <v>9.9673094326796344E-2</v>
      </c>
      <c r="D26" s="237" t="s">
        <v>754</v>
      </c>
      <c r="F26" s="6"/>
    </row>
    <row r="27" spans="1:18">
      <c r="A27" s="231" t="s">
        <v>53</v>
      </c>
      <c r="B27" s="33">
        <f>IF(ISERROR(TER_horeca_ele_kWh/1000),0,TER_horeca_ele_kWh/1000)</f>
        <v>3314.9454370622402</v>
      </c>
      <c r="C27" s="39">
        <f>IF(ISERROR(B27*3.6/1000000/'E Balans VL '!Z9*100),0,B27*3.6/1000000/'E Balans VL '!Z9*100)</f>
        <v>0.26131591326037523</v>
      </c>
      <c r="D27" s="237" t="s">
        <v>754</v>
      </c>
      <c r="F27" s="6"/>
    </row>
    <row r="28" spans="1:18">
      <c r="A28" s="171" t="s">
        <v>52</v>
      </c>
      <c r="B28" s="33">
        <f>IF(ISERROR(TER_handel_ele_kWh/1000),0,TER_handel_ele_kWh/1000)</f>
        <v>5777.9309251299501</v>
      </c>
      <c r="C28" s="39">
        <f>IF(ISERROR(B28*3.6/1000000/'E Balans VL '!Z13*100),0,B28*3.6/1000000/'E Balans VL '!Z13*100)</f>
        <v>0.16769890090420964</v>
      </c>
      <c r="D28" s="237" t="s">
        <v>754</v>
      </c>
      <c r="F28" s="6"/>
    </row>
    <row r="29" spans="1:18">
      <c r="A29" s="231" t="s">
        <v>51</v>
      </c>
      <c r="B29" s="33">
        <f>IF(ISERROR(TER_gezond_ele_kWh/1000),0,TER_gezond_ele_kWh/1000)</f>
        <v>1701.25004105381</v>
      </c>
      <c r="C29" s="39">
        <f>IF(ISERROR(B29*3.6/1000000/'E Balans VL '!Z10*100),0,B29*3.6/1000000/'E Balans VL '!Z10*100)</f>
        <v>0.17916956458602329</v>
      </c>
      <c r="D29" s="237" t="s">
        <v>754</v>
      </c>
      <c r="F29" s="6"/>
    </row>
    <row r="30" spans="1:18">
      <c r="A30" s="231" t="s">
        <v>50</v>
      </c>
      <c r="B30" s="33">
        <f>IF(ISERROR(TER_ander_ele_kWh/1000),0,TER_ander_ele_kWh/1000)</f>
        <v>1582.75024603571</v>
      </c>
      <c r="C30" s="39">
        <f>IF(ISERROR(B30*3.6/1000000/'E Balans VL '!Z14*100),0,B30*3.6/1000000/'E Balans VL '!Z14*100)</f>
        <v>0.11674400191923737</v>
      </c>
      <c r="D30" s="237" t="s">
        <v>754</v>
      </c>
      <c r="F30" s="6"/>
    </row>
    <row r="31" spans="1:18">
      <c r="A31" s="231" t="s">
        <v>55</v>
      </c>
      <c r="B31" s="33">
        <f>IF(ISERROR(TER_onderwijs_ele_kWh/1000),0,TER_onderwijs_ele_kWh/1000)</f>
        <v>370.99037518326503</v>
      </c>
      <c r="C31" s="39">
        <f>IF(ISERROR(B31*3.6/1000000/'E Balans VL '!Z11*100),0,B31*3.6/1000000/'E Balans VL '!Z11*100)</f>
        <v>9.2134288370617032E-2</v>
      </c>
      <c r="D31" s="237" t="s">
        <v>754</v>
      </c>
    </row>
    <row r="32" spans="1:18">
      <c r="A32" s="231" t="s">
        <v>260</v>
      </c>
      <c r="B32" s="33">
        <f>IF(ISERROR(TER_rest_ele_kWh/1000),0,TER_rest_ele_kWh/1000)</f>
        <v>3576.6926692408797</v>
      </c>
      <c r="C32" s="39">
        <f>IF(ISERROR(B32*3.6/1000000/'E Balans VL '!Z8*100),0,B32*3.6/1000000/'E Balans VL '!Z8*100)</f>
        <v>2.9431433090937743E-2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3</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42691.430776697496</v>
      </c>
      <c r="C5" s="17">
        <f>IF(ISERROR('Eigen informatie GS &amp; warmtenet'!B59),0,'Eigen informatie GS &amp; warmtenet'!B59)</f>
        <v>0</v>
      </c>
      <c r="D5" s="30">
        <f>SUM(D6:D15)</f>
        <v>68940.420947423816</v>
      </c>
      <c r="E5" s="17">
        <f>SUM(E6:E15)</f>
        <v>2890.5483020404517</v>
      </c>
      <c r="F5" s="17">
        <f>SUM(F6:F15)</f>
        <v>9830.5642084364463</v>
      </c>
      <c r="G5" s="18"/>
      <c r="H5" s="17"/>
      <c r="I5" s="17"/>
      <c r="J5" s="17">
        <f>SUM(J6:J15)</f>
        <v>131.82886702970765</v>
      </c>
      <c r="K5" s="17"/>
      <c r="L5" s="17"/>
      <c r="M5" s="17"/>
      <c r="N5" s="17">
        <f>SUM(N6:N15)</f>
        <v>9618.0538735517493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1056.9373209497901</v>
      </c>
      <c r="C8" s="33"/>
      <c r="D8" s="37">
        <f>IF( ISERROR(IND_metaal_Gas_kWH/1000),0,IND_metaal_Gas_kWH/1000)*0.902</f>
        <v>1665.6507584030956</v>
      </c>
      <c r="E8" s="33">
        <f>C30*'E Balans VL '!I18/100/3.6*1000000</f>
        <v>9.717517866360911</v>
      </c>
      <c r="F8" s="33">
        <f>C30*'E Balans VL '!L18/100/3.6*1000000+C30*'E Balans VL '!N18/100/3.6*1000000</f>
        <v>99.105531699683453</v>
      </c>
      <c r="G8" s="34"/>
      <c r="H8" s="33"/>
      <c r="I8" s="33"/>
      <c r="J8" s="40">
        <f>C30*'E Balans VL '!D18/100/3.6*1000000+C30*'E Balans VL '!E18/100/3.6*1000000</f>
        <v>0</v>
      </c>
      <c r="K8" s="33"/>
      <c r="L8" s="33"/>
      <c r="M8" s="33"/>
      <c r="N8" s="33">
        <f>C30*'E Balans VL '!Y18/100/3.6*1000000</f>
        <v>15.078957545825412</v>
      </c>
      <c r="O8" s="33"/>
      <c r="P8" s="33"/>
      <c r="R8" s="32"/>
    </row>
    <row r="9" spans="1:18">
      <c r="A9" s="6" t="s">
        <v>33</v>
      </c>
      <c r="B9" s="37">
        <f t="shared" si="0"/>
        <v>2886.4467779884799</v>
      </c>
      <c r="C9" s="33"/>
      <c r="D9" s="37">
        <f>IF( ISERROR(IND_andere_gas_kWh/1000),0,IND_andere_gas_kWh/1000)*0.902</f>
        <v>2867.2429608772327</v>
      </c>
      <c r="E9" s="33">
        <f>C31*'E Balans VL '!I19/100/3.6*1000000</f>
        <v>843.76458569693398</v>
      </c>
      <c r="F9" s="33">
        <f>C31*'E Balans VL '!L19/100/3.6*1000000+C31*'E Balans VL '!N19/100/3.6*1000000</f>
        <v>2319.4784700592386</v>
      </c>
      <c r="G9" s="34"/>
      <c r="H9" s="33"/>
      <c r="I9" s="33"/>
      <c r="J9" s="40">
        <f>C31*'E Balans VL '!D19/100/3.6*1000000+C31*'E Balans VL '!E19/100/3.6*1000000</f>
        <v>0</v>
      </c>
      <c r="K9" s="33"/>
      <c r="L9" s="33"/>
      <c r="M9" s="33"/>
      <c r="N9" s="33">
        <f>C31*'E Balans VL '!Y19/100/3.6*1000000</f>
        <v>953.72678106303567</v>
      </c>
      <c r="O9" s="33"/>
      <c r="P9" s="33"/>
      <c r="R9" s="32"/>
    </row>
    <row r="10" spans="1:18">
      <c r="A10" s="6" t="s">
        <v>41</v>
      </c>
      <c r="B10" s="37">
        <f t="shared" si="0"/>
        <v>1837.52972495278</v>
      </c>
      <c r="C10" s="33"/>
      <c r="D10" s="37">
        <f>IF( ISERROR(IND_voed_gas_kWh/1000),0,IND_voed_gas_kWh/1000)*0.902</f>
        <v>665.99788449837263</v>
      </c>
      <c r="E10" s="33">
        <f>C32*'E Balans VL '!I20/100/3.6*1000000</f>
        <v>3.887322624373438</v>
      </c>
      <c r="F10" s="33">
        <f>C32*'E Balans VL '!L20/100/3.6*1000000+C32*'E Balans VL '!N20/100/3.6*1000000</f>
        <v>116.83201689407014</v>
      </c>
      <c r="G10" s="34"/>
      <c r="H10" s="33"/>
      <c r="I10" s="33"/>
      <c r="J10" s="40">
        <f>C32*'E Balans VL '!D20/100/3.6*1000000+C32*'E Balans VL '!E20/100/3.6*1000000</f>
        <v>0</v>
      </c>
      <c r="K10" s="33"/>
      <c r="L10" s="33"/>
      <c r="M10" s="33"/>
      <c r="N10" s="33">
        <f>C32*'E Balans VL '!Y20/100/3.6*1000000</f>
        <v>126.80768420814448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90.526327533341998</v>
      </c>
      <c r="C13" s="33"/>
      <c r="D13" s="37">
        <f>IF( ISERROR(IND_papier_gas_kWh/1000),0,IND_papier_gas_kWh/1000)*0.902</f>
        <v>63.266549414075932</v>
      </c>
      <c r="E13" s="33">
        <f>C35*'E Balans VL '!I23/100/3.6*1000000</f>
        <v>0.12843615555942403</v>
      </c>
      <c r="F13" s="33">
        <f>C35*'E Balans VL '!L23/100/3.6*1000000+C35*'E Balans VL '!N23/100/3.6*1000000</f>
        <v>2.2100880560275526</v>
      </c>
      <c r="G13" s="34"/>
      <c r="H13" s="33"/>
      <c r="I13" s="33"/>
      <c r="J13" s="40">
        <f>C35*'E Balans VL '!D23/100/3.6*1000000+C35*'E Balans VL '!E23/100/3.6*1000000</f>
        <v>1.4000746465985755E-2</v>
      </c>
      <c r="K13" s="33"/>
      <c r="L13" s="33"/>
      <c r="M13" s="33"/>
      <c r="N13" s="33">
        <f>C35*'E Balans VL '!Y23/100/3.6*1000000</f>
        <v>263.13860508581007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36819.990625273102</v>
      </c>
      <c r="C15" s="33"/>
      <c r="D15" s="37">
        <f>IF( ISERROR(IND_rest_gas_kWh/1000),0,IND_rest_gas_kWh/1000)*0.902</f>
        <v>63678.262794231043</v>
      </c>
      <c r="E15" s="33">
        <f>C37*'E Balans VL '!I15/100/3.6*1000000</f>
        <v>2033.0504396972242</v>
      </c>
      <c r="F15" s="33">
        <f>C37*'E Balans VL '!L15/100/3.6*1000000+C37*'E Balans VL '!N15/100/3.6*1000000</f>
        <v>7292.9381017274263</v>
      </c>
      <c r="G15" s="34"/>
      <c r="H15" s="33"/>
      <c r="I15" s="33"/>
      <c r="J15" s="40">
        <f>C37*'E Balans VL '!D15/100/3.6*1000000+C37*'E Balans VL '!E15/100/3.6*1000000</f>
        <v>131.81486628324166</v>
      </c>
      <c r="K15" s="33"/>
      <c r="L15" s="33"/>
      <c r="M15" s="33"/>
      <c r="N15" s="33">
        <f>C37*'E Balans VL '!Y15/100/3.6*1000000</f>
        <v>8259.3018456489335</v>
      </c>
      <c r="O15" s="33"/>
      <c r="P15" s="33"/>
      <c r="R15" s="32"/>
    </row>
    <row r="16" spans="1:18">
      <c r="A16" s="16" t="s">
        <v>488</v>
      </c>
      <c r="B16" s="247">
        <f>'lokale energieproductie'!N89+'lokale energieproductie'!N58</f>
        <v>1125</v>
      </c>
      <c r="C16" s="247">
        <f>'lokale energieproductie'!O89+'lokale energieproductie'!O58</f>
        <v>1607.1428571428571</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-3214.2857142857147</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43816.430776697496</v>
      </c>
      <c r="C18" s="21">
        <f>C5+C16</f>
        <v>1607.1428571428571</v>
      </c>
      <c r="D18" s="21">
        <f>MAX((D5+D16),0)</f>
        <v>68940.420947423816</v>
      </c>
      <c r="E18" s="21">
        <f>MAX((E5+E16),0)</f>
        <v>2890.5483020404517</v>
      </c>
      <c r="F18" s="21">
        <f>MAX((F5+F16),0)</f>
        <v>9830.5642084364463</v>
      </c>
      <c r="G18" s="21"/>
      <c r="H18" s="21"/>
      <c r="I18" s="21"/>
      <c r="J18" s="21">
        <f>MAX((J5+J16),0)</f>
        <v>131.82886702970765</v>
      </c>
      <c r="K18" s="21"/>
      <c r="L18" s="21">
        <f>MAX((L5+L16),0)</f>
        <v>0</v>
      </c>
      <c r="M18" s="21"/>
      <c r="N18" s="21">
        <f>MAX((N5+N16),0)</f>
        <v>6403.7681592660347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0.1682028634930007</v>
      </c>
      <c r="C20" s="25">
        <f ca="1">'EF ele_warmte'!B22</f>
        <v>5.0523390458545626E-2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7370.0491246833635</v>
      </c>
      <c r="C22" s="23">
        <f ca="1">C18*C20</f>
        <v>81.19830609409118</v>
      </c>
      <c r="D22" s="23">
        <f>D18*D20</f>
        <v>13925.965031379612</v>
      </c>
      <c r="E22" s="23">
        <f>E18*E20</f>
        <v>656.15446456318261</v>
      </c>
      <c r="F22" s="23">
        <f>F18*F20</f>
        <v>2624.7606436525311</v>
      </c>
      <c r="G22" s="23"/>
      <c r="H22" s="23"/>
      <c r="I22" s="23"/>
      <c r="J22" s="23">
        <f>J18*J20</f>
        <v>46.667418928516504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1056.9373209497901</v>
      </c>
      <c r="C30" s="39">
        <f>IF(ISERROR(B30*3.6/1000000/'E Balans VL '!Z18*100),0,B30*3.6/1000000/'E Balans VL '!Z18*100)</f>
        <v>5.9899348142773395E-2</v>
      </c>
      <c r="D30" s="237" t="s">
        <v>754</v>
      </c>
    </row>
    <row r="31" spans="1:18">
      <c r="A31" s="6" t="s">
        <v>33</v>
      </c>
      <c r="B31" s="37">
        <f>IF( ISERROR(IND_ander_ele_kWh/1000),0,IND_ander_ele_kWh/1000)</f>
        <v>2886.4467779884799</v>
      </c>
      <c r="C31" s="39">
        <f>IF(ISERROR(B31*3.6/1000000/'E Balans VL '!Z19*100),0,B31*3.6/1000000/'E Balans VL '!Z19*100)</f>
        <v>0.13091720689436015</v>
      </c>
      <c r="D31" s="237" t="s">
        <v>754</v>
      </c>
    </row>
    <row r="32" spans="1:18">
      <c r="A32" s="171" t="s">
        <v>41</v>
      </c>
      <c r="B32" s="37">
        <f>IF( ISERROR(IND_voed_ele_kWh/1000),0,IND_voed_ele_kWh/1000)</f>
        <v>1837.52972495278</v>
      </c>
      <c r="C32" s="39">
        <f>IF(ISERROR(B32*3.6/1000000/'E Balans VL '!Z20*100),0,B32*3.6/1000000/'E Balans VL '!Z20*100)</f>
        <v>5.6843136073406846E-2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90.526327533341998</v>
      </c>
      <c r="C35" s="39">
        <f>IF(ISERROR(B35*3.6/1000000/'E Balans VL '!Z22*100),0,B35*3.6/1000000/'E Balans VL '!Z22*100)</f>
        <v>1.6282861934357434E-2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36819.990625273102</v>
      </c>
      <c r="C37" s="39">
        <f>IF(ISERROR(B37*3.6/1000000/'E Balans VL '!Z15*100),0,B37*3.6/1000000/'E Balans VL '!Z15*100)</f>
        <v>0.29184364495434539</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9851.257393490725</v>
      </c>
      <c r="C5" s="17">
        <f>'Eigen informatie GS &amp; warmtenet'!B60</f>
        <v>0</v>
      </c>
      <c r="D5" s="30">
        <f>IF(ISERROR(SUM(LB_lb_gas_kWh,LB_rest_gas_kWh,onbekend_gas_kWh)/1000),0,SUM(LB_lb_gas_kWh,LB_rest_gas_kWh,onbekend_gas_kWh)/1000)*0.902</f>
        <v>4090.9708669086326</v>
      </c>
      <c r="E5" s="17">
        <f>B17*'E Balans VL '!I25/3.6*1000000/100</f>
        <v>289.55854400771409</v>
      </c>
      <c r="F5" s="17">
        <f>B17*('E Balans VL '!L25/3.6*1000000+'E Balans VL '!N25/3.6*1000000)/100</f>
        <v>41039.80596727378</v>
      </c>
      <c r="G5" s="18"/>
      <c r="H5" s="17"/>
      <c r="I5" s="17"/>
      <c r="J5" s="17">
        <f>('E Balans VL '!D25+'E Balans VL '!E25)/3.6*1000000*landbouw!B17/100</f>
        <v>1427.235638142598</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9851.257393490725</v>
      </c>
      <c r="C8" s="21">
        <f>C5+C6</f>
        <v>0</v>
      </c>
      <c r="D8" s="21">
        <f>MAX((D5+D6),0)</f>
        <v>4090.9708669086326</v>
      </c>
      <c r="E8" s="21">
        <f>MAX((E5+E6),0)</f>
        <v>289.55854400771409</v>
      </c>
      <c r="F8" s="21">
        <f>MAX((F5+F6),0)</f>
        <v>41039.80596727378</v>
      </c>
      <c r="G8" s="21"/>
      <c r="H8" s="21"/>
      <c r="I8" s="21"/>
      <c r="J8" s="21">
        <f>MAX((J5+J6),0)</f>
        <v>1427.235638142598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0.1682028634930007</v>
      </c>
      <c r="C10" s="31">
        <f ca="1">'EF ele_warmte'!B22</f>
        <v>5.0523390458545626E-2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1657.0097025917344</v>
      </c>
      <c r="C12" s="23">
        <f ca="1">C8*C10</f>
        <v>0</v>
      </c>
      <c r="D12" s="23">
        <f>D8*D10</f>
        <v>826.37611511554383</v>
      </c>
      <c r="E12" s="23">
        <f>E8*E10</f>
        <v>65.729789489751099</v>
      </c>
      <c r="F12" s="23">
        <f>F8*F10</f>
        <v>10957.6281932621</v>
      </c>
      <c r="G12" s="23"/>
      <c r="H12" s="23"/>
      <c r="I12" s="23"/>
      <c r="J12" s="23">
        <f>J8*J10</f>
        <v>505.24141590247967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1.3979243315138268</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1275.2882551807395</v>
      </c>
      <c r="C26" s="247">
        <f>B26*'GWP N2O_CH4'!B5</f>
        <v>26781.053358795529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865.49731816453289</v>
      </c>
      <c r="C27" s="247">
        <f>B27*'GWP N2O_CH4'!B5</f>
        <v>18175.443681455192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17.626973873369852</v>
      </c>
      <c r="C28" s="247">
        <f>B28*'GWP N2O_CH4'!B4</f>
        <v>5464.3619007446541</v>
      </c>
      <c r="D28" s="50"/>
    </row>
    <row r="29" spans="1:4">
      <c r="A29" s="41" t="s">
        <v>277</v>
      </c>
      <c r="B29" s="247">
        <f>B34*'ha_N2O bodem landbouw'!B4</f>
        <v>62.253269501556595</v>
      </c>
      <c r="C29" s="247">
        <f>B29*'GWP N2O_CH4'!B4</f>
        <v>19298.513545482543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1.4205981565944508E-2</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1.0961122305389216E-4</v>
      </c>
      <c r="C5" s="463" t="s">
        <v>211</v>
      </c>
      <c r="D5" s="448">
        <f>SUM(D6:D11)</f>
        <v>4.0139972219595108E-4</v>
      </c>
      <c r="E5" s="448">
        <f>SUM(E6:E11)</f>
        <v>5.3161561719204599E-4</v>
      </c>
      <c r="F5" s="461" t="s">
        <v>211</v>
      </c>
      <c r="G5" s="448">
        <f>SUM(G6:G11)</f>
        <v>0.22876336295548225</v>
      </c>
      <c r="H5" s="448">
        <f>SUM(H6:H11)</f>
        <v>4.5142680524208882E-2</v>
      </c>
      <c r="I5" s="463" t="s">
        <v>211</v>
      </c>
      <c r="J5" s="463" t="s">
        <v>211</v>
      </c>
      <c r="K5" s="463" t="s">
        <v>211</v>
      </c>
      <c r="L5" s="463" t="s">
        <v>211</v>
      </c>
      <c r="M5" s="448">
        <f>SUM(M6:M11)</f>
        <v>1.4705495130553409E-2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7.8487908603618527E-5</v>
      </c>
      <c r="C6" s="449"/>
      <c r="D6" s="962">
        <f>vkm_2011_GW_PW*SUMIFS(TableVerdeelsleutelVkm[CNG],TableVerdeelsleutelVkm[Voertuigtype],"Lichte voertuigen")*SUMIFS(TableECFTransport[EnergieConsumptieFactor (PJ per km)],TableECFTransport[Index],CONCATENATE($A6,"_CNG_CNG"))</f>
        <v>2.3541867784892417E-4</v>
      </c>
      <c r="E6" s="962">
        <f>vkm_2011_GW_PW*SUMIFS(TableVerdeelsleutelVkm[LPG],TableVerdeelsleutelVkm[Voertuigtype],"Lichte voertuigen")*SUMIFS(TableECFTransport[EnergieConsumptieFactor (PJ per km)],TableECFTransport[Index],CONCATENATE($A6,"_LPG_LPG"))</f>
        <v>3.2161573016816354E-4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8.3155084727268902E-2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2.6771482431543175E-2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5.6528703041602187E-3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8.1118899131891284E-2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2.4719067833729839E-5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4.7403191099137957E-3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3.112331445027364E-5</v>
      </c>
      <c r="C8" s="449"/>
      <c r="D8" s="451">
        <f>vkm_2011_NGW_PW*SUMIFS(TableVerdeelsleutelVkm[CNG],TableVerdeelsleutelVkm[Voertuigtype],"Lichte voertuigen")*SUMIFS(TableECFTransport[EnergieConsumptieFactor (PJ per km)],TableECFTransport[Index],CONCATENATE($A8,"_CNG_CNG"))</f>
        <v>1.6598104434702691E-4</v>
      </c>
      <c r="E8" s="451">
        <f>vkm_2011_NGW_PW*SUMIFS(TableVerdeelsleutelVkm[LPG],TableVerdeelsleutelVkm[Voertuigtype],"Lichte voertuigen")*SUMIFS(TableECFTransport[EnergieConsumptieFactor (PJ per km)],TableECFTransport[Index],CONCATENATE($A8,"_LPG_LPG"))</f>
        <v>2.0999988702388245E-4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5.059844781112597E-2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1.8342494084197518E-2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3.5005731750029113E-3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1.3890931285196095E-2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3.9849406344574888E-6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8.1173254147648313E-4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30.44756195941449</v>
      </c>
      <c r="C14" s="21"/>
      <c r="D14" s="21">
        <f t="shared" ref="D14:M14" si="0">((D5)*10^9/3600)+D12</f>
        <v>111.49992283220864</v>
      </c>
      <c r="E14" s="21">
        <f t="shared" si="0"/>
        <v>147.67100477556835</v>
      </c>
      <c r="F14" s="21"/>
      <c r="G14" s="21">
        <f t="shared" si="0"/>
        <v>63545.378598745068</v>
      </c>
      <c r="H14" s="21">
        <f t="shared" si="0"/>
        <v>12539.633478946911</v>
      </c>
      <c r="I14" s="21"/>
      <c r="J14" s="21"/>
      <c r="K14" s="21"/>
      <c r="L14" s="21"/>
      <c r="M14" s="21">
        <f t="shared" si="0"/>
        <v>4084.8597584870581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0.1682028634930007</v>
      </c>
      <c r="C16" s="56">
        <f ca="1">'EF ele_warmte'!B22</f>
        <v>5.0523390458545626E-2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5.1213671079540761</v>
      </c>
      <c r="C18" s="23"/>
      <c r="D18" s="23">
        <f t="shared" ref="D18:M18" si="1">D14*D16</f>
        <v>22.522984412106148</v>
      </c>
      <c r="E18" s="23">
        <f t="shared" si="1"/>
        <v>33.521318084054016</v>
      </c>
      <c r="F18" s="23"/>
      <c r="G18" s="23">
        <f t="shared" si="1"/>
        <v>16966.616085864935</v>
      </c>
      <c r="H18" s="23">
        <f t="shared" si="1"/>
        <v>3122.3687362577807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2.328709673160562E-3</v>
      </c>
      <c r="H50" s="321">
        <f t="shared" si="2"/>
        <v>0</v>
      </c>
      <c r="I50" s="321">
        <f t="shared" si="2"/>
        <v>0</v>
      </c>
      <c r="J50" s="321">
        <f t="shared" si="2"/>
        <v>0</v>
      </c>
      <c r="K50" s="321">
        <f t="shared" si="2"/>
        <v>0</v>
      </c>
      <c r="L50" s="321">
        <f t="shared" si="2"/>
        <v>0</v>
      </c>
      <c r="M50" s="321">
        <f t="shared" si="2"/>
        <v>1.3226042916879025E-4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2.328709673160562E-3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1.3226042916879025E-4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646.86379810015603</v>
      </c>
      <c r="H54" s="21">
        <f t="shared" si="3"/>
        <v>0</v>
      </c>
      <c r="I54" s="21">
        <f t="shared" si="3"/>
        <v>0</v>
      </c>
      <c r="J54" s="21">
        <f t="shared" si="3"/>
        <v>0</v>
      </c>
      <c r="K54" s="21">
        <f t="shared" si="3"/>
        <v>0</v>
      </c>
      <c r="L54" s="21">
        <f t="shared" si="3"/>
        <v>0</v>
      </c>
      <c r="M54" s="21">
        <f t="shared" si="3"/>
        <v>36.739008102441737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0.1682028634930007</v>
      </c>
      <c r="C56" s="56">
        <f ca="1">'EF ele_warmte'!B22</f>
        <v>5.0523390458545626E-2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172.71263409274167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14123.299081857582</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10390.45285764344</v>
      </c>
      <c r="C6" s="1263"/>
      <c r="D6" s="1248"/>
      <c r="E6" s="1248"/>
      <c r="F6" s="1266"/>
      <c r="G6" s="1269"/>
      <c r="H6" s="1260"/>
      <c r="I6" s="1248"/>
      <c r="J6" s="1248"/>
      <c r="K6" s="1248"/>
      <c r="L6" s="1252"/>
      <c r="M6" s="575"/>
      <c r="N6" s="1226"/>
      <c r="O6" s="1227"/>
      <c r="Q6" s="573"/>
      <c r="R6" s="1214"/>
      <c r="S6" s="1214"/>
    </row>
    <row r="7" spans="1:19" s="563" customFormat="1">
      <c r="A7" s="576" t="s">
        <v>252</v>
      </c>
      <c r="B7" s="577">
        <f>N57</f>
        <v>1428.75</v>
      </c>
      <c r="C7" s="578">
        <f>B100</f>
        <v>357.35294117647061</v>
      </c>
      <c r="D7" s="579"/>
      <c r="E7" s="579">
        <f>E100</f>
        <v>0</v>
      </c>
      <c r="F7" s="580"/>
      <c r="G7" s="581"/>
      <c r="H7" s="579">
        <f>I100</f>
        <v>0</v>
      </c>
      <c r="I7" s="579">
        <f>G100+F100</f>
        <v>0</v>
      </c>
      <c r="J7" s="579">
        <f>H100+D100+C100</f>
        <v>1323.5294117647061</v>
      </c>
      <c r="K7" s="579"/>
      <c r="L7" s="582"/>
      <c r="M7" s="583">
        <f>C7*$C$11+D7*$D$11+E7*$E$11+F7*$F$11+G7*$G$11+H7*$H$11+I7*$I$11+J7*$J$11</f>
        <v>72.185294117647061</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25942.501939501024</v>
      </c>
      <c r="C9" s="594">
        <f t="shared" ref="C9:L9" si="0">SUM(C7:C8)</f>
        <v>357.35294117647061</v>
      </c>
      <c r="D9" s="594">
        <f t="shared" si="0"/>
        <v>0</v>
      </c>
      <c r="E9" s="594">
        <f t="shared" si="0"/>
        <v>0</v>
      </c>
      <c r="F9" s="594">
        <f t="shared" si="0"/>
        <v>0</v>
      </c>
      <c r="G9" s="594">
        <f t="shared" si="0"/>
        <v>0</v>
      </c>
      <c r="H9" s="594">
        <f t="shared" si="0"/>
        <v>0</v>
      </c>
      <c r="I9" s="594">
        <f t="shared" si="0"/>
        <v>0</v>
      </c>
      <c r="J9" s="594">
        <f t="shared" si="0"/>
        <v>1323.5294117647061</v>
      </c>
      <c r="K9" s="594">
        <f t="shared" si="0"/>
        <v>0</v>
      </c>
      <c r="L9" s="594">
        <f t="shared" si="0"/>
        <v>0</v>
      </c>
      <c r="M9" s="595">
        <f>SUM(M4:M8)</f>
        <v>72.185294117647061</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2041.0714285714284</v>
      </c>
      <c r="C16" s="610">
        <f>B101</f>
        <v>510.50420168067228</v>
      </c>
      <c r="D16" s="611"/>
      <c r="E16" s="611">
        <f>E101</f>
        <v>0</v>
      </c>
      <c r="F16" s="612"/>
      <c r="G16" s="613"/>
      <c r="H16" s="610">
        <f>I101</f>
        <v>0</v>
      </c>
      <c r="I16" s="611">
        <f>G101+F101</f>
        <v>0</v>
      </c>
      <c r="J16" s="611">
        <f>H101+D101+C101</f>
        <v>1890.7563025210086</v>
      </c>
      <c r="K16" s="611"/>
      <c r="L16" s="614"/>
      <c r="M16" s="615">
        <f>C16*$C$21+E16*$E$21+H16*$H$21+I16*$I$21+J16*$J$21+D16*$D$21+F16*$F$21+G16*$G$21+K16*$K$21+L16*$L$21</f>
        <v>103.1218487394958</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2041.0714285714284</v>
      </c>
      <c r="C19" s="593">
        <f>SUM(C16:C18)</f>
        <v>510.50420168067228</v>
      </c>
      <c r="D19" s="593">
        <f t="shared" ref="D19:M19" si="1">SUM(D16:D18)</f>
        <v>0</v>
      </c>
      <c r="E19" s="593">
        <f t="shared" si="1"/>
        <v>0</v>
      </c>
      <c r="F19" s="593">
        <f t="shared" si="1"/>
        <v>0</v>
      </c>
      <c r="G19" s="593">
        <f t="shared" si="1"/>
        <v>0</v>
      </c>
      <c r="H19" s="593">
        <f t="shared" si="1"/>
        <v>0</v>
      </c>
      <c r="I19" s="593">
        <f t="shared" si="1"/>
        <v>0</v>
      </c>
      <c r="J19" s="593">
        <f t="shared" si="1"/>
        <v>1890.7563025210086</v>
      </c>
      <c r="K19" s="593">
        <f t="shared" si="1"/>
        <v>0</v>
      </c>
      <c r="L19" s="593">
        <f t="shared" si="1"/>
        <v>0</v>
      </c>
      <c r="M19" s="620">
        <f t="shared" si="1"/>
        <v>103.1218487394958</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33021</v>
      </c>
      <c r="C27" s="851">
        <v>8972</v>
      </c>
      <c r="D27" s="672" t="s">
        <v>844</v>
      </c>
      <c r="E27" s="671" t="s">
        <v>845</v>
      </c>
      <c r="F27" s="671" t="s">
        <v>846</v>
      </c>
      <c r="G27" s="671" t="s">
        <v>847</v>
      </c>
      <c r="H27" s="671" t="s">
        <v>848</v>
      </c>
      <c r="I27" s="671" t="s">
        <v>845</v>
      </c>
      <c r="J27" s="850">
        <v>40996</v>
      </c>
      <c r="K27" s="850">
        <v>40996</v>
      </c>
      <c r="L27" s="671" t="s">
        <v>849</v>
      </c>
      <c r="M27" s="671">
        <v>250</v>
      </c>
      <c r="N27" s="671">
        <v>1125</v>
      </c>
      <c r="O27" s="671">
        <v>1607.1428571428571</v>
      </c>
      <c r="P27" s="671">
        <v>0</v>
      </c>
      <c r="Q27" s="671">
        <v>3214.2857142857147</v>
      </c>
      <c r="R27" s="671">
        <v>0</v>
      </c>
      <c r="S27" s="671">
        <v>0</v>
      </c>
      <c r="T27" s="671">
        <v>0</v>
      </c>
      <c r="U27" s="671">
        <v>0</v>
      </c>
      <c r="V27" s="671">
        <v>0</v>
      </c>
      <c r="W27" s="671">
        <v>0</v>
      </c>
      <c r="X27" s="671">
        <v>500</v>
      </c>
      <c r="Y27" s="671" t="s">
        <v>41</v>
      </c>
      <c r="Z27" s="673" t="s">
        <v>389</v>
      </c>
    </row>
    <row r="28" spans="1:26" s="625" customFormat="1" ht="63.75">
      <c r="A28" s="624"/>
      <c r="B28" s="851">
        <v>33021</v>
      </c>
      <c r="C28" s="851">
        <v>8970</v>
      </c>
      <c r="D28" s="672" t="s">
        <v>850</v>
      </c>
      <c r="E28" s="671"/>
      <c r="F28" s="671" t="s">
        <v>851</v>
      </c>
      <c r="G28" s="671" t="s">
        <v>852</v>
      </c>
      <c r="H28" s="671" t="s">
        <v>848</v>
      </c>
      <c r="I28" s="671" t="s">
        <v>853</v>
      </c>
      <c r="J28" s="850">
        <v>42571</v>
      </c>
      <c r="K28" s="850">
        <v>42640</v>
      </c>
      <c r="L28" s="671" t="s">
        <v>854</v>
      </c>
      <c r="M28" s="671">
        <v>270</v>
      </c>
      <c r="N28" s="671">
        <v>303.75</v>
      </c>
      <c r="O28" s="671">
        <v>433.92857142857144</v>
      </c>
      <c r="P28" s="671">
        <v>867.85714285714289</v>
      </c>
      <c r="Q28" s="671">
        <v>0</v>
      </c>
      <c r="R28" s="671">
        <v>0</v>
      </c>
      <c r="S28" s="671">
        <v>0</v>
      </c>
      <c r="T28" s="671">
        <v>0</v>
      </c>
      <c r="U28" s="671">
        <v>0</v>
      </c>
      <c r="V28" s="671">
        <v>0</v>
      </c>
      <c r="W28" s="671">
        <v>0</v>
      </c>
      <c r="X28" s="671">
        <v>1600</v>
      </c>
      <c r="Y28" s="671" t="s">
        <v>50</v>
      </c>
      <c r="Z28" s="673" t="s">
        <v>156</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520</v>
      </c>
      <c r="N57" s="629">
        <f>SUM(N27:N56)</f>
        <v>1428.75</v>
      </c>
      <c r="O57" s="629">
        <f t="shared" ref="O57:W57" si="2">SUM(O27:O56)</f>
        <v>2041.0714285714284</v>
      </c>
      <c r="P57" s="629">
        <f t="shared" si="2"/>
        <v>867.85714285714289</v>
      </c>
      <c r="Q57" s="629">
        <f t="shared" si="2"/>
        <v>3214.2857142857147</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250</v>
      </c>
      <c r="N58" s="629">
        <f t="shared" ref="N58:W58" si="3">SUMIF($Z$27:$Z$56,"industrie",N27:N56)</f>
        <v>1125</v>
      </c>
      <c r="O58" s="629">
        <f t="shared" si="3"/>
        <v>1607.1428571428571</v>
      </c>
      <c r="P58" s="629">
        <f t="shared" si="3"/>
        <v>0</v>
      </c>
      <c r="Q58" s="629">
        <f t="shared" si="3"/>
        <v>3214.2857142857147</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270</v>
      </c>
      <c r="N59" s="629">
        <f ca="1">SUMIF($Z$27:AB56,"tertiair",N27:N56)</f>
        <v>303.75</v>
      </c>
      <c r="O59" s="629">
        <f ca="1">SUMIF($Z$27:AC56,"tertiair",O27:O56)</f>
        <v>433.92857142857144</v>
      </c>
      <c r="P59" s="629">
        <f ca="1">SUMIF($Z$27:AD56,"tertiair",P27:P56)</f>
        <v>867.85714285714289</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357.35294117647061</v>
      </c>
      <c r="C100" s="663">
        <f t="shared" si="9"/>
        <v>1323.5294117647061</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510.50420168067228</v>
      </c>
      <c r="C101" s="666">
        <f t="shared" ref="C101:H101" si="10">$B$97*Q57</f>
        <v>1890.7563025210086</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2019-01-01T21:19:23Z</dcterms:modified>
</cp:coreProperties>
</file>