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D6"/>
  <c r="J15" i="16"/>
  <c r="O4" i="48"/>
  <c r="E16"/>
  <c r="I16"/>
  <c r="I24" s="1"/>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0" s="1"/>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I21" i="48" l="1"/>
  <c r="I31" s="1"/>
  <c r="K28"/>
  <c r="I28"/>
  <c r="H25"/>
  <c r="I22"/>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I7" i="18" l="1"/>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E53" s="1"/>
  <c r="J67"/>
  <c r="C67" s="1"/>
  <c r="C69" s="1"/>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0" i="16" l="1"/>
  <c r="C22" s="1"/>
  <c r="D39" i="14" s="1"/>
  <c r="C18" i="15"/>
  <c r="C20" s="1"/>
  <c r="D36" i="14" s="1"/>
  <c r="C10" i="13"/>
  <c r="C17" i="49"/>
  <c r="C29" i="20"/>
  <c r="C17" i="19"/>
  <c r="C19" s="1"/>
  <c r="D35" i="14" s="1"/>
  <c r="C16" i="22"/>
  <c r="C10" i="17"/>
  <c r="C12" s="1"/>
  <c r="D48" i="14" s="1"/>
  <c r="C56" i="22"/>
  <c r="C58" s="1"/>
  <c r="D44" i="14" s="1"/>
  <c r="D46" s="1"/>
  <c r="Q5" i="48"/>
  <c r="C16"/>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F25" i="48"/>
  <c r="F31" s="1"/>
  <c r="F14"/>
  <c r="N25" l="1"/>
  <c r="N31" s="1"/>
  <c r="D41" i="14"/>
  <c r="D53" s="1"/>
  <c r="D55" s="1"/>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<sst xmlns="http://schemas.openxmlformats.org/spreadsheetml/2006/main" count="2151" uniqueCount="869">
  <si>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</si>
  <si>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</si>
  <si>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</si>
  <si>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</si>
  <si>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</si>
  <si>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</si>
  <si>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</si>
  <si>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</si>
  <si>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</si>
  <si>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</si>
  <si>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</si>
  <si>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</si>
  <si>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</si>
  <si>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</si>
  <si>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</si>
  <si>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</si>
  <si>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</si>
  <si>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</si>
  <si>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</si>
  <si>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</si>
  <si>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</si>
  <si>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</si>
  <si>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</si>
  <si>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</si>
  <si>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</si>
  <si>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</si>
  <si>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</si>
  <si>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</si>
  <si>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</si>
  <si>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</si>
  <si>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</si>
  <si>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</si>
  <si>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</si>
  <si>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</si>
  <si>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</si>
  <si>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</si>
  <si>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</si>
  <si>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</si>
  <si>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</si>
  <si>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</si>
  <si>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</si>
  <si>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</si>
  <si>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</si>
  <si>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</si>
  <si>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</si>
  <si>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</si>
  <si>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</si>
  <si>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</si>
  <si>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</si>
  <si>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</si>
  <si>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</si>
  <si>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</si>
  <si>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</si>
  <si>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</si>
  <si>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</si>
  <si>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</si>
  <si>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</si>
  <si>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</si>
  <si>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</si>
  <si>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</si>
  <si>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</si>
  <si>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</si>
  <si>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</si>
  <si>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</si>
  <si>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</si>
  <si>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</si>
  <si>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</si>
  <si>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</si>
  <si>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</si>
  <si>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</si>
  <si>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</si>
  <si>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</si>
  <si>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</si>
  <si>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</si>
  <si>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</si>
  <si>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</si>
  <si>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</si>
  <si>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</si>
  <si>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</si>
  <si>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</si>
  <si>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</si>
  <si>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</si>
  <si>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</si>
  <si>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</si>
  <si>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</si>
  <si>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</si>
  <si>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</si>
  <si>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</si>
  <si>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</si>
  <si>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</si>
  <si>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</si>
  <si>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</si>
  <si>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</si>
  <si>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</si>
  <si>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</si>
  <si>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</si>
  <si>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</si>
  <si>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</si>
  <si>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</si>
  <si>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</si>
  <si>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</si>
  <si>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</si>
  <si>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</si>
  <si>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</si>
  <si>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</si>
  <si>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</si>
  <si>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</si>
  <si>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</si>
  <si>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</si>
  <si>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</si>
  <si>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</si>
  <si>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</si>
  <si>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</si>
  <si>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</si>
  <si>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</si>
  <si>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</si>
  <si>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</si>
  <si>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</si>
  <si>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</si>
  <si>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</si>
  <si>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</si>
  <si>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</si>
  <si>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</si>
  <si>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</si>
  <si>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</si>
  <si>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</si>
  <si>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</si>
  <si>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</si>
  <si>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</si>
  <si>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</si>
  <si>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</si>
  <si>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</si>
  <si>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</si>
  <si>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</si>
  <si>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</si>
  <si>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</si>
  <si>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</si>
  <si>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</si>
  <si>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</si>
  <si>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</si>
  <si>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</si>
  <si>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</si>
  <si>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</si>
  <si>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</si>
  <si>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</si>
  <si>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</si>
  <si>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</si>
  <si>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</si>
  <si>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</si>
  <si>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</si>
  <si>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</si>
  <si>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</si>
  <si>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</si>
  <si>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</si>
  <si>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</si>
  <si>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</si>
  <si>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</si>
  <si>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</si>
  <si>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</si>
  <si>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</si>
  <si>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</si>
  <si>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</si>
  <si>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</si>
  <si>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</si>
  <si>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</si>
  <si>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</si>
  <si>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</si>
  <si>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</si>
  <si>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</si>
  <si>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</si>
  <si>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</si>
  <si>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</si>
  <si>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</si>
  <si>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</si>
  <si>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</si>
  <si>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</si>
  <si>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</si>
  <si>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</si>
  <si>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</si>
  <si>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</si>
  <si>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</si>
  <si>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</si>
  <si>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</si>
  <si>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</si>
  <si>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</si>
  <si>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</si>
  <si>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</si>
  <si>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</si>
  <si>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</si>
  <si>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</si>
  <si>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</si>
  <si>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</si>
  <si>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</si>
  <si>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</si>
  <si>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</si>
  <si>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</si>
  <si>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</si>
  <si>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</si>
  <si>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</si>
  <si>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</si>
  <si>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</si>
  <si>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</si>
  <si>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</si>
  <si>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</si>
  <si>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</si>
  <si>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</si>
  <si>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</si>
  <si>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</si>
  <si>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</si>
  <si>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</si>
  <si>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</si>
  <si>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</si>
  <si>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</si>
  <si>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</si>
  <si>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</si>
  <si>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</si>
  <si>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</si>
  <si>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</si>
  <si>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</si>
  <si>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</si>
  <si>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</si>
  <si>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</si>
  <si>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</si>
  <si>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</si>
  <si>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</si>
  <si>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</si>
  <si>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</si>
  <si>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</si>
  <si>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</si>
  <si>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</si>
  <si>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</si>
  <si>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</si>
  <si>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</si>
  <si>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</si>
  <si>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</si>
  <si>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</si>
  <si>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</si>
  <si>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</si>
  <si>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</si>
  <si>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</si>
  <si>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</si>
  <si>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</si>
  <si>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</si>
  <si>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</si>
  <si>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</si>
  <si>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</si>
  <si>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</si>
  <si>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</si>
  <si>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</si>
  <si>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</si>
  <si>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</si>
  <si>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</si>
  <si>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</si>
  <si>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</si>
  <si>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</si>
  <si>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</si>
  <si>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</si>
  <si>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</si>
  <si>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</si>
  <si>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</si>
  <si>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</si>
  <si>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</si>
  <si>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</si>
  <si>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</si>
  <si>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</si>
  <si>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</si>
  <si>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</si>
  <si>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</si>
  <si>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</si>
  <si>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</si>
  <si>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</si>
  <si>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</si>
  <si>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</si>
  <si>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</si>
  <si>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</si>
  <si>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</si>
  <si>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</si>
  <si>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</si>
  <si>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</si>
  <si>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</si>
  <si>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</si>
  <si>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</si>
  <si>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</si>
  <si>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</si>
  <si>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</si>
  <si>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</si>
  <si>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</si>
  <si>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</si>
  <si>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</si>
  <si>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</si>
  <si>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</si>
  <si>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</si>
  <si>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</si>
  <si>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</si>
  <si>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</si>
  <si>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</si>
  <si>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</si>
  <si>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</si>
  <si>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</si>
  <si>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</si>
  <si>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</si>
  <si>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</si>
  <si>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</si>
  <si>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</si>
  <si>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</si>
  <si>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</si>
  <si>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</si>
  <si>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</si>
  <si>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</si>
  <si>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</si>
  <si>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</si>
  <si>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</si>
  <si>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</si>
  <si>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</si>
  <si>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</si>
  <si>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</si>
  <si>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</si>
  <si>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</si>
  <si>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</si>
  <si>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</si>
  <si>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</si>
  <si>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</si>
  <si>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</si>
  <si>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</si>
  <si>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</si>
  <si>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</si>
  <si>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</si>
  <si>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</si>
  <si>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</si>
  <si>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</si>
  <si>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</si>
  <si>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</si>
  <si>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</si>
  <si>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</si>
  <si>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</si>
  <si>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</si>
  <si>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</si>
  <si>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</si>
  <si>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</si>
  <si>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</si>
  <si>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</si>
  <si>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</si>
  <si>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</si>
  <si>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</si>
  <si>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</si>
  <si>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</si>
  <si>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</si>
  <si>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</si>
  <si>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</si>
  <si>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</si>
  <si>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</si>
  <si>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</si>
  <si>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</si>
  <si>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</si>
  <si>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</si>
  <si>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</si>
  <si>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</si>
  <si>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</si>
  <si>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</si>
  <si>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</si>
  <si>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</si>
  <si>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</si>
  <si>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</si>
  <si>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</si>
  <si>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</si>
  <si>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</si>
  <si>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</si>
  <si>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</si>
  <si>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</si>
  <si>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</si>
  <si>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</si>
  <si>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</si>
  <si>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</si>
  <si>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</si>
  <si>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</si>
  <si>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</si>
  <si>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</si>
  <si>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</si>
  <si>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</si>
  <si>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</si>
  <si>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</si>
  <si>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</si>
  <si>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</si>
  <si>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</si>
  <si>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</si>
  <si>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</si>
  <si>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</si>
  <si>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</si>
  <si>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</si>
  <si>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</si>
  <si>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</si>
  <si>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</si>
  <si>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</si>
  <si>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</si>
  <si>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</si>
  <si>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</si>
  <si>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</si>
  <si>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</si>
  <si>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</si>
  <si>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</si>
  <si>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</si>
  <si>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</si>
  <si>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</si>
  <si>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</si>
  <si>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</si>
  <si>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</si>
  <si>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</si>
  <si>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</si>
  <si>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</si>
  <si>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</si>
  <si>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</si>
  <si>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</si>
  <si>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</si>
  <si>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</si>
  <si>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</si>
  <si>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</si>
  <si>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</si>
  <si>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</si>
  <si>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</si>
  <si>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</si>
  <si>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</si>
  <si>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</si>
  <si>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</si>
  <si>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</si>
  <si>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</si>
  <si>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</si>
  <si>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</si>
  <si>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</si>
  <si>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</si>
  <si>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</si>
  <si>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</si>
  <si>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</si>
  <si>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</si>
  <si>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</si>
  <si>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</si>
  <si>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</si>
  <si>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</si>
  <si>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</si>
  <si>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</si>
  <si>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</si>
  <si>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</si>
  <si>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</si>
  <si>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</si>
  <si>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</si>
  <si>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</si>
  <si>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</si>
  <si>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</si>
  <si>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</si>
  <si>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</si>
  <si>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</si>
  <si>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</si>
  <si>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</si>
  <si>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</si>
  <si>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</si>
  <si>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</si>
  <si>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</si>
  <si>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</si>
  <si>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</si>
  <si>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</si>
  <si>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</si>
  <si>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</si>
  <si>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</si>
  <si>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</si>
  <si>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</si>
  <si>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</si>
  <si>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</si>
  <si>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</si>
  <si>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</si>
  <si>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</si>
  <si>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</si>
  <si>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</si>
  <si>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</si>
  <si>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</si>
  <si>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</si>
  <si>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</si>
  <si>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</si>
  <si>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</si>
  <si>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</si>
  <si>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</si>
  <si>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</si>
  <si>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</si>
  <si>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</si>
  <si>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</si>
  <si>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</si>
  <si>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</si>
  <si>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</si>
  <si>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</si>
  <si>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</si>
  <si>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</si>
  <si>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</si>
  <si>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</si>
  <si>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</si>
  <si>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</si>
  <si>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</si>
  <si>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</si>
  <si>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</si>
  <si>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</si>
  <si>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</si>
  <si>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</si>
  <si>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</si>
  <si>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</si>
  <si>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</si>
  <si>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</si>
  <si>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</si>
  <si>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</si>
  <si>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</si>
  <si>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</si>
  <si>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</si>
  <si>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</si>
  <si>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</si>
  <si>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</si>
  <si>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</si>
  <si>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</si>
  <si>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</si>
  <si>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</si>
  <si>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</si>
  <si>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</si>
  <si>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</si>
  <si>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</si>
  <si>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</si>
  <si>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</si>
  <si>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</si>
  <si>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</si>
  <si>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</si>
  <si>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</si>
  <si>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</si>
  <si>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</si>
  <si>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</si>
  <si>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</si>
  <si>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</si>
  <si>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</si>
  <si>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</si>
  <si>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</si>
  <si>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</si>
  <si>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</si>
  <si>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</si>
  <si>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</si>
  <si>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</si>
  <si>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</si>
  <si>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</si>
  <si>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</si>
  <si>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</si>
  <si>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</si>
  <si>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</si>
  <si>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</si>
  <si>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</si>
  <si>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</si>
  <si>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</si>
  <si>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</si>
  <si>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</si>
  <si>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</si>
  <si>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</si>
  <si>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</si>
  <si>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</si>
  <si>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</si>
  <si>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</si>
  <si>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</si>
  <si>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</si>
  <si>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</si>
  <si>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</si>
  <si>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</si>
  <si>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</si>
  <si>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</si>
  <si>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</si>
  <si>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</si>
  <si>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</si>
  <si>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</si>
  <si>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</si>
  <si>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</si>
  <si>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</si>
  <si>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</si>
  <si>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</si>
  <si>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</si>
  <si>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</si>
  <si>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</si>
  <si>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</si>
  <si>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</si>
  <si>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</si>
  <si>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</si>
  <si>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</si>
  <si>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</si>
  <si>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</si>
  <si>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</si>
  <si>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</si>
  <si>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</si>
  <si>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</si>
  <si>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</si>
  <si>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</si>
  <si>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</si>
  <si>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</si>
  <si>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</si>
  <si>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</si>
  <si>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</si>
  <si>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</si>
  <si>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</si>
  <si>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</si>
  <si>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</si>
  <si>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</si>
  <si>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</si>
  <si>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</si>
  <si>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</si>
  <si>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</si>
  <si>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</si>
  <si>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</si>
  <si>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</si>
  <si>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</si>
  <si>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</si>
  <si>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</si>
  <si>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</si>
  <si>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</si>
  <si>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</si>
  <si>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</si>
  <si>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</si>
  <si>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</si>
  <si>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</si>
  <si>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</si>
  <si>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</si>
  <si>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</si>
  <si>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</si>
  <si>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</si>
  <si>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</si>
  <si>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</si>
  <si>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</si>
  <si>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</si>
  <si>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</si>
  <si>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</si>
  <si>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</si>
  <si>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</si>
  <si>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</si>
  <si>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</si>
  <si>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</si>
  <si>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</si>
  <si>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</si>
  <si>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</si>
  <si>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</si>
  <si>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</si>
  <si>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</si>
  <si>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</si>
  <si>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</si>
  <si>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</si>
  <si>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</si>
  <si>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</si>
  <si>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</si>
  <si>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</si>
  <si>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</si>
  <si>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</si>
  <si>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</si>
  <si>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</si>
  <si>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</si>
  <si>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</si>
  <si>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</si>
  <si>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</si>
  <si>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</si>
  <si>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</si>
  <si>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</si>
  <si>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</si>
  <si>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</si>
  <si>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</si>
  <si>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</si>
  <si>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</si>
  <si>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</si>
  <si>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</si>
  <si>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</si>
  <si>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</si>
  <si>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</si>
  <si>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</si>
  <si>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</si>
  <si>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</si>
  <si>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</si>
  <si>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</si>
  <si>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</si>
  <si>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</si>
  <si>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</si>
  <si>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</si>
  <si>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</si>
  <si>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</si>
  <si>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</si>
  <si>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</si>
  <si>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</si>
  <si>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</si>
  <si>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</si>
  <si>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</si>
  <si>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</si>
  <si>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</si>
  <si>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</si>
  <si>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</si>
  <si>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</si>
  <si>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</si>
  <si>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</si>
  <si>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</si>
  <si>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</si>
  <si>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</si>
  <si>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</si>
  <si>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</si>
  <si>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</si>
  <si>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</si>
  <si>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</si>
  <si>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</si>
  <si>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</si>
  <si>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</si>
  <si>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</si>
  <si>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</si>
  <si>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</si>
  <si>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</si>
  <si>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</si>
  <si>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</si>
  <si>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</si>
  <si>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</si>
  <si>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</si>
  <si>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</si>
  <si>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</si>
  <si>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</si>
  <si>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</si>
  <si>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</si>
  <si>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</si>
  <si>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</si>
  <si>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</si>
  <si>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</si>
  <si>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</si>
  <si>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</si>
  <si>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</si>
  <si>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</si>
  <si>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</si>
  <si>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</si>
  <si>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</si>
  <si>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</si>
  <si>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</si>
  <si>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</si>
  <si>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</si>
  <si>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</si>
  <si>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</si>
  <si>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</si>
  <si>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</si>
  <si>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</si>
  <si>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</si>
  <si>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</si>
  <si>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</si>
  <si>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</si>
  <si>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</si>
  <si>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</si>
  <si>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</si>
  <si>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</si>
  <si>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</si>
  <si>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</si>
  <si>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</si>
  <si>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</si>
  <si>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</si>
  <si>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</si>
  <si>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</si>
  <si>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</si>
  <si>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</si>
  <si>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</si>
  <si>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</si>
  <si>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</si>
  <si>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</si>
  <si>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</si>
  <si>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</si>
  <si>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</si>
  <si>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</si>
  <si>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</si>
  <si>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</si>
  <si>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</si>
  <si>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</si>
  <si>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</si>
  <si>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</si>
  <si>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</si>
  <si>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</si>
  <si>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</si>
  <si>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</si>
  <si>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</si>
  <si>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</si>
  <si>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</si>
  <si>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</si>
  <si>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</si>
  <si>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</si>
  <si>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</si>
  <si>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</si>
  <si>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</si>
  <si>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</si>
  <si>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</si>
  <si>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</si>
  <si>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</si>
  <si>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</si>
  <si>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</si>
  <si>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</si>
  <si>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</si>
  <si>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</si>
  <si>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</si>
  <si>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</si>
  <si>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</si>
  <si>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</si>
  <si>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</si>
  <si>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</si>
  <si>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</si>
  <si>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</si>
  <si>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</si>
  <si>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</si>
  <si>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</si>
  <si>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</si>
  <si>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</si>
  <si>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</si>
  <si>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</si>
  <si>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</si>
  <si>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</si>
  <si>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</si>
  <si>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</si>
  <si>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</si>
  <si>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</si>
  <si>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</si>
  <si>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</si>
  <si>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</si>
  <si>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</si>
  <si>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</si>
  <si>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</si>
  <si>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</si>
  <si>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</si>
  <si>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</si>
  <si>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</si>
  <si>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</si>
  <si>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</si>
  <si>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</si>
  <si>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</si>
  <si>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</si>
  <si>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</si>
  <si>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</si>
  <si>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</si>
  <si>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</si>
  <si>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</si>
  <si>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</si>
  <si>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</si>
  <si>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</si>
  <si>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</si>
  <si>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</si>
  <si>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</si>
  <si>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</si>
  <si>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</si>
  <si>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33011</t>
  </si>
  <si>
    <t>IEPER</t>
  </si>
  <si>
    <t>Eandis (januari 2018); Infrax (juni 2018)</t>
  </si>
  <si>
    <t>MOW (september 2017)</t>
  </si>
  <si>
    <t>referentietaak LNE (2017); Jaarverslag De Lijn (2016)</t>
  </si>
  <si>
    <t>VEA (april 2018)</t>
  </si>
  <si>
    <t>VEA (januari 2017)</t>
  </si>
  <si>
    <t>VEA (juni 2018)</t>
  </si>
  <si>
    <t>Biomass Center Ieper bvba</t>
  </si>
  <si>
    <t>Bargiestraat 1, 8900 Ieper</t>
  </si>
  <si>
    <t>WKK-0102 Biomass Center Ieper</t>
  </si>
  <si>
    <t>interne verbrandingsmotor</t>
  </si>
  <si>
    <t>WKK interne verbrandinsgmotor (gas)</t>
  </si>
  <si>
    <t>GASELWEST</t>
  </si>
  <si>
    <t>Jan Yperman Ziekenhuis VZW</t>
  </si>
  <si>
    <t>Briekestraat 12 , 8900 Ieper</t>
  </si>
  <si>
    <t>WKK-0571 Jan Yperman Ziekenhuis</t>
  </si>
  <si>
    <t>Waterleau Newenergy Ieper nv</t>
  </si>
  <si>
    <t>Nieuwstraat 26 , 3150 Wespelaar</t>
  </si>
  <si>
    <t>WKK-0507 Waterleau Newenergy Ieper</t>
  </si>
  <si>
    <t>Bargiestraat 4 , 8900 Ieper</t>
  </si>
  <si>
    <t>Jurgen Debaene</t>
  </si>
  <si>
    <t>WKK-0786</t>
  </si>
  <si>
    <t>Biogas - hoofdzakelijk agrarische stromen</t>
  </si>
  <si>
    <t>Poperingseweg 48, 8908 Vlamertinge, BE</t>
  </si>
  <si>
    <t>GASELWEST (via EANDIS)</t>
  </si>
  <si>
    <t>IVVO</t>
  </si>
  <si>
    <t>WKK-0267</t>
  </si>
  <si>
    <t>Interne verbrandingsmotor</t>
  </si>
  <si>
    <t>Bargiestraat 6, 8900 Ieper, BE</t>
  </si>
  <si>
    <t>IVVO cvba</t>
  </si>
  <si>
    <t>Bargiestraat 6 , 8900 Ieper</t>
  </si>
  <si>
    <t>WKK-0267 IVVO</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</si>
</sst>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264802.14907795028</c:v>
                </c:pt>
                <c:pt idx="1">
                  <c:v>234994.84541408368</c:v>
                </c:pt>
                <c:pt idx="2">
                  <c:v>2812.6460000000002</c:v>
                </c:pt>
                <c:pt idx="3">
                  <c:v>74421.851299202011</c:v>
                </c:pt>
                <c:pt idx="4">
                  <c:v>481685.83096270001</c:v>
                </c:pt>
                <c:pt idx="5">
                  <c:v>227853.4315236556</c:v>
                </c:pt>
                <c:pt idx="6">
                  <c:v>3639.8219257796868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90976"/>
        <c:axId val="183846016"/>
      </c:barChart>
      <c:catAx>
        <c:axId val="183790976"/>
        <c:scaling>
          <c:orientation val="minMax"/>
        </c:scaling>
        <c:axPos val="b"/>
        <c:numFmt formatCode="General" sourceLinked="0"/>
        <c:tickLblPos val="nextTo"/>
        <c:crossAx val="183846016"/>
        <c:crosses val="autoZero"/>
        <c:auto val="1"/>
        <c:lblAlgn val="ctr"/>
        <c:lblOffset val="100"/>
      </c:catAx>
      <c:valAx>
        <c:axId val="183846016"/>
        <c:scaling>
          <c:orientation val="minMax"/>
        </c:scaling>
        <c:axPos val="l"/>
        <c:majorGridlines>
          <c:spPr>
            <a:ln>
              <a:noFill/>
            </a:ln>
          </c:spPr>
        </c:majorGridlines>
        <c:numFmt formatCode="#,##0" sourceLinked="1"/>
        <c:tickLblPos val="nextTo"/>
        <c:crossAx val="1837909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264802.14907795028</c:v>
                </c:pt>
                <c:pt idx="1">
                  <c:v>234994.84541408368</c:v>
                </c:pt>
                <c:pt idx="2">
                  <c:v>2812.6460000000002</c:v>
                </c:pt>
                <c:pt idx="3">
                  <c:v>74421.851299202011</c:v>
                </c:pt>
                <c:pt idx="4">
                  <c:v>481685.83096270001</c:v>
                </c:pt>
                <c:pt idx="5">
                  <c:v>227853.4315236556</c:v>
                </c:pt>
                <c:pt idx="6">
                  <c:v>3639.8219257796868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45933.275794615969</c:v>
                </c:pt>
                <c:pt idx="1">
                  <c:v>38066.360305515533</c:v>
                </c:pt>
                <c:pt idx="2">
                  <c:v>466.1915939854382</c:v>
                </c:pt>
                <c:pt idx="3">
                  <c:v>15060.18076420384</c:v>
                </c:pt>
                <c:pt idx="4">
                  <c:v>87599.452127731798</c:v>
                </c:pt>
                <c:pt idx="5">
                  <c:v>57068.637339169567</c:v>
                </c:pt>
                <c:pt idx="6">
                  <c:v>919.60306003134792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85056"/>
        <c:axId val="184286592"/>
      </c:barChart>
      <c:catAx>
        <c:axId val="184285056"/>
        <c:scaling>
          <c:orientation val="minMax"/>
        </c:scaling>
        <c:axPos val="b"/>
        <c:numFmt formatCode="General" sourceLinked="0"/>
        <c:tickLblPos val="nextTo"/>
        <c:crossAx val="184286592"/>
        <c:crosses val="autoZero"/>
        <c:auto val="1"/>
        <c:lblAlgn val="ctr"/>
        <c:lblOffset val="100"/>
      </c:catAx>
      <c:valAx>
        <c:axId val="184286592"/>
        <c:scaling>
          <c:orientation val="minMax"/>
        </c:scaling>
        <c:axPos val="l"/>
        <c:majorGridlines>
          <c:spPr>
            <a:ln>
              <a:noFill/>
            </a:ln>
          </c:spPr>
        </c:majorGridlines>
        <c:numFmt formatCode="#,##0" sourceLinked="1"/>
        <c:tickLblPos val="nextTo"/>
        <c:crossAx val="18428505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45933.275794615969</c:v>
                </c:pt>
                <c:pt idx="1">
                  <c:v>38066.360305515533</c:v>
                </c:pt>
                <c:pt idx="2">
                  <c:v>466.1915939854382</c:v>
                </c:pt>
                <c:pt idx="3">
                  <c:v>15060.18076420384</c:v>
                </c:pt>
                <c:pt idx="4">
                  <c:v>87599.452127731798</c:v>
                </c:pt>
                <c:pt idx="5">
                  <c:v>57068.637339169567</c:v>
                </c:pt>
                <c:pt idx="6">
                  <c:v>919.60306003134792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33011</v>
      </c>
      <c r="B6" s="415"/>
      <c r="C6" s="416"/>
    </row>
    <row r="7" spans="1:7" s="413" customFormat="1" ht="15.75" customHeight="1">
      <c r="A7" s="417" t="str">
        <f>txtMunicipality</f>
        <v>IEPER</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33011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15207</v>
      </c>
      <c r="C9" s="342">
        <v>15115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9129.28999999999</v>
      </c>
    </row>
    <row r="15" spans="1:6">
      <c r="A15" s="348" t="s">
        <v>184</v>
      </c>
      <c r="B15" s="334">
        <v>119</v>
      </c>
    </row>
    <row r="16" spans="1:6">
      <c r="A16" s="348" t="s">
        <v>6</v>
      </c>
      <c r="B16" s="334">
        <v>4486</v>
      </c>
    </row>
    <row r="17" spans="1:6">
      <c r="A17" s="348" t="s">
        <v>7</v>
      </c>
      <c r="B17" s="334">
        <v>2502</v>
      </c>
    </row>
    <row r="18" spans="1:6">
      <c r="A18" s="348" t="s">
        <v>8</v>
      </c>
      <c r="B18" s="334">
        <v>4033</v>
      </c>
    </row>
    <row r="19" spans="1:6">
      <c r="A19" s="348" t="s">
        <v>9</v>
      </c>
      <c r="B19" s="334">
        <v>3648</v>
      </c>
    </row>
    <row r="20" spans="1:6">
      <c r="A20" s="348" t="s">
        <v>10</v>
      </c>
      <c r="B20" s="334">
        <v>2392</v>
      </c>
    </row>
    <row r="21" spans="1:6">
      <c r="A21" s="348" t="s">
        <v>11</v>
      </c>
      <c r="B21" s="334">
        <v>47754</v>
      </c>
    </row>
    <row r="22" spans="1:6">
      <c r="A22" s="348" t="s">
        <v>12</v>
      </c>
      <c r="B22" s="334">
        <v>99399</v>
      </c>
    </row>
    <row r="23" spans="1:6">
      <c r="A23" s="348" t="s">
        <v>13</v>
      </c>
      <c r="B23" s="334">
        <v>1922</v>
      </c>
    </row>
    <row r="24" spans="1:6">
      <c r="A24" s="348" t="s">
        <v>14</v>
      </c>
      <c r="B24" s="334">
        <v>94</v>
      </c>
    </row>
    <row r="25" spans="1:6">
      <c r="A25" s="348" t="s">
        <v>15</v>
      </c>
      <c r="B25" s="334">
        <v>12187</v>
      </c>
    </row>
    <row r="26" spans="1:6">
      <c r="A26" s="348" t="s">
        <v>16</v>
      </c>
      <c r="B26" s="334">
        <v>909</v>
      </c>
    </row>
    <row r="27" spans="1:6">
      <c r="A27" s="348" t="s">
        <v>17</v>
      </c>
      <c r="B27" s="334">
        <v>19</v>
      </c>
    </row>
    <row r="28" spans="1:6" s="356" customFormat="1">
      <c r="A28" s="355" t="s">
        <v>18</v>
      </c>
      <c r="B28" s="355">
        <v>517826</v>
      </c>
    </row>
    <row r="29" spans="1:6">
      <c r="A29" s="355" t="s">
        <v>744</v>
      </c>
      <c r="B29" s="355">
        <v>189</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15</v>
      </c>
      <c r="F36" s="334">
        <v>61054.1072584867</v>
      </c>
    </row>
    <row r="37" spans="1:6">
      <c r="A37" s="348" t="s">
        <v>25</v>
      </c>
      <c r="B37" s="348" t="s">
        <v>28</v>
      </c>
      <c r="C37" s="334">
        <v>0</v>
      </c>
      <c r="D37" s="334">
        <v>0</v>
      </c>
      <c r="E37" s="334">
        <v>0</v>
      </c>
      <c r="F37" s="334">
        <v>0</v>
      </c>
    </row>
    <row r="38" spans="1:6">
      <c r="A38" s="348" t="s">
        <v>25</v>
      </c>
      <c r="B38" s="348" t="s">
        <v>29</v>
      </c>
      <c r="C38" s="334">
        <v>3</v>
      </c>
      <c r="D38" s="334">
        <v>303748.12652746798</v>
      </c>
      <c r="E38" s="334">
        <v>3</v>
      </c>
      <c r="F38" s="334">
        <v>5580</v>
      </c>
    </row>
    <row r="39" spans="1:6">
      <c r="A39" s="348" t="s">
        <v>30</v>
      </c>
      <c r="B39" s="348" t="s">
        <v>31</v>
      </c>
      <c r="C39" s="334">
        <v>10810</v>
      </c>
      <c r="D39" s="334">
        <v>157892115.30839199</v>
      </c>
      <c r="E39" s="334">
        <v>14478</v>
      </c>
      <c r="F39" s="334">
        <v>49509985.744015902</v>
      </c>
    </row>
    <row r="40" spans="1:6">
      <c r="A40" s="348" t="s">
        <v>30</v>
      </c>
      <c r="B40" s="348" t="s">
        <v>29</v>
      </c>
      <c r="C40" s="334">
        <v>0</v>
      </c>
      <c r="D40" s="334">
        <v>0</v>
      </c>
      <c r="E40" s="334">
        <v>0</v>
      </c>
      <c r="F40" s="334">
        <v>0</v>
      </c>
    </row>
    <row r="41" spans="1:6">
      <c r="A41" s="348" t="s">
        <v>32</v>
      </c>
      <c r="B41" s="348" t="s">
        <v>33</v>
      </c>
      <c r="C41" s="334">
        <v>120</v>
      </c>
      <c r="D41" s="334">
        <v>2331475.6909516598</v>
      </c>
      <c r="E41" s="334">
        <v>257</v>
      </c>
      <c r="F41" s="334">
        <v>14937963.328125101</v>
      </c>
    </row>
    <row r="42" spans="1:6">
      <c r="A42" s="348" t="s">
        <v>32</v>
      </c>
      <c r="B42" s="348" t="s">
        <v>34</v>
      </c>
      <c r="C42" s="334">
        <v>5</v>
      </c>
      <c r="D42" s="334">
        <v>3956159.4302912899</v>
      </c>
      <c r="E42" s="334">
        <v>6</v>
      </c>
      <c r="F42" s="334">
        <v>19271201.677390799</v>
      </c>
    </row>
    <row r="43" spans="1:6">
      <c r="A43" s="348" t="s">
        <v>32</v>
      </c>
      <c r="B43" s="348" t="s">
        <v>35</v>
      </c>
      <c r="C43" s="334">
        <v>0</v>
      </c>
      <c r="D43" s="334">
        <v>0</v>
      </c>
      <c r="E43" s="334">
        <v>0</v>
      </c>
      <c r="F43" s="334">
        <v>0</v>
      </c>
    </row>
    <row r="44" spans="1:6">
      <c r="A44" s="348" t="s">
        <v>32</v>
      </c>
      <c r="B44" s="348" t="s">
        <v>36</v>
      </c>
      <c r="C44" s="334">
        <v>17</v>
      </c>
      <c r="D44" s="334">
        <v>26750932.450392101</v>
      </c>
      <c r="E44" s="334">
        <v>37</v>
      </c>
      <c r="F44" s="334">
        <v>5021171.6094052698</v>
      </c>
    </row>
    <row r="45" spans="1:6">
      <c r="A45" s="348" t="s">
        <v>32</v>
      </c>
      <c r="B45" s="348" t="s">
        <v>37</v>
      </c>
      <c r="C45" s="334">
        <v>5</v>
      </c>
      <c r="D45" s="334">
        <v>269971.57200636202</v>
      </c>
      <c r="E45" s="334">
        <v>5</v>
      </c>
      <c r="F45" s="334">
        <v>96025</v>
      </c>
    </row>
    <row r="46" spans="1:6">
      <c r="A46" s="348" t="s">
        <v>32</v>
      </c>
      <c r="B46" s="348" t="s">
        <v>38</v>
      </c>
      <c r="C46" s="334">
        <v>0</v>
      </c>
      <c r="D46" s="334">
        <v>0</v>
      </c>
      <c r="E46" s="334">
        <v>0</v>
      </c>
      <c r="F46" s="334">
        <v>0</v>
      </c>
    </row>
    <row r="47" spans="1:6">
      <c r="A47" s="348" t="s">
        <v>32</v>
      </c>
      <c r="B47" s="348" t="s">
        <v>39</v>
      </c>
      <c r="C47" s="334">
        <v>10</v>
      </c>
      <c r="D47" s="334">
        <v>168341.729068752</v>
      </c>
      <c r="E47" s="334">
        <v>12</v>
      </c>
      <c r="F47" s="334">
        <v>116530.22239248001</v>
      </c>
    </row>
    <row r="48" spans="1:6">
      <c r="A48" s="348" t="s">
        <v>32</v>
      </c>
      <c r="B48" s="348" t="s">
        <v>29</v>
      </c>
      <c r="C48" s="334">
        <v>92</v>
      </c>
      <c r="D48" s="334">
        <v>217344361.59675601</v>
      </c>
      <c r="E48" s="334">
        <v>127</v>
      </c>
      <c r="F48" s="334">
        <v>115151557.306517</v>
      </c>
    </row>
    <row r="49" spans="1:6">
      <c r="A49" s="348" t="s">
        <v>32</v>
      </c>
      <c r="B49" s="348" t="s">
        <v>40</v>
      </c>
      <c r="C49" s="334">
        <v>0</v>
      </c>
      <c r="D49" s="334">
        <v>0</v>
      </c>
      <c r="E49" s="334">
        <v>7</v>
      </c>
      <c r="F49" s="334">
        <v>66608.848066076898</v>
      </c>
    </row>
    <row r="50" spans="1:6">
      <c r="A50" s="348" t="s">
        <v>32</v>
      </c>
      <c r="B50" s="348" t="s">
        <v>41</v>
      </c>
      <c r="C50" s="334">
        <v>33</v>
      </c>
      <c r="D50" s="334">
        <v>15314297.2259009</v>
      </c>
      <c r="E50" s="334">
        <v>41</v>
      </c>
      <c r="F50" s="334">
        <v>7555610.1792973103</v>
      </c>
    </row>
    <row r="51" spans="1:6">
      <c r="A51" s="348" t="s">
        <v>42</v>
      </c>
      <c r="B51" s="348" t="s">
        <v>43</v>
      </c>
      <c r="C51" s="334">
        <v>64</v>
      </c>
      <c r="D51" s="334">
        <v>1240640.18955909</v>
      </c>
      <c r="E51" s="334">
        <v>373</v>
      </c>
      <c r="F51" s="334">
        <v>9681860.3830950502</v>
      </c>
    </row>
    <row r="52" spans="1:6">
      <c r="A52" s="348" t="s">
        <v>42</v>
      </c>
      <c r="B52" s="348" t="s">
        <v>29</v>
      </c>
      <c r="C52" s="334">
        <v>7</v>
      </c>
      <c r="D52" s="334">
        <v>190730.635015134</v>
      </c>
      <c r="E52" s="334">
        <v>22</v>
      </c>
      <c r="F52" s="334">
        <v>508847.373907328</v>
      </c>
    </row>
    <row r="53" spans="1:6">
      <c r="A53" s="348" t="s">
        <v>44</v>
      </c>
      <c r="B53" s="348" t="s">
        <v>45</v>
      </c>
      <c r="C53" s="334">
        <v>356</v>
      </c>
      <c r="D53" s="334">
        <v>5837402.5034434097</v>
      </c>
      <c r="E53" s="334">
        <v>609</v>
      </c>
      <c r="F53" s="334">
        <v>2373946.0493435799</v>
      </c>
    </row>
    <row r="54" spans="1:6">
      <c r="A54" s="348" t="s">
        <v>46</v>
      </c>
      <c r="B54" s="348" t="s">
        <v>47</v>
      </c>
      <c r="C54" s="334">
        <v>0</v>
      </c>
      <c r="D54" s="334">
        <v>0</v>
      </c>
      <c r="E54" s="334">
        <v>2</v>
      </c>
      <c r="F54" s="334">
        <v>2812646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134</v>
      </c>
      <c r="D57" s="334">
        <v>9243786.2118224297</v>
      </c>
      <c r="E57" s="334">
        <v>215</v>
      </c>
      <c r="F57" s="334">
        <v>8637301.7655764297</v>
      </c>
    </row>
    <row r="58" spans="1:6">
      <c r="A58" s="348" t="s">
        <v>49</v>
      </c>
      <c r="B58" s="348" t="s">
        <v>51</v>
      </c>
      <c r="C58" s="334">
        <v>140</v>
      </c>
      <c r="D58" s="334">
        <v>26288748.2690074</v>
      </c>
      <c r="E58" s="334">
        <v>172</v>
      </c>
      <c r="F58" s="334">
        <v>14407181.360421499</v>
      </c>
    </row>
    <row r="59" spans="1:6">
      <c r="A59" s="348" t="s">
        <v>49</v>
      </c>
      <c r="B59" s="348" t="s">
        <v>52</v>
      </c>
      <c r="C59" s="334">
        <v>290</v>
      </c>
      <c r="D59" s="334">
        <v>11625980.386540201</v>
      </c>
      <c r="E59" s="334">
        <v>548</v>
      </c>
      <c r="F59" s="334">
        <v>16779159.554630399</v>
      </c>
    </row>
    <row r="60" spans="1:6">
      <c r="A60" s="348" t="s">
        <v>49</v>
      </c>
      <c r="B60" s="348" t="s">
        <v>53</v>
      </c>
      <c r="C60" s="334">
        <v>217</v>
      </c>
      <c r="D60" s="334">
        <v>15411199.3170559</v>
      </c>
      <c r="E60" s="334">
        <v>258</v>
      </c>
      <c r="F60" s="334">
        <v>7760564.8066935502</v>
      </c>
    </row>
    <row r="61" spans="1:6">
      <c r="A61" s="348" t="s">
        <v>49</v>
      </c>
      <c r="B61" s="348" t="s">
        <v>54</v>
      </c>
      <c r="C61" s="334">
        <v>371</v>
      </c>
      <c r="D61" s="334">
        <v>18742987.2989235</v>
      </c>
      <c r="E61" s="334">
        <v>891</v>
      </c>
      <c r="F61" s="334">
        <v>13469488.7690266</v>
      </c>
    </row>
    <row r="62" spans="1:6">
      <c r="A62" s="348" t="s">
        <v>49</v>
      </c>
      <c r="B62" s="348" t="s">
        <v>55</v>
      </c>
      <c r="C62" s="334">
        <v>30</v>
      </c>
      <c r="D62" s="334">
        <v>1309346.95897154</v>
      </c>
      <c r="E62" s="334">
        <v>36</v>
      </c>
      <c r="F62" s="334">
        <v>516349.03877618501</v>
      </c>
    </row>
    <row r="63" spans="1:6">
      <c r="A63" s="348" t="s">
        <v>49</v>
      </c>
      <c r="B63" s="348" t="s">
        <v>29</v>
      </c>
      <c r="C63" s="334">
        <v>259</v>
      </c>
      <c r="D63" s="334">
        <v>14984886.348138001</v>
      </c>
      <c r="E63" s="334">
        <v>325</v>
      </c>
      <c r="F63" s="334">
        <v>16310914.535151901</v>
      </c>
    </row>
    <row r="64" spans="1:6">
      <c r="A64" s="348" t="s">
        <v>56</v>
      </c>
      <c r="B64" s="348" t="s">
        <v>57</v>
      </c>
      <c r="C64" s="334">
        <v>0</v>
      </c>
      <c r="D64" s="334">
        <v>0</v>
      </c>
      <c r="E64" s="334">
        <v>0</v>
      </c>
      <c r="F64" s="334">
        <v>0</v>
      </c>
    </row>
    <row r="65" spans="1:6">
      <c r="A65" s="348" t="s">
        <v>56</v>
      </c>
      <c r="B65" s="348" t="s">
        <v>29</v>
      </c>
      <c r="C65" s="334">
        <v>9</v>
      </c>
      <c r="D65" s="334">
        <v>13734093.3869249</v>
      </c>
      <c r="E65" s="334">
        <v>14</v>
      </c>
      <c r="F65" s="334">
        <v>1901142.8742839501</v>
      </c>
    </row>
    <row r="66" spans="1:6">
      <c r="A66" s="348" t="s">
        <v>56</v>
      </c>
      <c r="B66" s="348" t="s">
        <v>58</v>
      </c>
      <c r="C66" s="334">
        <v>0</v>
      </c>
      <c r="D66" s="334">
        <v>0</v>
      </c>
      <c r="E66" s="334">
        <v>22</v>
      </c>
      <c r="F66" s="334">
        <v>531542.35983431805</v>
      </c>
    </row>
    <row r="67" spans="1:6">
      <c r="A67" s="355" t="s">
        <v>56</v>
      </c>
      <c r="B67" s="355" t="s">
        <v>59</v>
      </c>
      <c r="C67" s="334">
        <v>0</v>
      </c>
      <c r="D67" s="334">
        <v>0</v>
      </c>
      <c r="E67" s="334">
        <v>0</v>
      </c>
      <c r="F67" s="334">
        <v>0</v>
      </c>
    </row>
    <row r="68" spans="1:6">
      <c r="A68" s="341" t="s">
        <v>56</v>
      </c>
      <c r="B68" s="341" t="s">
        <v>60</v>
      </c>
      <c r="C68" s="334">
        <v>8</v>
      </c>
      <c r="D68" s="334">
        <v>321157.247403735</v>
      </c>
      <c r="E68" s="334">
        <v>23</v>
      </c>
      <c r="F68" s="334">
        <v>536334.76456376398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183333207</v>
      </c>
      <c r="E73" s="476">
        <v>185635895.57861805</v>
      </c>
    </row>
    <row r="74" spans="1:6">
      <c r="A74" s="348" t="s">
        <v>64</v>
      </c>
      <c r="B74" s="348" t="s">
        <v>657</v>
      </c>
      <c r="C74" s="1272" t="s">
        <v>659</v>
      </c>
      <c r="D74" s="476">
        <v>24119490.731137037</v>
      </c>
      <c r="E74" s="476">
        <v>24612337.722952738</v>
      </c>
    </row>
    <row r="75" spans="1:6">
      <c r="A75" s="348" t="s">
        <v>65</v>
      </c>
      <c r="B75" s="348" t="s">
        <v>656</v>
      </c>
      <c r="C75" s="1272" t="s">
        <v>660</v>
      </c>
      <c r="D75" s="476">
        <v>39527041</v>
      </c>
      <c r="E75" s="476">
        <v>40026652.499422878</v>
      </c>
    </row>
    <row r="76" spans="1:6">
      <c r="A76" s="348" t="s">
        <v>65</v>
      </c>
      <c r="B76" s="348" t="s">
        <v>657</v>
      </c>
      <c r="C76" s="1272" t="s">
        <v>661</v>
      </c>
      <c r="D76" s="476">
        <v>2438975.7311370373</v>
      </c>
      <c r="E76" s="476">
        <v>2490202.7127044834</v>
      </c>
    </row>
    <row r="77" spans="1:6">
      <c r="A77" s="348" t="s">
        <v>66</v>
      </c>
      <c r="B77" s="348" t="s">
        <v>656</v>
      </c>
      <c r="C77" s="1272" t="s">
        <v>662</v>
      </c>
      <c r="D77" s="476">
        <v>8184455</v>
      </c>
      <c r="E77" s="476">
        <v>9251984.9655014891</v>
      </c>
    </row>
    <row r="78" spans="1:6">
      <c r="A78" s="341" t="s">
        <v>66</v>
      </c>
      <c r="B78" s="341" t="s">
        <v>657</v>
      </c>
      <c r="C78" s="341" t="s">
        <v>663</v>
      </c>
      <c r="D78" s="1273">
        <v>1525563</v>
      </c>
      <c r="E78" s="1273">
        <v>1690825.2304569394</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987180.53772592579</v>
      </c>
      <c r="C83" s="476">
        <v>986354.33513946855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35652.718413957555</v>
      </c>
    </row>
    <row r="91" spans="1:6">
      <c r="A91" s="348" t="s">
        <v>68</v>
      </c>
      <c r="B91" s="334">
        <v>7388.2751689972574</v>
      </c>
    </row>
    <row r="92" spans="1:6">
      <c r="A92" s="341" t="s">
        <v>69</v>
      </c>
      <c r="B92" s="342">
        <v>8499.4838176578633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7879</v>
      </c>
    </row>
    <row r="98" spans="1:6">
      <c r="A98" s="348" t="s">
        <v>72</v>
      </c>
      <c r="B98" s="334">
        <v>2</v>
      </c>
    </row>
    <row r="99" spans="1:6">
      <c r="A99" s="348" t="s">
        <v>73</v>
      </c>
      <c r="B99" s="334">
        <v>295</v>
      </c>
    </row>
    <row r="100" spans="1:6">
      <c r="A100" s="348" t="s">
        <v>74</v>
      </c>
      <c r="B100" s="334">
        <v>1386</v>
      </c>
    </row>
    <row r="101" spans="1:6">
      <c r="A101" s="348" t="s">
        <v>75</v>
      </c>
      <c r="B101" s="334">
        <v>247</v>
      </c>
    </row>
    <row r="102" spans="1:6">
      <c r="A102" s="348" t="s">
        <v>76</v>
      </c>
      <c r="B102" s="334">
        <v>262</v>
      </c>
    </row>
    <row r="103" spans="1:6">
      <c r="A103" s="348" t="s">
        <v>77</v>
      </c>
      <c r="B103" s="334">
        <v>465</v>
      </c>
    </row>
    <row r="104" spans="1:6">
      <c r="A104" s="348" t="s">
        <v>78</v>
      </c>
      <c r="B104" s="334">
        <v>3046</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22</v>
      </c>
      <c r="C123" s="334">
        <v>65</v>
      </c>
    </row>
    <row r="124" spans="1:6">
      <c r="A124" s="341" t="s">
        <v>89</v>
      </c>
      <c r="B124" s="334">
        <v>2</v>
      </c>
      <c r="C124" s="334">
        <v>3</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477</v>
      </c>
    </row>
    <row r="130" spans="1:6">
      <c r="A130" s="348" t="s">
        <v>295</v>
      </c>
      <c r="B130" s="334">
        <v>9</v>
      </c>
    </row>
    <row r="131" spans="1:6">
      <c r="A131" s="348" t="s">
        <v>296</v>
      </c>
      <c r="B131" s="334">
        <v>5</v>
      </c>
    </row>
    <row r="132" spans="1:6">
      <c r="A132" s="341" t="s">
        <v>297</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333994.13642320619</v>
      </c>
      <c r="C3" s="43" t="s">
        <v>170</v>
      </c>
      <c r="D3" s="43"/>
      <c r="E3" s="154"/>
      <c r="F3" s="43"/>
      <c r="G3" s="43"/>
      <c r="H3" s="43"/>
      <c r="I3" s="43"/>
      <c r="J3" s="43"/>
      <c r="K3" s="96"/>
    </row>
    <row r="4" spans="1:11">
      <c r="A4" s="383" t="s">
        <v>171</v>
      </c>
      <c r="B4" s="49">
        <f>IF(ISERROR('SEAP template'!B69),0,'SEAP template'!B69)</f>
        <v>84855.852400612668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299.43529411764717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0.16574840701084964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427.7647058823531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47593.392857142855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8.987901055222916E-3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2812.6460000000002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2812.6460000000002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0.16574840701084964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466.1915939854382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49509.985744015903</v>
      </c>
      <c r="C5" s="17">
        <f>IF(ISERROR('Eigen informatie GS &amp; warmtenet'!B57),0,'Eigen informatie GS &amp; warmtenet'!B57)</f>
        <v>0</v>
      </c>
      <c r="D5" s="30">
        <f>(SUM(HH_hh_gas_kWh,HH_rest_gas_kWh)/1000)*0.902</f>
        <v>142418.68800816956</v>
      </c>
      <c r="E5" s="17">
        <f>B46*B57</f>
        <v>12191.033151056976</v>
      </c>
      <c r="F5" s="17">
        <f>B51*B62</f>
        <v>10565.009778393594</v>
      </c>
      <c r="G5" s="18"/>
      <c r="H5" s="17"/>
      <c r="I5" s="17"/>
      <c r="J5" s="17">
        <f>B50*B61+C50*C61</f>
        <v>6061.2502057205274</v>
      </c>
      <c r="K5" s="17"/>
      <c r="L5" s="17"/>
      <c r="M5" s="17"/>
      <c r="N5" s="17">
        <f>B48*B59+C48*C59</f>
        <v>34786.290354929828</v>
      </c>
      <c r="O5" s="17">
        <f>B69*B70*B71</f>
        <v>852.01666666666665</v>
      </c>
      <c r="P5" s="17">
        <f>B77*B78*B79/1000-B77*B78*B79/1000/B80</f>
        <v>1029.5999999999999</v>
      </c>
    </row>
    <row r="6" spans="1:16">
      <c r="A6" s="16" t="s">
        <v>621</v>
      </c>
      <c r="B6" s="843">
        <f>kWh_PV_kleiner_dan_10kW</f>
        <v>7388.2751689972574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56898.26091301316</v>
      </c>
      <c r="C8" s="21">
        <f>C5</f>
        <v>0</v>
      </c>
      <c r="D8" s="21">
        <f>D5</f>
        <v>142418.68800816956</v>
      </c>
      <c r="E8" s="21">
        <f>E5</f>
        <v>12191.033151056976</v>
      </c>
      <c r="F8" s="21">
        <f>F5</f>
        <v>10565.009778393594</v>
      </c>
      <c r="G8" s="21"/>
      <c r="H8" s="21"/>
      <c r="I8" s="21"/>
      <c r="J8" s="21">
        <f>J5</f>
        <v>6061.2502057205274</v>
      </c>
      <c r="K8" s="21"/>
      <c r="L8" s="21">
        <f>L5</f>
        <v>0</v>
      </c>
      <c r="M8" s="21">
        <f>M5</f>
        <v>0</v>
      </c>
      <c r="N8" s="21">
        <f>N5</f>
        <v>34786.290354929828</v>
      </c>
      <c r="O8" s="21">
        <f>O5</f>
        <v>852.01666666666665</v>
      </c>
      <c r="P8" s="21">
        <f>P5</f>
        <v>1029.5999999999999</v>
      </c>
    </row>
    <row r="9" spans="1:16">
      <c r="B9" s="19"/>
      <c r="C9" s="19"/>
      <c r="D9" s="258"/>
      <c r="E9" s="19"/>
      <c r="F9" s="19"/>
      <c r="G9" s="19"/>
      <c r="H9" s="19"/>
      <c r="I9" s="19"/>
      <c r="J9" s="19"/>
      <c r="K9" s="19"/>
      <c r="L9" s="19"/>
      <c r="M9" s="19"/>
      <c r="N9" s="19"/>
      <c r="O9" s="19"/>
      <c r="P9" s="19"/>
    </row>
    <row r="10" spans="1:16">
      <c r="A10" s="24" t="s">
        <v>214</v>
      </c>
      <c r="B10" s="25">
        <f ca="1">'EF ele_warmte'!B12</f>
        <v>0.16574840701084964</v>
      </c>
      <c r="C10" s="25">
        <f ca="1">'EF ele_warmte'!B22</f>
        <v>8.987901055222916E-3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9430.7961080196219</v>
      </c>
      <c r="C12" s="23">
        <f ca="1">C10*C8</f>
        <v>0</v>
      </c>
      <c r="D12" s="23">
        <f>D8*D10</f>
        <v>28768.574977650253</v>
      </c>
      <c r="E12" s="23">
        <f>E10*E8</f>
        <v>2767.3645252899337</v>
      </c>
      <c r="F12" s="23">
        <f>F10*F8</f>
        <v>2820.8576108310899</v>
      </c>
      <c r="G12" s="23"/>
      <c r="H12" s="23"/>
      <c r="I12" s="23"/>
      <c r="J12" s="23">
        <f>J10*J8</f>
        <v>2145.6825728250665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7879</v>
      </c>
      <c r="C18" s="166" t="s">
        <v>111</v>
      </c>
      <c r="D18" s="228"/>
      <c r="E18" s="15"/>
    </row>
    <row r="19" spans="1:7">
      <c r="A19" s="171" t="s">
        <v>72</v>
      </c>
      <c r="B19" s="37">
        <f>aantalw2001_ander</f>
        <v>2</v>
      </c>
      <c r="C19" s="166" t="s">
        <v>111</v>
      </c>
      <c r="D19" s="229"/>
      <c r="E19" s="15"/>
    </row>
    <row r="20" spans="1:7">
      <c r="A20" s="171" t="s">
        <v>73</v>
      </c>
      <c r="B20" s="37">
        <f>aantalw2001_propaan</f>
        <v>295</v>
      </c>
      <c r="C20" s="167">
        <f>IF(ISERROR(B20/SUM($B$20,$B$21,$B$22)*100),0,B20/SUM($B$20,$B$21,$B$22)*100)</f>
        <v>15.300829875518673</v>
      </c>
      <c r="D20" s="229"/>
      <c r="E20" s="15"/>
    </row>
    <row r="21" spans="1:7">
      <c r="A21" s="171" t="s">
        <v>74</v>
      </c>
      <c r="B21" s="37">
        <f>aantalw2001_elektriciteit</f>
        <v>1386</v>
      </c>
      <c r="C21" s="167">
        <f>IF(ISERROR(B21/SUM($B$20,$B$21,$B$22)*100),0,B21/SUM($B$20,$B$21,$B$22)*100)</f>
        <v>71.887966804979257</v>
      </c>
      <c r="D21" s="229"/>
      <c r="E21" s="15"/>
    </row>
    <row r="22" spans="1:7">
      <c r="A22" s="171" t="s">
        <v>75</v>
      </c>
      <c r="B22" s="37">
        <f>aantalw2001_hout</f>
        <v>247</v>
      </c>
      <c r="C22" s="167">
        <f>IF(ISERROR(B22/SUM($B$20,$B$21,$B$22)*100),0,B22/SUM($B$20,$B$21,$B$22)*100)</f>
        <v>12.811203319502074</v>
      </c>
      <c r="D22" s="229"/>
      <c r="E22" s="15"/>
    </row>
    <row r="23" spans="1:7">
      <c r="A23" s="171" t="s">
        <v>76</v>
      </c>
      <c r="B23" s="37">
        <f>aantalw2001_niet_gespec</f>
        <v>262</v>
      </c>
      <c r="C23" s="166" t="s">
        <v>111</v>
      </c>
      <c r="D23" s="228"/>
      <c r="E23" s="15"/>
    </row>
    <row r="24" spans="1:7">
      <c r="A24" s="171" t="s">
        <v>77</v>
      </c>
      <c r="B24" s="37">
        <f>aantalw2001_steenkool</f>
        <v>465</v>
      </c>
      <c r="C24" s="166" t="s">
        <v>111</v>
      </c>
      <c r="D24" s="229"/>
      <c r="E24" s="15"/>
    </row>
    <row r="25" spans="1:7">
      <c r="A25" s="171" t="s">
        <v>78</v>
      </c>
      <c r="B25" s="37">
        <f>aantalw2001_stookolie</f>
        <v>3046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15207</v>
      </c>
      <c r="C28" s="36"/>
      <c r="D28" s="228"/>
    </row>
    <row r="29" spans="1:7" s="15" customFormat="1">
      <c r="A29" s="230" t="s">
        <v>795</v>
      </c>
      <c r="B29" s="37">
        <f>SUM(HH_hh_gas_aantal,HH_rest_gas_aantal)</f>
        <v>10810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10810</v>
      </c>
      <c r="C32" s="167">
        <f>IF(ISERROR(B32/SUM($B$32,$B$34,$B$35,$B$36,$B$38,$B$39)*100),0,B32/SUM($B$32,$B$34,$B$35,$B$36,$B$38,$B$39)*100)</f>
        <v>71.339008777139838</v>
      </c>
      <c r="D32" s="233"/>
      <c r="G32" s="15"/>
    </row>
    <row r="33" spans="1:7">
      <c r="A33" s="171" t="s">
        <v>72</v>
      </c>
      <c r="B33" s="34" t="s">
        <v>111</v>
      </c>
      <c r="C33" s="167"/>
      <c r="D33" s="233"/>
      <c r="G33" s="15"/>
    </row>
    <row r="34" spans="1:7">
      <c r="A34" s="171" t="s">
        <v>73</v>
      </c>
      <c r="B34" s="33">
        <f>IF((($B$28-$B$32-$B$39-$B$77-$B$38)*C20/100)&lt;0,0,($B$28-$B$32-$B$39-$B$77-$B$38)*C20/100)</f>
        <v>575.77022821576759</v>
      </c>
      <c r="C34" s="167">
        <f>IF(ISERROR(B34/SUM($B$32,$B$34,$B$35,$B$36,$B$38,$B$39)*100),0,B34/SUM($B$32,$B$34,$B$35,$B$36,$B$38,$B$39)*100)</f>
        <v>3.799711134532882</v>
      </c>
      <c r="D34" s="233"/>
      <c r="G34" s="15"/>
    </row>
    <row r="35" spans="1:7">
      <c r="A35" s="171" t="s">
        <v>74</v>
      </c>
      <c r="B35" s="33">
        <f>IF((($B$28-$B$32-$B$39-$B$77-$B$38)*C21/100)&lt;0,0,($B$28-$B$32-$B$39-$B$77-$B$38)*C21/100)</f>
        <v>2705.1441908713691</v>
      </c>
      <c r="C35" s="167">
        <f>IF(ISERROR(B35/SUM($B$32,$B$34,$B$35,$B$36,$B$38,$B$39)*100),0,B35/SUM($B$32,$B$34,$B$35,$B$36,$B$38,$B$39)*100)</f>
        <v>17.852202143940929</v>
      </c>
      <c r="D35" s="233"/>
      <c r="G35" s="15"/>
    </row>
    <row r="36" spans="1:7">
      <c r="A36" s="171" t="s">
        <v>75</v>
      </c>
      <c r="B36" s="33">
        <f>IF((($B$28-$B$32-$B$39-$B$77-$B$38)*C22/100)&lt;0,0,($B$28-$B$32-$B$39-$B$77-$B$38)*C22/100)</f>
        <v>482.08558091286301</v>
      </c>
      <c r="C36" s="167">
        <f>IF(ISERROR(B36/SUM($B$32,$B$34,$B$35,$B$36,$B$38,$B$39)*100),0,B36/SUM($B$32,$B$34,$B$35,$B$36,$B$38,$B$39)*100)</f>
        <v>3.1814530516258364</v>
      </c>
      <c r="D36" s="233"/>
      <c r="G36" s="15"/>
    </row>
    <row r="37" spans="1:7">
      <c r="A37" s="171" t="s">
        <v>76</v>
      </c>
      <c r="B37" s="34" t="s">
        <v>111</v>
      </c>
      <c r="C37" s="167"/>
      <c r="D37" s="173"/>
      <c r="G37" s="15"/>
    </row>
    <row r="38" spans="1:7">
      <c r="A38" s="171" t="s">
        <v>77</v>
      </c>
      <c r="B38" s="33">
        <f>IF((B24-(B29-B18)*0.1)&lt;0,0,B24-(B29-B18)*0.1)</f>
        <v>171.89999999999998</v>
      </c>
      <c r="C38" s="167">
        <f>IF(ISERROR(B38/SUM($B$32,$B$34,$B$35,$B$36,$B$38,$B$39)*100),0,B38/SUM($B$32,$B$34,$B$35,$B$36,$B$38,$B$39)*100)</f>
        <v>1.1344288259750543</v>
      </c>
      <c r="D38" s="234"/>
      <c r="G38" s="15"/>
    </row>
    <row r="39" spans="1:7">
      <c r="A39" s="171" t="s">
        <v>78</v>
      </c>
      <c r="B39" s="33">
        <f>IF((B25-(B29-B18))&lt;0,0,B25-(B29-B18)*0.9)</f>
        <v>408.09999999999991</v>
      </c>
      <c r="C39" s="167">
        <f>IF(ISERROR(B39/SUM($B$32,$B$34,$B$35,$B$36,$B$38,$B$39)*100),0,B39/SUM($B$32,$B$34,$B$35,$B$36,$B$38,$B$39)*100)</f>
        <v>2.6931960667854544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10810</v>
      </c>
      <c r="C44" s="34" t="s">
        <v>111</v>
      </c>
      <c r="D44" s="174"/>
    </row>
    <row r="45" spans="1:7">
      <c r="A45" s="171" t="s">
        <v>72</v>
      </c>
      <c r="B45" s="33" t="str">
        <f t="shared" si="0"/>
        <v>-</v>
      </c>
      <c r="C45" s="34" t="s">
        <v>111</v>
      </c>
      <c r="D45" s="174"/>
    </row>
    <row r="46" spans="1:7">
      <c r="A46" s="171" t="s">
        <v>73</v>
      </c>
      <c r="B46" s="33">
        <f t="shared" si="0"/>
        <v>575.77022821576759</v>
      </c>
      <c r="C46" s="34" t="s">
        <v>111</v>
      </c>
      <c r="D46" s="174"/>
    </row>
    <row r="47" spans="1:7">
      <c r="A47" s="171" t="s">
        <v>74</v>
      </c>
      <c r="B47" s="33">
        <f t="shared" si="0"/>
        <v>2705.1441908713691</v>
      </c>
      <c r="C47" s="34" t="s">
        <v>111</v>
      </c>
      <c r="D47" s="174"/>
    </row>
    <row r="48" spans="1:7">
      <c r="A48" s="171" t="s">
        <v>75</v>
      </c>
      <c r="B48" s="33">
        <f t="shared" si="0"/>
        <v>482.08558091286301</v>
      </c>
      <c r="C48" s="33">
        <f>B48*10</f>
        <v>4820.8558091286304</v>
      </c>
      <c r="D48" s="234"/>
    </row>
    <row r="49" spans="1:6">
      <c r="A49" s="171" t="s">
        <v>76</v>
      </c>
      <c r="B49" s="33" t="str">
        <f t="shared" si="0"/>
        <v>-</v>
      </c>
      <c r="C49" s="34" t="s">
        <v>111</v>
      </c>
      <c r="D49" s="234"/>
    </row>
    <row r="50" spans="1:6">
      <c r="A50" s="171" t="s">
        <v>77</v>
      </c>
      <c r="B50" s="33">
        <f t="shared" si="0"/>
        <v>171.89999999999998</v>
      </c>
      <c r="C50" s="33">
        <f>B50*2</f>
        <v>343.79999999999995</v>
      </c>
      <c r="D50" s="234"/>
    </row>
    <row r="51" spans="1:6">
      <c r="A51" s="171" t="s">
        <v>78</v>
      </c>
      <c r="B51" s="33">
        <f t="shared" si="0"/>
        <v>408.09999999999991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545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77880.959830276552</v>
      </c>
      <c r="C5" s="17">
        <f>IF(ISERROR('Eigen informatie GS &amp; warmtenet'!B58),0,'Eigen informatie GS &amp; warmtenet'!B58)</f>
        <v>0</v>
      </c>
      <c r="D5" s="30">
        <f>SUM(D6:D12)</f>
        <v>88041.455180993988</v>
      </c>
      <c r="E5" s="17">
        <f>SUM(E6:E12)</f>
        <v>941.3293767965979</v>
      </c>
      <c r="F5" s="17">
        <f>SUM(F6:F12)</f>
        <v>13549.832618189885</v>
      </c>
      <c r="G5" s="18"/>
      <c r="H5" s="17"/>
      <c r="I5" s="17"/>
      <c r="J5" s="17">
        <f>SUM(J6:J12)</f>
        <v>0.22697925522017001</v>
      </c>
      <c r="K5" s="17"/>
      <c r="L5" s="17"/>
      <c r="M5" s="17"/>
      <c r="N5" s="17">
        <f>SUM(N6:N12)</f>
        <v>9176.6421129425507</v>
      </c>
      <c r="O5" s="17">
        <f>B38*B39*B40</f>
        <v>14.070000000000002</v>
      </c>
      <c r="P5" s="17">
        <f>B46*B47*B48/1000-B46*B47*B48/1000/B49</f>
        <v>114.4</v>
      </c>
      <c r="R5" s="32"/>
    </row>
    <row r="6" spans="1:18">
      <c r="A6" s="32" t="s">
        <v>54</v>
      </c>
      <c r="B6" s="37">
        <f>B26</f>
        <v>13469.4887690266</v>
      </c>
      <c r="C6" s="33"/>
      <c r="D6" s="37">
        <f>IF(ISERROR(TER_kantoor_gas_kWh/1000),0,TER_kantoor_gas_kWh/1000)*0.902</f>
        <v>16906.174543628997</v>
      </c>
      <c r="E6" s="33">
        <f>$C$26*'E Balans VL '!I12/100/3.6*1000000</f>
        <v>8.4422275722477833E-2</v>
      </c>
      <c r="F6" s="33">
        <f>$C$26*('E Balans VL '!L12+'E Balans VL '!N12)/100/3.6*1000000</f>
        <v>2024.0877885723432</v>
      </c>
      <c r="G6" s="34"/>
      <c r="H6" s="33"/>
      <c r="I6" s="33"/>
      <c r="J6" s="33">
        <f>$C$26*('E Balans VL '!D12+'E Balans VL '!E12)/100/3.6*1000000</f>
        <v>0</v>
      </c>
      <c r="K6" s="33"/>
      <c r="L6" s="33"/>
      <c r="M6" s="33"/>
      <c r="N6" s="33">
        <f>$C$26*'E Balans VL '!Y12/100/3.6*1000000</f>
        <v>12.881568936697057</v>
      </c>
      <c r="O6" s="33"/>
      <c r="P6" s="33"/>
      <c r="R6" s="32"/>
    </row>
    <row r="7" spans="1:18">
      <c r="A7" s="32" t="s">
        <v>53</v>
      </c>
      <c r="B7" s="37">
        <f t="shared" ref="B7:B12" si="0">B27</f>
        <v>7760.5648066935501</v>
      </c>
      <c r="C7" s="33"/>
      <c r="D7" s="37">
        <f>IF(ISERROR(TER_horeca_gas_kWh/1000),0,TER_horeca_gas_kWh/1000)*0.902</f>
        <v>13900.901783984422</v>
      </c>
      <c r="E7" s="33">
        <f>$C$27*'E Balans VL '!I9/100/3.6*1000000</f>
        <v>111.12999536852182</v>
      </c>
      <c r="F7" s="33">
        <f>$C$27*('E Balans VL '!L9+'E Balans VL '!N9)/100/3.6*1000000</f>
        <v>982.74345781554996</v>
      </c>
      <c r="G7" s="34"/>
      <c r="H7" s="33"/>
      <c r="I7" s="33"/>
      <c r="J7" s="33">
        <f>$C$27*('E Balans VL '!D9+'E Balans VL '!E9)/100/3.6*1000000</f>
        <v>0</v>
      </c>
      <c r="K7" s="33"/>
      <c r="L7" s="33"/>
      <c r="M7" s="33"/>
      <c r="N7" s="33">
        <f>$C$27*'E Balans VL '!Y9/100/3.6*1000000</f>
        <v>2.2309912761580697</v>
      </c>
      <c r="O7" s="33"/>
      <c r="P7" s="33"/>
      <c r="R7" s="32"/>
    </row>
    <row r="8" spans="1:18">
      <c r="A8" s="6" t="s">
        <v>52</v>
      </c>
      <c r="B8" s="37">
        <f t="shared" si="0"/>
        <v>16779.159554630398</v>
      </c>
      <c r="C8" s="33"/>
      <c r="D8" s="37">
        <f>IF(ISERROR(TER_handel_gas_kWh/1000),0,TER_handel_gas_kWh/1000)*0.902</f>
        <v>10486.634308659262</v>
      </c>
      <c r="E8" s="33">
        <f>$C$28*'E Balans VL '!I13/100/3.6*1000000</f>
        <v>608.57804793318769</v>
      </c>
      <c r="F8" s="33">
        <f>$C$28*('E Balans VL '!L13+'E Balans VL '!N13)/100/3.6*1000000</f>
        <v>3231.8360300141971</v>
      </c>
      <c r="G8" s="34"/>
      <c r="H8" s="33"/>
      <c r="I8" s="33"/>
      <c r="J8" s="33">
        <f>$C$28*('E Balans VL '!D13+'E Balans VL '!E13)/100/3.6*1000000</f>
        <v>0</v>
      </c>
      <c r="K8" s="33"/>
      <c r="L8" s="33"/>
      <c r="M8" s="33"/>
      <c r="N8" s="33">
        <f>$C$28*'E Balans VL '!Y13/100/3.6*1000000</f>
        <v>23.242996695594005</v>
      </c>
      <c r="O8" s="33"/>
      <c r="P8" s="33"/>
      <c r="R8" s="32"/>
    </row>
    <row r="9" spans="1:18">
      <c r="A9" s="32" t="s">
        <v>51</v>
      </c>
      <c r="B9" s="37">
        <f t="shared" si="0"/>
        <v>14407.181360421499</v>
      </c>
      <c r="C9" s="33"/>
      <c r="D9" s="37">
        <f>IF(ISERROR(TER_gezond_gas_kWh/1000),0,TER_gezond_gas_kWh/1000)*0.902</f>
        <v>23712.450938644673</v>
      </c>
      <c r="E9" s="33">
        <f>$C$29*'E Balans VL '!I10/100/3.6*1000000</f>
        <v>0.90203179838023539</v>
      </c>
      <c r="F9" s="33">
        <f>$C$29*('E Balans VL '!L10+'E Balans VL '!N10)/100/3.6*1000000</f>
        <v>2140.2306567803089</v>
      </c>
      <c r="G9" s="34"/>
      <c r="H9" s="33"/>
      <c r="I9" s="33"/>
      <c r="J9" s="33">
        <f>$C$29*('E Balans VL '!D10+'E Balans VL '!E10)/100/3.6*1000000</f>
        <v>0</v>
      </c>
      <c r="K9" s="33"/>
      <c r="L9" s="33"/>
      <c r="M9" s="33"/>
      <c r="N9" s="33">
        <f>$C$29*'E Balans VL '!Y10/100/3.6*1000000</f>
        <v>222.85167145716872</v>
      </c>
      <c r="O9" s="33"/>
      <c r="P9" s="33"/>
      <c r="R9" s="32"/>
    </row>
    <row r="10" spans="1:18">
      <c r="A10" s="32" t="s">
        <v>50</v>
      </c>
      <c r="B10" s="37">
        <f t="shared" si="0"/>
        <v>8637.3017655764288</v>
      </c>
      <c r="C10" s="33"/>
      <c r="D10" s="37">
        <f>IF(ISERROR(TER_ander_gas_kWh/1000),0,TER_ander_gas_kWh/1000)*0.902</f>
        <v>8337.8951630638312</v>
      </c>
      <c r="E10" s="33">
        <f>$C$30*'E Balans VL '!I14/100/3.6*1000000</f>
        <v>10.295355059553847</v>
      </c>
      <c r="F10" s="33">
        <f>$C$30*('E Balans VL '!L14+'E Balans VL '!N14)/100/3.6*1000000</f>
        <v>2259.9021261519597</v>
      </c>
      <c r="G10" s="34"/>
      <c r="H10" s="33"/>
      <c r="I10" s="33"/>
      <c r="J10" s="33">
        <f>$C$30*('E Balans VL '!D14+'E Balans VL '!E14)/100/3.6*1000000</f>
        <v>0.18748196404260925</v>
      </c>
      <c r="K10" s="33"/>
      <c r="L10" s="33"/>
      <c r="M10" s="33"/>
      <c r="N10" s="33">
        <f>$C$30*'E Balans VL '!Y14/100/3.6*1000000</f>
        <v>7334.5853075282885</v>
      </c>
      <c r="O10" s="33"/>
      <c r="P10" s="33"/>
      <c r="R10" s="32"/>
    </row>
    <row r="11" spans="1:18">
      <c r="A11" s="32" t="s">
        <v>55</v>
      </c>
      <c r="B11" s="37">
        <f t="shared" si="0"/>
        <v>516.34903877618501</v>
      </c>
      <c r="C11" s="33"/>
      <c r="D11" s="37">
        <f>IF(ISERROR(TER_onderwijs_gas_kWh/1000),0,TER_onderwijs_gas_kWh/1000)*0.902</f>
        <v>1181.0309569923293</v>
      </c>
      <c r="E11" s="33">
        <f>$C$31*'E Balans VL '!I11/100/3.6*1000000</f>
        <v>7.7908753359234622</v>
      </c>
      <c r="F11" s="33">
        <f>$C$31*('E Balans VL '!L11+'E Balans VL '!N11)/100/3.6*1000000</f>
        <v>90.472600514884689</v>
      </c>
      <c r="G11" s="34"/>
      <c r="H11" s="33"/>
      <c r="I11" s="33"/>
      <c r="J11" s="33">
        <f>$C$31*('E Balans VL '!D11+'E Balans VL '!E11)/100/3.6*1000000</f>
        <v>0</v>
      </c>
      <c r="K11" s="33"/>
      <c r="L11" s="33"/>
      <c r="M11" s="33"/>
      <c r="N11" s="33">
        <f>$C$31*'E Balans VL '!Y11/100/3.6*1000000</f>
        <v>1.4530454494649914</v>
      </c>
      <c r="O11" s="33"/>
      <c r="P11" s="33"/>
      <c r="R11" s="32"/>
    </row>
    <row r="12" spans="1:18">
      <c r="A12" s="32" t="s">
        <v>260</v>
      </c>
      <c r="B12" s="37">
        <f t="shared" si="0"/>
        <v>16310.9145351519</v>
      </c>
      <c r="C12" s="33"/>
      <c r="D12" s="37">
        <f>IF(ISERROR(TER_rest_gas_kWh/1000),0,TER_rest_gas_kWh/1000)*0.902</f>
        <v>13516.367486020477</v>
      </c>
      <c r="E12" s="33">
        <f>$C$32*'E Balans VL '!I8/100/3.6*1000000</f>
        <v>202.54864902530835</v>
      </c>
      <c r="F12" s="33">
        <f>$C$32*('E Balans VL '!L8+'E Balans VL '!N8)/100/3.6*1000000</f>
        <v>2820.5599583406429</v>
      </c>
      <c r="G12" s="34"/>
      <c r="H12" s="33"/>
      <c r="I12" s="33"/>
      <c r="J12" s="33">
        <f>$C$32*('E Balans VL '!D8+'E Balans VL '!E8)/100/3.6*1000000</f>
        <v>3.9497291177560769E-2</v>
      </c>
      <c r="K12" s="33"/>
      <c r="L12" s="33"/>
      <c r="M12" s="33"/>
      <c r="N12" s="33">
        <f>$C$32*'E Balans VL '!Y8/100/3.6*1000000</f>
        <v>1579.3965315991782</v>
      </c>
      <c r="O12" s="33"/>
      <c r="P12" s="33"/>
      <c r="R12" s="32"/>
    </row>
    <row r="13" spans="1:18">
      <c r="A13" s="16" t="s">
        <v>488</v>
      </c>
      <c r="B13" s="247">
        <f ca="1">'lokale energieproductie'!N90+'lokale energieproductie'!N59</f>
        <v>23904</v>
      </c>
      <c r="C13" s="247">
        <f ca="1">'lokale energieproductie'!O90+'lokale energieproductie'!O59</f>
        <v>34148.571428571428</v>
      </c>
      <c r="D13" s="310">
        <f ca="1">('lokale energieproductie'!P59+'lokale energieproductie'!P90)*(-1)</f>
        <v>-3600.0000000000009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-64697.142857142855</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101784.95983027655</v>
      </c>
      <c r="C16" s="21">
        <f t="shared" ca="1" si="1"/>
        <v>34148.571428571428</v>
      </c>
      <c r="D16" s="21">
        <f t="shared" ca="1" si="1"/>
        <v>84441.455180993988</v>
      </c>
      <c r="E16" s="21">
        <f t="shared" si="1"/>
        <v>941.3293767965979</v>
      </c>
      <c r="F16" s="21">
        <f t="shared" ca="1" si="1"/>
        <v>13549.832618189885</v>
      </c>
      <c r="G16" s="21">
        <f t="shared" si="1"/>
        <v>0</v>
      </c>
      <c r="H16" s="21">
        <f t="shared" si="1"/>
        <v>0</v>
      </c>
      <c r="I16" s="21">
        <f t="shared" si="1"/>
        <v>0</v>
      </c>
      <c r="J16" s="21">
        <f t="shared" si="1"/>
        <v>0.22697925522017001</v>
      </c>
      <c r="K16" s="21">
        <f t="shared" si="1"/>
        <v>0</v>
      </c>
      <c r="L16" s="21">
        <f t="shared" ca="1" si="1"/>
        <v>0</v>
      </c>
      <c r="M16" s="21">
        <f t="shared" si="1"/>
        <v>0</v>
      </c>
      <c r="N16" s="21">
        <f t="shared" ca="1" si="1"/>
        <v>0</v>
      </c>
      <c r="O16" s="21">
        <f>O5</f>
        <v>14.070000000000002</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0.16574840701084964</v>
      </c>
      <c r="C18" s="25">
        <f ca="1">'EF ele_warmte'!B22</f>
        <v>8.987901055222916E-3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16870.694949531658</v>
      </c>
      <c r="C20" s="23">
        <f t="shared" ref="C20:P20" ca="1" si="2">C16*C18</f>
        <v>306.92398117721228</v>
      </c>
      <c r="D20" s="23">
        <f t="shared" ca="1" si="2"/>
        <v>17057.173946560786</v>
      </c>
      <c r="E20" s="23">
        <f t="shared" si="2"/>
        <v>213.68176853282773</v>
      </c>
      <c r="F20" s="23">
        <f t="shared" ca="1" si="2"/>
        <v>3617.8053090566996</v>
      </c>
      <c r="G20" s="23">
        <f t="shared" si="2"/>
        <v>0</v>
      </c>
      <c r="H20" s="23">
        <f t="shared" si="2"/>
        <v>0</v>
      </c>
      <c r="I20" s="23">
        <f t="shared" si="2"/>
        <v>0</v>
      </c>
      <c r="J20" s="23">
        <f t="shared" si="2"/>
        <v>8.0350656347940183E-2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13469.4887690266</v>
      </c>
      <c r="C26" s="39">
        <f>IF(ISERROR(B26*3.6/1000000/'E Balans VL '!Z12*100),0,B26*3.6/1000000/'E Balans VL '!Z12*100)</f>
        <v>0.28472365518348275</v>
      </c>
      <c r="D26" s="237" t="s">
        <v>754</v>
      </c>
      <c r="F26" s="6"/>
    </row>
    <row r="27" spans="1:18">
      <c r="A27" s="231" t="s">
        <v>53</v>
      </c>
      <c r="B27" s="33">
        <f>IF(ISERROR(TER_horeca_ele_kWh/1000),0,TER_horeca_ele_kWh/1000)</f>
        <v>7760.5648066935501</v>
      </c>
      <c r="C27" s="39">
        <f>IF(ISERROR(B27*3.6/1000000/'E Balans VL '!Z9*100),0,B27*3.6/1000000/'E Balans VL '!Z9*100)</f>
        <v>0.6117624312014811</v>
      </c>
      <c r="D27" s="237" t="s">
        <v>754</v>
      </c>
      <c r="F27" s="6"/>
    </row>
    <row r="28" spans="1:18">
      <c r="A28" s="171" t="s">
        <v>52</v>
      </c>
      <c r="B28" s="33">
        <f>IF(ISERROR(TER_handel_ele_kWh/1000),0,TER_handel_ele_kWh/1000)</f>
        <v>16779.159554630398</v>
      </c>
      <c r="C28" s="39">
        <f>IF(ISERROR(B28*3.6/1000000/'E Balans VL '!Z13*100),0,B28*3.6/1000000/'E Balans VL '!Z13*100)</f>
        <v>0.48699900567686344</v>
      </c>
      <c r="D28" s="237" t="s">
        <v>754</v>
      </c>
      <c r="F28" s="6"/>
    </row>
    <row r="29" spans="1:18">
      <c r="A29" s="231" t="s">
        <v>51</v>
      </c>
      <c r="B29" s="33">
        <f>IF(ISERROR(TER_gezond_ele_kWh/1000),0,TER_gezond_ele_kWh/1000)</f>
        <v>14407.181360421499</v>
      </c>
      <c r="C29" s="39">
        <f>IF(ISERROR(B29*3.6/1000000/'E Balans VL '!Z10*100),0,B29*3.6/1000000/'E Balans VL '!Z10*100)</f>
        <v>1.5173127694149127</v>
      </c>
      <c r="D29" s="237" t="s">
        <v>754</v>
      </c>
      <c r="F29" s="6"/>
    </row>
    <row r="30" spans="1:18">
      <c r="A30" s="231" t="s">
        <v>50</v>
      </c>
      <c r="B30" s="33">
        <f>IF(ISERROR(TER_ander_ele_kWh/1000),0,TER_ander_ele_kWh/1000)</f>
        <v>8637.3017655764288</v>
      </c>
      <c r="C30" s="39">
        <f>IF(ISERROR(B30*3.6/1000000/'E Balans VL '!Z14*100),0,B30*3.6/1000000/'E Balans VL '!Z14*100)</f>
        <v>0.63708925424152896</v>
      </c>
      <c r="D30" s="237" t="s">
        <v>754</v>
      </c>
      <c r="F30" s="6"/>
    </row>
    <row r="31" spans="1:18">
      <c r="A31" s="231" t="s">
        <v>55</v>
      </c>
      <c r="B31" s="33">
        <f>IF(ISERROR(TER_onderwijs_ele_kWh/1000),0,TER_onderwijs_ele_kWh/1000)</f>
        <v>516.34903877618501</v>
      </c>
      <c r="C31" s="39">
        <f>IF(ISERROR(B31*3.6/1000000/'E Balans VL '!Z11*100),0,B31*3.6/1000000/'E Balans VL '!Z11*100)</f>
        <v>0.12823365354153782</v>
      </c>
      <c r="D31" s="237" t="s">
        <v>754</v>
      </c>
    </row>
    <row r="32" spans="1:18">
      <c r="A32" s="231" t="s">
        <v>260</v>
      </c>
      <c r="B32" s="33">
        <f>IF(ISERROR(TER_rest_ele_kWh/1000),0,TER_rest_ele_kWh/1000)</f>
        <v>16310.9145351519</v>
      </c>
      <c r="C32" s="39">
        <f>IF(ISERROR(B32*3.6/1000000/'E Balans VL '!Z8*100),0,B32*3.6/1000000/'E Balans VL '!Z8*100)</f>
        <v>0.13421717608608907</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6</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162216.66817119403</v>
      </c>
      <c r="C5" s="17">
        <f>IF(ISERROR('Eigen informatie GS &amp; warmtenet'!B59),0,'Eigen informatie GS &amp; warmtenet'!B59)</f>
        <v>0</v>
      </c>
      <c r="D5" s="30">
        <f>SUM(D6:D15)</f>
        <v>240054.25680522108</v>
      </c>
      <c r="E5" s="17">
        <f>SUM(E6:E15)</f>
        <v>10837.594645854246</v>
      </c>
      <c r="F5" s="17">
        <f>SUM(F6:F15)</f>
        <v>36012.01719688125</v>
      </c>
      <c r="G5" s="18"/>
      <c r="H5" s="17"/>
      <c r="I5" s="17"/>
      <c r="J5" s="17">
        <f>SUM(J6:J15)</f>
        <v>412.41620598282805</v>
      </c>
      <c r="K5" s="17"/>
      <c r="L5" s="17"/>
      <c r="M5" s="17"/>
      <c r="N5" s="17">
        <f>SUM(N6:N15)</f>
        <v>32152.877937566569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5021.1716094052699</v>
      </c>
      <c r="C8" s="33"/>
      <c r="D8" s="37">
        <f>IF( ISERROR(IND_metaal_Gas_kWH/1000),0,IND_metaal_Gas_kWH/1000)*0.902</f>
        <v>24129.341070253675</v>
      </c>
      <c r="E8" s="33">
        <f>C30*'E Balans VL '!I18/100/3.6*1000000</f>
        <v>46.164823454822276</v>
      </c>
      <c r="F8" s="33">
        <f>C30*'E Balans VL '!L18/100/3.6*1000000+C30*'E Balans VL '!N18/100/3.6*1000000</f>
        <v>470.81872523744886</v>
      </c>
      <c r="G8" s="34"/>
      <c r="H8" s="33"/>
      <c r="I8" s="33"/>
      <c r="J8" s="40">
        <f>C30*'E Balans VL '!D18/100/3.6*1000000+C30*'E Balans VL '!E18/100/3.6*1000000</f>
        <v>0</v>
      </c>
      <c r="K8" s="33"/>
      <c r="L8" s="33"/>
      <c r="M8" s="33"/>
      <c r="N8" s="33">
        <f>C30*'E Balans VL '!Y18/100/3.6*1000000</f>
        <v>71.635310843681282</v>
      </c>
      <c r="O8" s="33"/>
      <c r="P8" s="33"/>
      <c r="R8" s="32"/>
    </row>
    <row r="9" spans="1:18">
      <c r="A9" s="6" t="s">
        <v>33</v>
      </c>
      <c r="B9" s="37">
        <f t="shared" si="0"/>
        <v>14937.963328125101</v>
      </c>
      <c r="C9" s="33"/>
      <c r="D9" s="37">
        <f>IF( ISERROR(IND_andere_gas_kWh/1000),0,IND_andere_gas_kWh/1000)*0.902</f>
        <v>2102.9910732383973</v>
      </c>
      <c r="E9" s="33">
        <f>C31*'E Balans VL '!I19/100/3.6*1000000</f>
        <v>4366.6574886563785</v>
      </c>
      <c r="F9" s="33">
        <f>C31*'E Balans VL '!L19/100/3.6*1000000+C31*'E Balans VL '!N19/100/3.6*1000000</f>
        <v>12003.784234077053</v>
      </c>
      <c r="G9" s="34"/>
      <c r="H9" s="33"/>
      <c r="I9" s="33"/>
      <c r="J9" s="40">
        <f>C31*'E Balans VL '!D19/100/3.6*1000000+C31*'E Balans VL '!E19/100/3.6*1000000</f>
        <v>0</v>
      </c>
      <c r="K9" s="33"/>
      <c r="L9" s="33"/>
      <c r="M9" s="33"/>
      <c r="N9" s="33">
        <f>C31*'E Balans VL '!Y19/100/3.6*1000000</f>
        <v>4935.7347549982369</v>
      </c>
      <c r="O9" s="33"/>
      <c r="P9" s="33"/>
      <c r="R9" s="32"/>
    </row>
    <row r="10" spans="1:18">
      <c r="A10" s="6" t="s">
        <v>41</v>
      </c>
      <c r="B10" s="37">
        <f t="shared" si="0"/>
        <v>7555.6101792973104</v>
      </c>
      <c r="C10" s="33"/>
      <c r="D10" s="37">
        <f>IF( ISERROR(IND_voed_gas_kWh/1000),0,IND_voed_gas_kWh/1000)*0.902</f>
        <v>13813.496097762612</v>
      </c>
      <c r="E10" s="33">
        <f>C32*'E Balans VL '!I20/100/3.6*1000000</f>
        <v>15.984010485426811</v>
      </c>
      <c r="F10" s="33">
        <f>C32*'E Balans VL '!L20/100/3.6*1000000+C32*'E Balans VL '!N20/100/3.6*1000000</f>
        <v>480.39341302919928</v>
      </c>
      <c r="G10" s="34"/>
      <c r="H10" s="33"/>
      <c r="I10" s="33"/>
      <c r="J10" s="40">
        <f>C32*'E Balans VL '!D20/100/3.6*1000000+C32*'E Balans VL '!E20/100/3.6*1000000</f>
        <v>0</v>
      </c>
      <c r="K10" s="33"/>
      <c r="L10" s="33"/>
      <c r="M10" s="33"/>
      <c r="N10" s="33">
        <f>C32*'E Balans VL '!Y20/100/3.6*1000000</f>
        <v>521.4116629546204</v>
      </c>
      <c r="O10" s="33"/>
      <c r="P10" s="33"/>
      <c r="R10" s="32"/>
    </row>
    <row r="11" spans="1:18">
      <c r="A11" s="6" t="s">
        <v>40</v>
      </c>
      <c r="B11" s="37">
        <f t="shared" si="0"/>
        <v>66.608848066076902</v>
      </c>
      <c r="C11" s="33"/>
      <c r="D11" s="37">
        <f>IF( ISERROR(IND_textiel_gas_kWh/1000),0,IND_textiel_gas_kWh/1000)*0.902</f>
        <v>0</v>
      </c>
      <c r="E11" s="33">
        <f>C33*'E Balans VL '!I21/100/3.6*1000000</f>
        <v>0.19782253596953703</v>
      </c>
      <c r="F11" s="33">
        <f>C33*'E Balans VL '!L21/100/3.6*1000000+C33*'E Balans VL '!N21/100/3.6*1000000</f>
        <v>6.7293223417560259</v>
      </c>
      <c r="G11" s="34"/>
      <c r="H11" s="33"/>
      <c r="I11" s="33"/>
      <c r="J11" s="40">
        <f>C33*'E Balans VL '!D21/100/3.6*1000000+C33*'E Balans VL '!E21/100/3.6*1000000</f>
        <v>0</v>
      </c>
      <c r="K11" s="33"/>
      <c r="L11" s="33"/>
      <c r="M11" s="33"/>
      <c r="N11" s="33">
        <f>C33*'E Balans VL '!Y21/100/3.6*1000000</f>
        <v>3.6736905432745899</v>
      </c>
      <c r="O11" s="33"/>
      <c r="P11" s="33"/>
      <c r="R11" s="32"/>
    </row>
    <row r="12" spans="1:18">
      <c r="A12" s="6" t="s">
        <v>37</v>
      </c>
      <c r="B12" s="37">
        <f t="shared" si="0"/>
        <v>96.025000000000006</v>
      </c>
      <c r="C12" s="33"/>
      <c r="D12" s="37">
        <f>IF( ISERROR(IND_min_gas_kWh/1000),0,IND_min_gas_kWh/1000)*0.902</f>
        <v>243.51435794973855</v>
      </c>
      <c r="E12" s="33">
        <f>C34*'E Balans VL '!I22/100/3.6*1000000</f>
        <v>2.7833693513018183</v>
      </c>
      <c r="F12" s="33">
        <f>C34*'E Balans VL '!L22/100/3.6*1000000+C34*'E Balans VL '!N22/100/3.6*1000000</f>
        <v>33.014480106683877</v>
      </c>
      <c r="G12" s="34"/>
      <c r="H12" s="33"/>
      <c r="I12" s="33"/>
      <c r="J12" s="40">
        <f>C34*'E Balans VL '!D22/100/3.6*1000000+C34*'E Balans VL '!E22/100/3.6*1000000</f>
        <v>0.1577980117021211</v>
      </c>
      <c r="K12" s="33"/>
      <c r="L12" s="33"/>
      <c r="M12" s="33"/>
      <c r="N12" s="33">
        <f>C34*'E Balans VL '!Y22/100/3.6*1000000</f>
        <v>21.021450506795606</v>
      </c>
      <c r="O12" s="33"/>
      <c r="P12" s="33"/>
      <c r="R12" s="32"/>
    </row>
    <row r="13" spans="1:18">
      <c r="A13" s="6" t="s">
        <v>39</v>
      </c>
      <c r="B13" s="37">
        <f t="shared" si="0"/>
        <v>116.53022239248</v>
      </c>
      <c r="C13" s="33"/>
      <c r="D13" s="37">
        <f>IF( ISERROR(IND_papier_gas_kWh/1000),0,IND_papier_gas_kWh/1000)*0.902</f>
        <v>151.84423962001429</v>
      </c>
      <c r="E13" s="33">
        <f>C35*'E Balans VL '!I23/100/3.6*1000000</f>
        <v>0.16532973531995335</v>
      </c>
      <c r="F13" s="33">
        <f>C35*'E Balans VL '!L23/100/3.6*1000000+C35*'E Balans VL '!N23/100/3.6*1000000</f>
        <v>2.8449409104881509</v>
      </c>
      <c r="G13" s="34"/>
      <c r="H13" s="33"/>
      <c r="I13" s="33"/>
      <c r="J13" s="40">
        <f>C35*'E Balans VL '!D23/100/3.6*1000000+C35*'E Balans VL '!E23/100/3.6*1000000</f>
        <v>1.8022492945393619E-2</v>
      </c>
      <c r="K13" s="33"/>
      <c r="L13" s="33"/>
      <c r="M13" s="33"/>
      <c r="N13" s="33">
        <f>C35*'E Balans VL '!Y23/100/3.6*1000000</f>
        <v>338.72577189660791</v>
      </c>
      <c r="O13" s="33"/>
      <c r="P13" s="33"/>
      <c r="R13" s="32"/>
    </row>
    <row r="14" spans="1:18">
      <c r="A14" s="6" t="s">
        <v>34</v>
      </c>
      <c r="B14" s="37">
        <f t="shared" si="0"/>
        <v>19271.2016773908</v>
      </c>
      <c r="C14" s="33"/>
      <c r="D14" s="37">
        <f>IF( ISERROR(IND_chemie_gas_kWh/1000),0,IND_chemie_gas_kWh/1000)*0.902</f>
        <v>3568.4558061227435</v>
      </c>
      <c r="E14" s="33">
        <f>C36*'E Balans VL '!I24/100/3.6*1000000</f>
        <v>47.440176968042245</v>
      </c>
      <c r="F14" s="33">
        <f>C36*'E Balans VL '!L24/100/3.6*1000000+C36*'E Balans VL '!N24/100/3.6*1000000</f>
        <v>206.35512372505892</v>
      </c>
      <c r="G14" s="34"/>
      <c r="H14" s="33"/>
      <c r="I14" s="33"/>
      <c r="J14" s="40">
        <f>C36*'E Balans VL '!D24/100/3.6*1000000+C36*'E Balans VL '!E24/100/3.6*1000000</f>
        <v>0</v>
      </c>
      <c r="K14" s="33"/>
      <c r="L14" s="33"/>
      <c r="M14" s="33"/>
      <c r="N14" s="33">
        <f>C36*'E Balans VL '!Y24/100/3.6*1000000</f>
        <v>430.37350486490124</v>
      </c>
      <c r="O14" s="33"/>
      <c r="P14" s="33"/>
      <c r="R14" s="32"/>
    </row>
    <row r="15" spans="1:18">
      <c r="A15" s="6" t="s">
        <v>270</v>
      </c>
      <c r="B15" s="37">
        <f t="shared" si="0"/>
        <v>115151.557306517</v>
      </c>
      <c r="C15" s="33"/>
      <c r="D15" s="37">
        <f>IF( ISERROR(IND_rest_gas_kWh/1000),0,IND_rest_gas_kWh/1000)*0.902</f>
        <v>196044.61416027392</v>
      </c>
      <c r="E15" s="33">
        <f>C37*'E Balans VL '!I15/100/3.6*1000000</f>
        <v>6358.2016246669837</v>
      </c>
      <c r="F15" s="33">
        <f>C37*'E Balans VL '!L15/100/3.6*1000000+C37*'E Balans VL '!N15/100/3.6*1000000</f>
        <v>22808.076957453559</v>
      </c>
      <c r="G15" s="34"/>
      <c r="H15" s="33"/>
      <c r="I15" s="33"/>
      <c r="J15" s="40">
        <f>C37*'E Balans VL '!D15/100/3.6*1000000+C37*'E Balans VL '!E15/100/3.6*1000000</f>
        <v>412.24038547818054</v>
      </c>
      <c r="K15" s="33"/>
      <c r="L15" s="33"/>
      <c r="M15" s="33"/>
      <c r="N15" s="33">
        <f>C37*'E Balans VL '!Y15/100/3.6*1000000</f>
        <v>25830.301790958452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162216.66817119403</v>
      </c>
      <c r="C18" s="21">
        <f>C5+C16</f>
        <v>0</v>
      </c>
      <c r="D18" s="21">
        <f>MAX((D5+D16),0)</f>
        <v>240054.25680522108</v>
      </c>
      <c r="E18" s="21">
        <f>MAX((E5+E16),0)</f>
        <v>10837.594645854246</v>
      </c>
      <c r="F18" s="21">
        <f>MAX((F5+F16),0)</f>
        <v>36012.01719688125</v>
      </c>
      <c r="G18" s="21"/>
      <c r="H18" s="21"/>
      <c r="I18" s="21"/>
      <c r="J18" s="21">
        <f>MAX((J5+J16),0)</f>
        <v>412.41620598282805</v>
      </c>
      <c r="K18" s="21"/>
      <c r="L18" s="21">
        <f>MAX((L5+L16),0)</f>
        <v>0</v>
      </c>
      <c r="M18" s="21"/>
      <c r="N18" s="21">
        <f>MAX((N5+N16),0)</f>
        <v>32152.877937566569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0.16574840701084964</v>
      </c>
      <c r="C20" s="25">
        <f ca="1">'EF ele_warmte'!B22</f>
        <v>8.987901055222916E-3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26887.154339983008</v>
      </c>
      <c r="C22" s="23">
        <f ca="1">C18*C20</f>
        <v>0</v>
      </c>
      <c r="D22" s="23">
        <f>D18*D20</f>
        <v>48490.959874654662</v>
      </c>
      <c r="E22" s="23">
        <f>E18*E20</f>
        <v>2460.133984608914</v>
      </c>
      <c r="F22" s="23">
        <f>F18*F20</f>
        <v>9615.2085915672942</v>
      </c>
      <c r="G22" s="23"/>
      <c r="H22" s="23"/>
      <c r="I22" s="23"/>
      <c r="J22" s="23">
        <f>J18*J20</f>
        <v>145.99533691792112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5021.1716094052699</v>
      </c>
      <c r="C30" s="39">
        <f>IF(ISERROR(B30*3.6/1000000/'E Balans VL '!Z18*100),0,B30*3.6/1000000/'E Balans VL '!Z18*100)</f>
        <v>0.28456267023109877</v>
      </c>
      <c r="D30" s="237" t="s">
        <v>754</v>
      </c>
    </row>
    <row r="31" spans="1:18">
      <c r="A31" s="6" t="s">
        <v>33</v>
      </c>
      <c r="B31" s="37">
        <f>IF( ISERROR(IND_ander_ele_kWh/1000),0,IND_ander_ele_kWh/1000)</f>
        <v>14937.963328125101</v>
      </c>
      <c r="C31" s="39">
        <f>IF(ISERROR(B31*3.6/1000000/'E Balans VL '!Z19*100),0,B31*3.6/1000000/'E Balans VL '!Z19*100)</f>
        <v>0.6775238159670387</v>
      </c>
      <c r="D31" s="237" t="s">
        <v>754</v>
      </c>
    </row>
    <row r="32" spans="1:18">
      <c r="A32" s="171" t="s">
        <v>41</v>
      </c>
      <c r="B32" s="37">
        <f>IF( ISERROR(IND_voed_ele_kWh/1000),0,IND_voed_ele_kWh/1000)</f>
        <v>7555.6101792973104</v>
      </c>
      <c r="C32" s="39">
        <f>IF(ISERROR(B32*3.6/1000000/'E Balans VL '!Z20*100),0,B32*3.6/1000000/'E Balans VL '!Z20*100)</f>
        <v>0.23372932241977834</v>
      </c>
      <c r="D32" s="237" t="s">
        <v>754</v>
      </c>
    </row>
    <row r="33" spans="1:5">
      <c r="A33" s="171" t="s">
        <v>40</v>
      </c>
      <c r="B33" s="37">
        <f>IF( ISERROR(IND_textiel_ele_kWh/1000),0,IND_textiel_ele_kWh/1000)</f>
        <v>66.608848066076902</v>
      </c>
      <c r="C33" s="39">
        <f>IF(ISERROR(B33*3.6/1000000/'E Balans VL '!Z21*100),0,B33*3.6/1000000/'E Balans VL '!Z21*100)</f>
        <v>8.6850533927691573E-3</v>
      </c>
      <c r="D33" s="237" t="s">
        <v>754</v>
      </c>
    </row>
    <row r="34" spans="1:5">
      <c r="A34" s="171" t="s">
        <v>37</v>
      </c>
      <c r="B34" s="37">
        <f>IF( ISERROR(IND_min_ele_kWh/1000),0,IND_min_ele_kWh/1000)</f>
        <v>96.025000000000006</v>
      </c>
      <c r="C34" s="39">
        <f>IF(ISERROR(B34*3.6/1000000/'E Balans VL '!Z22*100),0,B34*3.6/1000000/'E Balans VL '!Z22*100)</f>
        <v>1.7271901554504053E-2</v>
      </c>
      <c r="D34" s="237" t="s">
        <v>754</v>
      </c>
    </row>
    <row r="35" spans="1:5">
      <c r="A35" s="171" t="s">
        <v>39</v>
      </c>
      <c r="B35" s="37">
        <f>IF( ISERROR(IND_papier_ele_kWh/1000),0,IND_papier_ele_kWh/1000)</f>
        <v>116.53022239248</v>
      </c>
      <c r="C35" s="39">
        <f>IF(ISERROR(B35*3.6/1000000/'E Balans VL '!Z22*100),0,B35*3.6/1000000/'E Balans VL '!Z22*100)</f>
        <v>2.0960151307340569E-2</v>
      </c>
      <c r="D35" s="237" t="s">
        <v>754</v>
      </c>
    </row>
    <row r="36" spans="1:5">
      <c r="A36" s="171" t="s">
        <v>34</v>
      </c>
      <c r="B36" s="37">
        <f>IF( ISERROR(IND_chemie_ele_kWh/1000),0,IND_chemie_ele_kWh/1000)</f>
        <v>19271.2016773908</v>
      </c>
      <c r="C36" s="39">
        <f>IF(ISERROR(B36*3.6/1000000/'E Balans VL '!Z24*100),0,B36*3.6/1000000/'E Balans VL '!Z24*100)</f>
        <v>0.5876565031836557</v>
      </c>
      <c r="D36" s="237" t="s">
        <v>754</v>
      </c>
    </row>
    <row r="37" spans="1:5">
      <c r="A37" s="171" t="s">
        <v>270</v>
      </c>
      <c r="B37" s="37">
        <f>IF( ISERROR(IND_rest_ele_kWh/1000),0,IND_rest_ele_kWh/1000)</f>
        <v>115151.557306517</v>
      </c>
      <c r="C37" s="39">
        <f>IF(ISERROR(B37*3.6/1000000/'E Balans VL '!Z15*100),0,B37*3.6/1000000/'E Balans VL '!Z15*100)</f>
        <v>0.91271751121620082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10190.707757002378</v>
      </c>
      <c r="C5" s="17">
        <f>'Eigen informatie GS &amp; warmtenet'!B60</f>
        <v>0</v>
      </c>
      <c r="D5" s="30">
        <f>IF(ISERROR(SUM(LB_lb_gas_kWh,LB_rest_gas_kWh,onbekend_gas_kWh)/1000),0,SUM(LB_lb_gas_kWh,LB_rest_gas_kWh,onbekend_gas_kWh)/1000)*0.902</f>
        <v>6556.4335418719056</v>
      </c>
      <c r="E5" s="17">
        <f>B17*'E Balans VL '!I25/3.6*1000000/100</f>
        <v>299.53602699240099</v>
      </c>
      <c r="F5" s="17">
        <f>B17*('E Balans VL '!L25/3.6*1000000+'E Balans VL '!N25/3.6*1000000)/100</f>
        <v>42453.937838728467</v>
      </c>
      <c r="G5" s="18"/>
      <c r="H5" s="17"/>
      <c r="I5" s="17"/>
      <c r="J5" s="17">
        <f>('E Balans VL '!D25+'E Balans VL '!E25)/3.6*1000000*landbouw!B17/100</f>
        <v>1476.4147060354351</v>
      </c>
      <c r="K5" s="17"/>
      <c r="L5" s="17">
        <f>L6*(-1)</f>
        <v>0</v>
      </c>
      <c r="M5" s="17"/>
      <c r="N5" s="17">
        <f>N6*(-1)</f>
        <v>26889.642857142859</v>
      </c>
      <c r="O5" s="17"/>
      <c r="P5" s="17"/>
      <c r="R5" s="32"/>
    </row>
    <row r="6" spans="1:18">
      <c r="A6" s="16" t="s">
        <v>488</v>
      </c>
      <c r="B6" s="17" t="s">
        <v>211</v>
      </c>
      <c r="C6" s="17">
        <f>'lokale energieproductie'!O91+'lokale energieproductie'!O60</f>
        <v>13444.821428571429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-26889.642857142859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10190.707757002378</v>
      </c>
      <c r="C8" s="21">
        <f>C5+C6</f>
        <v>13444.821428571429</v>
      </c>
      <c r="D8" s="21">
        <f>MAX((D5+D6),0)</f>
        <v>6556.4335418719056</v>
      </c>
      <c r="E8" s="21">
        <f>MAX((E5+E6),0)</f>
        <v>299.53602699240099</v>
      </c>
      <c r="F8" s="21">
        <f>MAX((F5+F6),0)</f>
        <v>42453.937838728467</v>
      </c>
      <c r="G8" s="21"/>
      <c r="H8" s="21"/>
      <c r="I8" s="21"/>
      <c r="J8" s="21">
        <f>MAX((J5+J6),0)</f>
        <v>1476.4147060354351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0.16574840701084964</v>
      </c>
      <c r="C10" s="31">
        <f ca="1">'EF ele_warmte'!B22</f>
        <v>8.987901055222916E-3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1689.0935770362528</v>
      </c>
      <c r="C12" s="23">
        <f ca="1">C8*C10</f>
        <v>120.84072470514083</v>
      </c>
      <c r="D12" s="23">
        <f>D8*D10</f>
        <v>1324.3995754581251</v>
      </c>
      <c r="E12" s="23">
        <f>E8*E10</f>
        <v>67.994678127275023</v>
      </c>
      <c r="F12" s="23">
        <f>F8*F10</f>
        <v>11335.201402940502</v>
      </c>
      <c r="G12" s="23"/>
      <c r="H12" s="23"/>
      <c r="I12" s="23"/>
      <c r="J12" s="23">
        <f>J8*J10</f>
        <v>522.65080593654397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1.4460934030891672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1575.4287641260971</v>
      </c>
      <c r="C26" s="247">
        <f>B26*'GWP N2O_CH4'!B5</f>
        <v>33084.004046648042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937.64972825412087</v>
      </c>
      <c r="C27" s="247">
        <f>B27*'GWP N2O_CH4'!B5</f>
        <v>19690.64429333654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20.894713709990324</v>
      </c>
      <c r="C28" s="247">
        <f>B28*'GWP N2O_CH4'!B4</f>
        <v>6477.3612500970003</v>
      </c>
      <c r="D28" s="50"/>
    </row>
    <row r="29" spans="1:4">
      <c r="A29" s="41" t="s">
        <v>277</v>
      </c>
      <c r="B29" s="247">
        <f>B34*'ha_N2O bodem landbouw'!B4</f>
        <v>59.397355284552326</v>
      </c>
      <c r="C29" s="247">
        <f>B29*'GWP N2O_CH4'!B4</f>
        <v>18413.180138211221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1.3554271783542364E-2</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3.2721750619221524E-4</v>
      </c>
      <c r="C5" s="463" t="s">
        <v>211</v>
      </c>
      <c r="D5" s="448">
        <f>SUM(D6:D11)</f>
        <v>1.1137002729446678E-3</v>
      </c>
      <c r="E5" s="448">
        <f>SUM(E6:E11)</f>
        <v>1.5035309638305671E-3</v>
      </c>
      <c r="F5" s="461" t="s">
        <v>211</v>
      </c>
      <c r="G5" s="448">
        <f>SUM(G6:G11)</f>
        <v>0.64968673801937582</v>
      </c>
      <c r="H5" s="448">
        <f>SUM(H6:H11)</f>
        <v>0.12594470122696902</v>
      </c>
      <c r="I5" s="463" t="s">
        <v>211</v>
      </c>
      <c r="J5" s="463" t="s">
        <v>211</v>
      </c>
      <c r="K5" s="463" t="s">
        <v>211</v>
      </c>
      <c r="L5" s="463" t="s">
        <v>211</v>
      </c>
      <c r="M5" s="448">
        <f>SUM(M6:M11)</f>
        <v>4.1696465495847837E-2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2.5964600797085221E-4</v>
      </c>
      <c r="C6" s="449"/>
      <c r="D6" s="962">
        <f>vkm_2011_GW_PW*SUMIFS(TableVerdeelsleutelVkm[CNG],TableVerdeelsleutelVkm[Voertuigtype],"Lichte voertuigen")*SUMIFS(TableECFTransport[EnergieConsumptieFactor (PJ per km)],TableECFTransport[Index],CONCATENATE($A6,"_CNG_CNG"))</f>
        <v>7.787890006592835E-4</v>
      </c>
      <c r="E6" s="962">
        <f>vkm_2011_GW_PW*SUMIFS(TableVerdeelsleutelVkm[LPG],TableVerdeelsleutelVkm[Voertuigtype],"Lichte voertuigen")*SUMIFS(TableECFTransport[EnergieConsumptieFactor (PJ per km)],TableECFTransport[Index],CONCATENATE($A6,"_LPG_LPG"))</f>
        <v>1.063937642427442E-3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0.27508550267216508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8.8562794760102995E-2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1.8700271598070205E-2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0.22633848498853093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6.8971305376302303E-5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1.3226469505652608E-2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5.5980248043935668E-5</v>
      </c>
      <c r="C8" s="449"/>
      <c r="D8" s="451">
        <f>vkm_2011_NGW_PW*SUMIFS(TableVerdeelsleutelVkm[CNG],TableVerdeelsleutelVkm[Voertuigtype],"Lichte voertuigen")*SUMIFS(TableECFTransport[EnergieConsumptieFactor (PJ per km)],TableECFTransport[Index],CONCATENATE($A8,"_CNG_CNG"))</f>
        <v>2.9854339736159932E-4</v>
      </c>
      <c r="E8" s="451">
        <f>vkm_2011_NGW_PW*SUMIFS(TableVerdeelsleutelVkm[LPG],TableVerdeelsleutelVkm[Voertuigtype],"Lichte voertuigen")*SUMIFS(TableECFTransport[EnergieConsumptieFactor (PJ per km)],TableECFTransport[Index],CONCATENATE($A8,"_LPG_LPG"))</f>
        <v>3.7771831093304546E-4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9.1009383452091197E-2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3.2991902909902691E-2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6.2963395156934322E-3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2.9347311602104839E-2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8.4189671746448613E-6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1.7149438970781397E-3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1.1591250177427383E-5</v>
      </c>
      <c r="C10" s="449"/>
      <c r="D10" s="451">
        <f>vkm_2011_SW_PW*SUMIFS(TableVerdeelsleutelVkm[CNG],TableVerdeelsleutelVkm[Voertuigtype],"Lichte voertuigen")*SUMIFS(TableECFTransport[EnergieConsumptieFactor (PJ per km)],TableECFTransport[Index],CONCATENATE($A10,"_CNG_CNG"))</f>
        <v>3.6367874923784849E-5</v>
      </c>
      <c r="E10" s="451">
        <f>vkm_2011_SW_PW*SUMIFS(TableVerdeelsleutelVkm[LPG],TableVerdeelsleutelVkm[Voertuigtype],"Lichte voertuigen")*SUMIFS(TableECFTransport[EnergieConsumptieFactor (PJ per km)],TableECFTransport[Index],CONCATENATE($A10,"_LPG_LPG"))</f>
        <v>6.1875010470079732E-5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1.4262330103415315E-2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4.3081235305594788E-3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9.6113712761681711E-4</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1.3643725201068454E-2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4.4897538529142142E-6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7.9730385173663757E-4</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90.893751720059797</v>
      </c>
      <c r="C14" s="21"/>
      <c r="D14" s="21">
        <f t="shared" ref="D14:M14" si="0">((D5)*10^9/3600)+D12</f>
        <v>309.36118692907439</v>
      </c>
      <c r="E14" s="21">
        <f t="shared" si="0"/>
        <v>417.64748995293536</v>
      </c>
      <c r="F14" s="21"/>
      <c r="G14" s="21">
        <f t="shared" si="0"/>
        <v>180468.5383387155</v>
      </c>
      <c r="H14" s="21">
        <f t="shared" si="0"/>
        <v>34984.639229713619</v>
      </c>
      <c r="I14" s="21"/>
      <c r="J14" s="21"/>
      <c r="K14" s="21"/>
      <c r="L14" s="21"/>
      <c r="M14" s="21">
        <f t="shared" si="0"/>
        <v>11582.351526624399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0.16574840701084964</v>
      </c>
      <c r="C16" s="56">
        <f ca="1">'EF ele_warmte'!B22</f>
        <v>8.987901055222916E-3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15.065494554839585</v>
      </c>
      <c r="C18" s="23"/>
      <c r="D18" s="23">
        <f t="shared" ref="D18:M18" si="1">D14*D16</f>
        <v>62.490959759673032</v>
      </c>
      <c r="E18" s="23">
        <f t="shared" si="1"/>
        <v>94.805980219316325</v>
      </c>
      <c r="F18" s="23"/>
      <c r="G18" s="23">
        <f t="shared" si="1"/>
        <v>48185.099736437041</v>
      </c>
      <c r="H18" s="23">
        <f t="shared" si="1"/>
        <v>8711.1751681986916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1.239914238244514E-2</v>
      </c>
      <c r="H50" s="321">
        <f t="shared" si="2"/>
        <v>0</v>
      </c>
      <c r="I50" s="321">
        <f t="shared" si="2"/>
        <v>0</v>
      </c>
      <c r="J50" s="321">
        <f t="shared" si="2"/>
        <v>0</v>
      </c>
      <c r="K50" s="321">
        <f t="shared" si="2"/>
        <v>0</v>
      </c>
      <c r="L50" s="321">
        <f t="shared" si="2"/>
        <v>0</v>
      </c>
      <c r="M50" s="321">
        <f t="shared" si="2"/>
        <v>7.0421655036173342E-4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1.239914238244514E-2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7.0421655036173342E-4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3444.2062173458721</v>
      </c>
      <c r="H54" s="21">
        <f t="shared" si="3"/>
        <v>0</v>
      </c>
      <c r="I54" s="21">
        <f t="shared" si="3"/>
        <v>0</v>
      </c>
      <c r="J54" s="21">
        <f t="shared" si="3"/>
        <v>0</v>
      </c>
      <c r="K54" s="21">
        <f t="shared" si="3"/>
        <v>0</v>
      </c>
      <c r="L54" s="21">
        <f t="shared" si="3"/>
        <v>0</v>
      </c>
      <c r="M54" s="21">
        <f t="shared" si="3"/>
        <v>195.61570843381483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0.16574840701084964</v>
      </c>
      <c r="C56" s="56">
        <f ca="1">'EF ele_warmte'!B22</f>
        <v>8.987901055222916E-3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919.60306003134792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35652.718413957555</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15887.758986655121</v>
      </c>
      <c r="C6" s="1263"/>
      <c r="D6" s="1248"/>
      <c r="E6" s="1248"/>
      <c r="F6" s="1266"/>
      <c r="G6" s="1269"/>
      <c r="H6" s="1260"/>
      <c r="I6" s="1248"/>
      <c r="J6" s="1248"/>
      <c r="K6" s="1248"/>
      <c r="L6" s="1252"/>
      <c r="M6" s="575"/>
      <c r="N6" s="1226"/>
      <c r="O6" s="1227"/>
      <c r="Q6" s="573"/>
      <c r="R6" s="1214"/>
      <c r="S6" s="1214"/>
    </row>
    <row r="7" spans="1:19" s="563" customFormat="1">
      <c r="A7" s="576" t="s">
        <v>252</v>
      </c>
      <c r="B7" s="577">
        <f>N57</f>
        <v>33315.375</v>
      </c>
      <c r="C7" s="578">
        <f>B100</f>
        <v>1482.3529411764712</v>
      </c>
      <c r="D7" s="579"/>
      <c r="E7" s="579">
        <f>E100</f>
        <v>0</v>
      </c>
      <c r="F7" s="580"/>
      <c r="G7" s="581"/>
      <c r="H7" s="579">
        <f>I100</f>
        <v>0</v>
      </c>
      <c r="I7" s="579">
        <f>G100+F100</f>
        <v>0</v>
      </c>
      <c r="J7" s="579">
        <f>H100+D100+C100</f>
        <v>37712.205882352951</v>
      </c>
      <c r="K7" s="579"/>
      <c r="L7" s="582"/>
      <c r="M7" s="583">
        <f>C7*$C$11+D7*$D$11+E7*$E$11+F7*$F$11+G7*$G$11+H7*$H$11+I7*$I$11+J7*$J$11</f>
        <v>299.43529411764717</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84855.852400612668</v>
      </c>
      <c r="C9" s="594">
        <f t="shared" ref="C9:L9" si="0">SUM(C7:C8)</f>
        <v>1482.3529411764712</v>
      </c>
      <c r="D9" s="594">
        <f t="shared" si="0"/>
        <v>0</v>
      </c>
      <c r="E9" s="594">
        <f t="shared" si="0"/>
        <v>0</v>
      </c>
      <c r="F9" s="594">
        <f t="shared" si="0"/>
        <v>0</v>
      </c>
      <c r="G9" s="594">
        <f t="shared" si="0"/>
        <v>0</v>
      </c>
      <c r="H9" s="594">
        <f t="shared" si="0"/>
        <v>0</v>
      </c>
      <c r="I9" s="594">
        <f t="shared" si="0"/>
        <v>0</v>
      </c>
      <c r="J9" s="594">
        <f t="shared" si="0"/>
        <v>37712.205882352951</v>
      </c>
      <c r="K9" s="594">
        <f t="shared" si="0"/>
        <v>0</v>
      </c>
      <c r="L9" s="594">
        <f t="shared" si="0"/>
        <v>0</v>
      </c>
      <c r="M9" s="595">
        <f>SUM(M4:M8)</f>
        <v>299.43529411764717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47593.392857142855</v>
      </c>
      <c r="C16" s="610">
        <f>B101</f>
        <v>2117.6470588235302</v>
      </c>
      <c r="D16" s="611"/>
      <c r="E16" s="611">
        <f>E101</f>
        <v>0</v>
      </c>
      <c r="F16" s="612"/>
      <c r="G16" s="613"/>
      <c r="H16" s="610">
        <f>I101</f>
        <v>0</v>
      </c>
      <c r="I16" s="611">
        <f>G101+F101</f>
        <v>0</v>
      </c>
      <c r="J16" s="611">
        <f>H101+D101+C101</f>
        <v>53874.579831932781</v>
      </c>
      <c r="K16" s="611"/>
      <c r="L16" s="614"/>
      <c r="M16" s="615">
        <f>C16*$C$21+E16*$E$21+H16*$H$21+I16*$I$21+J16*$J$21+D16*$D$21+F16*$F$21+G16*$G$21+K16*$K$21+L16*$L$21</f>
        <v>427.7647058823531</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47593.392857142855</v>
      </c>
      <c r="C19" s="593">
        <f>SUM(C16:C18)</f>
        <v>2117.6470588235302</v>
      </c>
      <c r="D19" s="593">
        <f t="shared" ref="D19:M19" si="1">SUM(D16:D18)</f>
        <v>0</v>
      </c>
      <c r="E19" s="593">
        <f t="shared" si="1"/>
        <v>0</v>
      </c>
      <c r="F19" s="593">
        <f t="shared" si="1"/>
        <v>0</v>
      </c>
      <c r="G19" s="593">
        <f t="shared" si="1"/>
        <v>0</v>
      </c>
      <c r="H19" s="593">
        <f t="shared" si="1"/>
        <v>0</v>
      </c>
      <c r="I19" s="593">
        <f t="shared" si="1"/>
        <v>0</v>
      </c>
      <c r="J19" s="593">
        <f t="shared" si="1"/>
        <v>53874.579831932781</v>
      </c>
      <c r="K19" s="593">
        <f t="shared" si="1"/>
        <v>0</v>
      </c>
      <c r="L19" s="593">
        <f t="shared" si="1"/>
        <v>0</v>
      </c>
      <c r="M19" s="620">
        <f t="shared" si="1"/>
        <v>427.7647058823531</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33011</v>
      </c>
      <c r="C27" s="851">
        <v>8900</v>
      </c>
      <c r="D27" s="672" t="s">
        <v>844</v>
      </c>
      <c r="E27" s="671" t="s">
        <v>845</v>
      </c>
      <c r="F27" s="671" t="s">
        <v>846</v>
      </c>
      <c r="G27" s="671" t="s">
        <v>847</v>
      </c>
      <c r="H27" s="671" t="s">
        <v>848</v>
      </c>
      <c r="I27" s="671" t="s">
        <v>845</v>
      </c>
      <c r="J27" s="850">
        <v>40199</v>
      </c>
      <c r="K27" s="850">
        <v>39360</v>
      </c>
      <c r="L27" s="671" t="s">
        <v>849</v>
      </c>
      <c r="M27" s="671">
        <v>2085</v>
      </c>
      <c r="N27" s="671">
        <v>9382.5</v>
      </c>
      <c r="O27" s="671">
        <v>13403.571428571429</v>
      </c>
      <c r="P27" s="671">
        <v>0</v>
      </c>
      <c r="Q27" s="671">
        <v>26807.142857142859</v>
      </c>
      <c r="R27" s="671">
        <v>0</v>
      </c>
      <c r="S27" s="671">
        <v>0</v>
      </c>
      <c r="T27" s="671">
        <v>0</v>
      </c>
      <c r="U27" s="671">
        <v>0</v>
      </c>
      <c r="V27" s="671">
        <v>0</v>
      </c>
      <c r="W27" s="671">
        <v>0</v>
      </c>
      <c r="X27" s="671">
        <v>10</v>
      </c>
      <c r="Y27" s="671" t="s">
        <v>112</v>
      </c>
      <c r="Z27" s="673" t="s">
        <v>112</v>
      </c>
    </row>
    <row r="28" spans="1:26" s="625" customFormat="1" ht="38.25">
      <c r="A28" s="624"/>
      <c r="B28" s="851">
        <v>33011</v>
      </c>
      <c r="C28" s="851">
        <v>8900</v>
      </c>
      <c r="D28" s="672" t="s">
        <v>850</v>
      </c>
      <c r="E28" s="671" t="s">
        <v>851</v>
      </c>
      <c r="F28" s="671" t="s">
        <v>852</v>
      </c>
      <c r="G28" s="671" t="s">
        <v>847</v>
      </c>
      <c r="H28" s="671" t="s">
        <v>848</v>
      </c>
      <c r="I28" s="671" t="s">
        <v>851</v>
      </c>
      <c r="J28" s="850">
        <v>41484</v>
      </c>
      <c r="K28" s="850">
        <v>41484</v>
      </c>
      <c r="L28" s="671" t="s">
        <v>849</v>
      </c>
      <c r="M28" s="671">
        <v>280</v>
      </c>
      <c r="N28" s="671">
        <v>1260.0000000000002</v>
      </c>
      <c r="O28" s="671">
        <v>1800.0000000000005</v>
      </c>
      <c r="P28" s="671">
        <v>3600.0000000000009</v>
      </c>
      <c r="Q28" s="671">
        <v>0</v>
      </c>
      <c r="R28" s="671">
        <v>0</v>
      </c>
      <c r="S28" s="671">
        <v>0</v>
      </c>
      <c r="T28" s="671">
        <v>0</v>
      </c>
      <c r="U28" s="671">
        <v>0</v>
      </c>
      <c r="V28" s="671">
        <v>0</v>
      </c>
      <c r="W28" s="671">
        <v>0</v>
      </c>
      <c r="X28" s="671">
        <v>1501</v>
      </c>
      <c r="Y28" s="671" t="s">
        <v>51</v>
      </c>
      <c r="Z28" s="673" t="s">
        <v>156</v>
      </c>
    </row>
    <row r="29" spans="1:26" s="625" customFormat="1" ht="63.75">
      <c r="A29" s="624"/>
      <c r="B29" s="851">
        <v>33011</v>
      </c>
      <c r="C29" s="851">
        <v>8900</v>
      </c>
      <c r="D29" s="672" t="s">
        <v>853</v>
      </c>
      <c r="E29" s="671" t="s">
        <v>854</v>
      </c>
      <c r="F29" s="671" t="s">
        <v>855</v>
      </c>
      <c r="G29" s="671" t="s">
        <v>847</v>
      </c>
      <c r="H29" s="671" t="s">
        <v>848</v>
      </c>
      <c r="I29" s="671" t="s">
        <v>856</v>
      </c>
      <c r="J29" s="850">
        <v>41487</v>
      </c>
      <c r="K29" s="850">
        <v>41487</v>
      </c>
      <c r="L29" s="671" t="s">
        <v>849</v>
      </c>
      <c r="M29" s="671">
        <v>3192</v>
      </c>
      <c r="N29" s="671">
        <v>14364</v>
      </c>
      <c r="O29" s="671">
        <v>20520</v>
      </c>
      <c r="P29" s="671">
        <v>0</v>
      </c>
      <c r="Q29" s="671">
        <v>41040</v>
      </c>
      <c r="R29" s="671">
        <v>0</v>
      </c>
      <c r="S29" s="671">
        <v>0</v>
      </c>
      <c r="T29" s="671">
        <v>0</v>
      </c>
      <c r="U29" s="671">
        <v>0</v>
      </c>
      <c r="V29" s="671">
        <v>0</v>
      </c>
      <c r="W29" s="671">
        <v>0</v>
      </c>
      <c r="X29" s="671">
        <v>1600</v>
      </c>
      <c r="Y29" s="671" t="s">
        <v>50</v>
      </c>
      <c r="Z29" s="673" t="s">
        <v>156</v>
      </c>
    </row>
    <row r="30" spans="1:26" s="625" customFormat="1" ht="38.25">
      <c r="A30" s="624"/>
      <c r="B30" s="851">
        <v>33011</v>
      </c>
      <c r="C30" s="851">
        <v>8900</v>
      </c>
      <c r="D30" s="672" t="s">
        <v>857</v>
      </c>
      <c r="E30" s="671"/>
      <c r="F30" s="671" t="s">
        <v>858</v>
      </c>
      <c r="G30" s="671" t="s">
        <v>859</v>
      </c>
      <c r="H30" s="671" t="s">
        <v>848</v>
      </c>
      <c r="I30" s="671" t="s">
        <v>860</v>
      </c>
      <c r="J30" s="850">
        <v>42516</v>
      </c>
      <c r="K30" s="850">
        <v>42513</v>
      </c>
      <c r="L30" s="671" t="s">
        <v>861</v>
      </c>
      <c r="M30" s="671">
        <v>11</v>
      </c>
      <c r="N30" s="671">
        <v>28.875</v>
      </c>
      <c r="O30" s="671">
        <v>41.25</v>
      </c>
      <c r="P30" s="671">
        <v>0</v>
      </c>
      <c r="Q30" s="671">
        <v>82.5</v>
      </c>
      <c r="R30" s="671">
        <v>0</v>
      </c>
      <c r="S30" s="671">
        <v>0</v>
      </c>
      <c r="T30" s="671">
        <v>0</v>
      </c>
      <c r="U30" s="671">
        <v>0</v>
      </c>
      <c r="V30" s="671">
        <v>0</v>
      </c>
      <c r="W30" s="671">
        <v>0</v>
      </c>
      <c r="X30" s="671">
        <v>11</v>
      </c>
      <c r="Y30" s="671" t="s">
        <v>112</v>
      </c>
      <c r="Z30" s="673" t="s">
        <v>112</v>
      </c>
    </row>
    <row r="31" spans="1:26" s="625" customFormat="1" ht="63.75">
      <c r="A31" s="624"/>
      <c r="B31" s="851">
        <v>33011</v>
      </c>
      <c r="C31" s="851">
        <v>8900</v>
      </c>
      <c r="D31" s="672" t="s">
        <v>862</v>
      </c>
      <c r="E31" s="671"/>
      <c r="F31" s="671" t="s">
        <v>863</v>
      </c>
      <c r="G31" s="671" t="s">
        <v>864</v>
      </c>
      <c r="H31" s="671" t="s">
        <v>848</v>
      </c>
      <c r="I31" s="671" t="s">
        <v>865</v>
      </c>
      <c r="J31" s="850">
        <v>37824</v>
      </c>
      <c r="K31" s="850">
        <v>42417</v>
      </c>
      <c r="L31" s="671" t="s">
        <v>861</v>
      </c>
      <c r="M31" s="671">
        <v>600</v>
      </c>
      <c r="N31" s="671">
        <v>2250</v>
      </c>
      <c r="O31" s="671">
        <v>3214.2857142857142</v>
      </c>
      <c r="P31" s="671">
        <v>0</v>
      </c>
      <c r="Q31" s="671">
        <v>6428.5714285714294</v>
      </c>
      <c r="R31" s="671">
        <v>0</v>
      </c>
      <c r="S31" s="671">
        <v>0</v>
      </c>
      <c r="T31" s="671">
        <v>0</v>
      </c>
      <c r="U31" s="671">
        <v>0</v>
      </c>
      <c r="V31" s="671">
        <v>0</v>
      </c>
      <c r="W31" s="671">
        <v>0</v>
      </c>
      <c r="X31" s="671">
        <v>1600</v>
      </c>
      <c r="Y31" s="671" t="s">
        <v>50</v>
      </c>
      <c r="Z31" s="673" t="s">
        <v>156</v>
      </c>
    </row>
    <row r="32" spans="1:26" s="625" customFormat="1" ht="63.75">
      <c r="A32" s="624"/>
      <c r="B32" s="851">
        <v>33011</v>
      </c>
      <c r="C32" s="851">
        <v>8900</v>
      </c>
      <c r="D32" s="672" t="s">
        <v>866</v>
      </c>
      <c r="E32" s="671" t="s">
        <v>867</v>
      </c>
      <c r="F32" s="671" t="s">
        <v>868</v>
      </c>
      <c r="G32" s="671" t="s">
        <v>847</v>
      </c>
      <c r="H32" s="671" t="s">
        <v>848</v>
      </c>
      <c r="I32" s="671" t="s">
        <v>867</v>
      </c>
      <c r="J32" s="850">
        <v>37824</v>
      </c>
      <c r="K32" s="850">
        <v>40350</v>
      </c>
      <c r="L32" s="671" t="s">
        <v>849</v>
      </c>
      <c r="M32" s="671">
        <v>1340</v>
      </c>
      <c r="N32" s="671">
        <v>6030</v>
      </c>
      <c r="O32" s="671">
        <v>8614.2857142857138</v>
      </c>
      <c r="P32" s="671">
        <v>0</v>
      </c>
      <c r="Q32" s="671">
        <v>17228.571428571431</v>
      </c>
      <c r="R32" s="671">
        <v>0</v>
      </c>
      <c r="S32" s="671">
        <v>0</v>
      </c>
      <c r="T32" s="671">
        <v>0</v>
      </c>
      <c r="U32" s="671">
        <v>0</v>
      </c>
      <c r="V32" s="671">
        <v>0</v>
      </c>
      <c r="W32" s="671">
        <v>0</v>
      </c>
      <c r="X32" s="671">
        <v>1600</v>
      </c>
      <c r="Y32" s="671" t="s">
        <v>50</v>
      </c>
      <c r="Z32" s="673" t="s">
        <v>156</v>
      </c>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7508</v>
      </c>
      <c r="N57" s="629">
        <f>SUM(N27:N56)</f>
        <v>33315.375</v>
      </c>
      <c r="O57" s="629">
        <f t="shared" ref="O57:W57" si="2">SUM(O27:O56)</f>
        <v>47593.392857142855</v>
      </c>
      <c r="P57" s="629">
        <f t="shared" si="2"/>
        <v>3600.0000000000009</v>
      </c>
      <c r="Q57" s="629">
        <f t="shared" si="2"/>
        <v>91586.785714285725</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5412</v>
      </c>
      <c r="N59" s="629">
        <f ca="1">SUMIF($Z$27:AB56,"tertiair",N27:N56)</f>
        <v>23904</v>
      </c>
      <c r="O59" s="629">
        <f ca="1">SUMIF($Z$27:AC56,"tertiair",O27:O56)</f>
        <v>34148.571428571428</v>
      </c>
      <c r="P59" s="629">
        <f ca="1">SUMIF($Z$27:AD56,"tertiair",P27:P56)</f>
        <v>3600.0000000000009</v>
      </c>
      <c r="Q59" s="629">
        <f ca="1">SUMIF($Z$27:AE56,"tertiair",Q27:Q56)</f>
        <v>64697.142857142855</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2096</v>
      </c>
      <c r="N60" s="634">
        <f t="shared" ref="N60:W60" si="4">SUMIF($Z$27:$Z$56,"landbouw",N27:N56)</f>
        <v>9411.375</v>
      </c>
      <c r="O60" s="634">
        <f t="shared" si="4"/>
        <v>13444.821428571429</v>
      </c>
      <c r="P60" s="634">
        <f t="shared" si="4"/>
        <v>0</v>
      </c>
      <c r="Q60" s="634">
        <f t="shared" si="4"/>
        <v>26889.642857142859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1482.3529411764712</v>
      </c>
      <c r="C100" s="663">
        <f t="shared" si="9"/>
        <v>37712.205882352951</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2117.6470588235302</v>
      </c>
      <c r="C101" s="666">
        <f t="shared" ref="C101:H101" si="10">$B$97*Q57</f>
        <v>53874.579831932781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104597.60583027655</v>
      </c>
      <c r="D10" s="718">
        <f ca="1">tertiair!C16</f>
        <v>34148.571428571428</v>
      </c>
      <c r="E10" s="718">
        <f ca="1">tertiair!D16</f>
        <v>84441.455180993988</v>
      </c>
      <c r="F10" s="718">
        <f>tertiair!E16</f>
        <v>941.3293767965979</v>
      </c>
      <c r="G10" s="718">
        <f ca="1">tertiair!F16</f>
        <v>13549.832618189885</v>
      </c>
      <c r="H10" s="718">
        <f>tertiair!G16</f>
        <v>0</v>
      </c>
      <c r="I10" s="718">
        <f>tertiair!H16</f>
        <v>0</v>
      </c>
      <c r="J10" s="718">
        <f>tertiair!I16</f>
        <v>0</v>
      </c>
      <c r="K10" s="718">
        <f>tertiair!J16</f>
        <v>0.22697925522017001</v>
      </c>
      <c r="L10" s="718">
        <f>tertiair!K16</f>
        <v>0</v>
      </c>
      <c r="M10" s="718">
        <f ca="1">tertiair!L16</f>
        <v>0</v>
      </c>
      <c r="N10" s="718">
        <f>tertiair!M16</f>
        <v>0</v>
      </c>
      <c r="O10" s="718">
        <f ca="1">tertiair!N16</f>
        <v>0</v>
      </c>
      <c r="P10" s="718">
        <f>tertiair!O16</f>
        <v>14.070000000000002</v>
      </c>
      <c r="Q10" s="719">
        <f>tertiair!P16</f>
        <v>114.4</v>
      </c>
      <c r="R10" s="721">
        <f ca="1">SUM(C10:Q10)</f>
        <v>237807.49141408369</v>
      </c>
      <c r="S10" s="67"/>
    </row>
    <row r="11" spans="1:19" s="474" customFormat="1">
      <c r="A11" s="870" t="s">
        <v>225</v>
      </c>
      <c r="B11" s="875"/>
      <c r="C11" s="718">
        <f>huishoudens!B8</f>
        <v>56898.26091301316</v>
      </c>
      <c r="D11" s="718">
        <f>huishoudens!C8</f>
        <v>0</v>
      </c>
      <c r="E11" s="718">
        <f>huishoudens!D8</f>
        <v>142418.68800816956</v>
      </c>
      <c r="F11" s="718">
        <f>huishoudens!E8</f>
        <v>12191.033151056976</v>
      </c>
      <c r="G11" s="718">
        <f>huishoudens!F8</f>
        <v>10565.009778393594</v>
      </c>
      <c r="H11" s="718">
        <f>huishoudens!G8</f>
        <v>0</v>
      </c>
      <c r="I11" s="718">
        <f>huishoudens!H8</f>
        <v>0</v>
      </c>
      <c r="J11" s="718">
        <f>huishoudens!I8</f>
        <v>0</v>
      </c>
      <c r="K11" s="718">
        <f>huishoudens!J8</f>
        <v>6061.2502057205274</v>
      </c>
      <c r="L11" s="718">
        <f>huishoudens!K8</f>
        <v>0</v>
      </c>
      <c r="M11" s="718">
        <f>huishoudens!L8</f>
        <v>0</v>
      </c>
      <c r="N11" s="718">
        <f>huishoudens!M8</f>
        <v>0</v>
      </c>
      <c r="O11" s="718">
        <f>huishoudens!N8</f>
        <v>34786.290354929828</v>
      </c>
      <c r="P11" s="718">
        <f>huishoudens!O8</f>
        <v>852.01666666666665</v>
      </c>
      <c r="Q11" s="719">
        <f>huishoudens!P8</f>
        <v>1029.5999999999999</v>
      </c>
      <c r="R11" s="721">
        <f>SUM(C11:Q11)</f>
        <v>264802.14907795028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162216.66817119403</v>
      </c>
      <c r="D13" s="718">
        <f>industrie!C18</f>
        <v>0</v>
      </c>
      <c r="E13" s="718">
        <f>industrie!D18</f>
        <v>240054.25680522108</v>
      </c>
      <c r="F13" s="718">
        <f>industrie!E18</f>
        <v>10837.594645854246</v>
      </c>
      <c r="G13" s="718">
        <f>industrie!F18</f>
        <v>36012.01719688125</v>
      </c>
      <c r="H13" s="718">
        <f>industrie!G18</f>
        <v>0</v>
      </c>
      <c r="I13" s="718">
        <f>industrie!H18</f>
        <v>0</v>
      </c>
      <c r="J13" s="718">
        <f>industrie!I18</f>
        <v>0</v>
      </c>
      <c r="K13" s="718">
        <f>industrie!J18</f>
        <v>412.41620598282805</v>
      </c>
      <c r="L13" s="718">
        <f>industrie!K18</f>
        <v>0</v>
      </c>
      <c r="M13" s="718">
        <f>industrie!L18</f>
        <v>0</v>
      </c>
      <c r="N13" s="718">
        <f>industrie!M18</f>
        <v>0</v>
      </c>
      <c r="O13" s="718">
        <f>industrie!N18</f>
        <v>32152.877937566569</v>
      </c>
      <c r="P13" s="718">
        <f>industrie!O18</f>
        <v>0</v>
      </c>
      <c r="Q13" s="719">
        <f>industrie!P18</f>
        <v>0</v>
      </c>
      <c r="R13" s="721">
        <f>SUM(C13:Q13)</f>
        <v>481685.83096270001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323712.53491448372</v>
      </c>
      <c r="D15" s="723">
        <f t="shared" ref="D15:Q15" ca="1" si="0">SUM(D9:D14)</f>
        <v>34148.571428571428</v>
      </c>
      <c r="E15" s="723">
        <f t="shared" ca="1" si="0"/>
        <v>466914.39999438461</v>
      </c>
      <c r="F15" s="723">
        <f t="shared" si="0"/>
        <v>23969.957173707819</v>
      </c>
      <c r="G15" s="723">
        <f t="shared" ca="1" si="0"/>
        <v>60126.859593464731</v>
      </c>
      <c r="H15" s="723">
        <f t="shared" si="0"/>
        <v>0</v>
      </c>
      <c r="I15" s="723">
        <f t="shared" si="0"/>
        <v>0</v>
      </c>
      <c r="J15" s="723">
        <f t="shared" si="0"/>
        <v>0</v>
      </c>
      <c r="K15" s="723">
        <f t="shared" si="0"/>
        <v>6473.8933909585758</v>
      </c>
      <c r="L15" s="723">
        <f t="shared" si="0"/>
        <v>0</v>
      </c>
      <c r="M15" s="723">
        <f t="shared" ca="1" si="0"/>
        <v>0</v>
      </c>
      <c r="N15" s="723">
        <f t="shared" si="0"/>
        <v>0</v>
      </c>
      <c r="O15" s="723">
        <f t="shared" ca="1" si="0"/>
        <v>66939.168292496397</v>
      </c>
      <c r="P15" s="723">
        <f t="shared" si="0"/>
        <v>866.0866666666667</v>
      </c>
      <c r="Q15" s="724">
        <f t="shared" si="0"/>
        <v>1144</v>
      </c>
      <c r="R15" s="725">
        <f ca="1">SUM(R9:R14)</f>
        <v>984295.47145473398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3444.2062173458721</v>
      </c>
      <c r="I18" s="718">
        <f>transport!H54</f>
        <v>0</v>
      </c>
      <c r="J18" s="718">
        <f>transport!I54</f>
        <v>0</v>
      </c>
      <c r="K18" s="718">
        <f>transport!J54</f>
        <v>0</v>
      </c>
      <c r="L18" s="718">
        <f>transport!K54</f>
        <v>0</v>
      </c>
      <c r="M18" s="718">
        <f>transport!L54</f>
        <v>0</v>
      </c>
      <c r="N18" s="718">
        <f>transport!M54</f>
        <v>195.61570843381483</v>
      </c>
      <c r="O18" s="718">
        <f>transport!N54</f>
        <v>0</v>
      </c>
      <c r="P18" s="718">
        <f>transport!O54</f>
        <v>0</v>
      </c>
      <c r="Q18" s="719">
        <f>transport!P54</f>
        <v>0</v>
      </c>
      <c r="R18" s="721">
        <f>SUM(C18:Q18)</f>
        <v>3639.8219257796868</v>
      </c>
      <c r="S18" s="67"/>
    </row>
    <row r="19" spans="1:19" s="474" customFormat="1" ht="15" thickBot="1">
      <c r="A19" s="870" t="s">
        <v>307</v>
      </c>
      <c r="B19" s="875"/>
      <c r="C19" s="727">
        <f>transport!B14</f>
        <v>90.893751720059797</v>
      </c>
      <c r="D19" s="727">
        <f>transport!C14</f>
        <v>0</v>
      </c>
      <c r="E19" s="727">
        <f>transport!D14</f>
        <v>309.36118692907439</v>
      </c>
      <c r="F19" s="727">
        <f>transport!E14</f>
        <v>417.64748995293536</v>
      </c>
      <c r="G19" s="727">
        <f>transport!F14</f>
        <v>0</v>
      </c>
      <c r="H19" s="727">
        <f>transport!G14</f>
        <v>180468.5383387155</v>
      </c>
      <c r="I19" s="727">
        <f>transport!H14</f>
        <v>34984.639229713619</v>
      </c>
      <c r="J19" s="727">
        <f>transport!I14</f>
        <v>0</v>
      </c>
      <c r="K19" s="727">
        <f>transport!J14</f>
        <v>0</v>
      </c>
      <c r="L19" s="727">
        <f>transport!K14</f>
        <v>0</v>
      </c>
      <c r="M19" s="727">
        <f>transport!L14</f>
        <v>0</v>
      </c>
      <c r="N19" s="727">
        <f>transport!M14</f>
        <v>11582.351526624399</v>
      </c>
      <c r="O19" s="727">
        <f>transport!N14</f>
        <v>0</v>
      </c>
      <c r="P19" s="727">
        <f>transport!O14</f>
        <v>0</v>
      </c>
      <c r="Q19" s="728">
        <f>transport!P14</f>
        <v>0</v>
      </c>
      <c r="R19" s="729">
        <f>SUM(C19:Q19)</f>
        <v>227853.4315236556</v>
      </c>
      <c r="S19" s="67"/>
    </row>
    <row r="20" spans="1:19" s="474" customFormat="1" ht="15.75" thickBot="1">
      <c r="A20" s="730" t="s">
        <v>230</v>
      </c>
      <c r="B20" s="878"/>
      <c r="C20" s="873">
        <f>SUM(C17:C19)</f>
        <v>90.893751720059797</v>
      </c>
      <c r="D20" s="731">
        <f t="shared" ref="D20:R20" si="1">SUM(D17:D19)</f>
        <v>0</v>
      </c>
      <c r="E20" s="731">
        <f t="shared" si="1"/>
        <v>309.36118692907439</v>
      </c>
      <c r="F20" s="731">
        <f t="shared" si="1"/>
        <v>417.64748995293536</v>
      </c>
      <c r="G20" s="731">
        <f t="shared" si="1"/>
        <v>0</v>
      </c>
      <c r="H20" s="731">
        <f t="shared" si="1"/>
        <v>183912.74455606137</v>
      </c>
      <c r="I20" s="731">
        <f t="shared" si="1"/>
        <v>34984.639229713619</v>
      </c>
      <c r="J20" s="731">
        <f t="shared" si="1"/>
        <v>0</v>
      </c>
      <c r="K20" s="731">
        <f t="shared" si="1"/>
        <v>0</v>
      </c>
      <c r="L20" s="731">
        <f t="shared" si="1"/>
        <v>0</v>
      </c>
      <c r="M20" s="731">
        <f t="shared" si="1"/>
        <v>0</v>
      </c>
      <c r="N20" s="731">
        <f t="shared" si="1"/>
        <v>11777.967235058215</v>
      </c>
      <c r="O20" s="731">
        <f t="shared" si="1"/>
        <v>0</v>
      </c>
      <c r="P20" s="731">
        <f t="shared" si="1"/>
        <v>0</v>
      </c>
      <c r="Q20" s="732">
        <f t="shared" si="1"/>
        <v>0</v>
      </c>
      <c r="R20" s="733">
        <f t="shared" si="1"/>
        <v>231493.25344943529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10190.707757002378</v>
      </c>
      <c r="D22" s="727">
        <f>+landbouw!C8</f>
        <v>13444.821428571429</v>
      </c>
      <c r="E22" s="727">
        <f>+landbouw!D8</f>
        <v>6556.4335418719056</v>
      </c>
      <c r="F22" s="727">
        <f>+landbouw!E8</f>
        <v>299.53602699240099</v>
      </c>
      <c r="G22" s="727">
        <f>+landbouw!F8</f>
        <v>42453.937838728467</v>
      </c>
      <c r="H22" s="727">
        <f>+landbouw!G8</f>
        <v>0</v>
      </c>
      <c r="I22" s="727">
        <f>+landbouw!H8</f>
        <v>0</v>
      </c>
      <c r="J22" s="727">
        <f>+landbouw!I8</f>
        <v>0</v>
      </c>
      <c r="K22" s="727">
        <f>+landbouw!J8</f>
        <v>1476.4147060354351</v>
      </c>
      <c r="L22" s="727">
        <f>+landbouw!K8</f>
        <v>0</v>
      </c>
      <c r="M22" s="727">
        <f>+landbouw!L8</f>
        <v>0</v>
      </c>
      <c r="N22" s="727">
        <f>+landbouw!M8</f>
        <v>0</v>
      </c>
      <c r="O22" s="727">
        <f>+landbouw!N8</f>
        <v>0</v>
      </c>
      <c r="P22" s="727">
        <f>+landbouw!O8</f>
        <v>0</v>
      </c>
      <c r="Q22" s="728">
        <f>+landbouw!P8</f>
        <v>0</v>
      </c>
      <c r="R22" s="729">
        <f>SUM(C22:Q22)</f>
        <v>74421.851299202011</v>
      </c>
      <c r="S22" s="67"/>
    </row>
    <row r="23" spans="1:19" s="474" customFormat="1" ht="17.25" thickTop="1" thickBot="1">
      <c r="A23" s="734" t="s">
        <v>116</v>
      </c>
      <c r="B23" s="864"/>
      <c r="C23" s="735">
        <f ca="1">C20+C15+C22</f>
        <v>333994.13642320619</v>
      </c>
      <c r="D23" s="735">
        <f t="shared" ref="D23:Q23" ca="1" si="2">D20+D15+D22</f>
        <v>47593.392857142855</v>
      </c>
      <c r="E23" s="735">
        <f t="shared" ca="1" si="2"/>
        <v>473780.19472318556</v>
      </c>
      <c r="F23" s="735">
        <f t="shared" si="2"/>
        <v>24687.140690653156</v>
      </c>
      <c r="G23" s="735">
        <f t="shared" ca="1" si="2"/>
        <v>102580.7974321932</v>
      </c>
      <c r="H23" s="735">
        <f t="shared" si="2"/>
        <v>183912.74455606137</v>
      </c>
      <c r="I23" s="735">
        <f t="shared" si="2"/>
        <v>34984.639229713619</v>
      </c>
      <c r="J23" s="735">
        <f t="shared" si="2"/>
        <v>0</v>
      </c>
      <c r="K23" s="735">
        <f t="shared" si="2"/>
        <v>7950.3080969940111</v>
      </c>
      <c r="L23" s="735">
        <f t="shared" si="2"/>
        <v>0</v>
      </c>
      <c r="M23" s="735">
        <f t="shared" ca="1" si="2"/>
        <v>0</v>
      </c>
      <c r="N23" s="735">
        <f t="shared" si="2"/>
        <v>11777.967235058215</v>
      </c>
      <c r="O23" s="735">
        <f t="shared" ca="1" si="2"/>
        <v>66939.168292496397</v>
      </c>
      <c r="P23" s="735">
        <f t="shared" si="2"/>
        <v>866.0866666666667</v>
      </c>
      <c r="Q23" s="736">
        <f t="shared" si="2"/>
        <v>1144</v>
      </c>
      <c r="R23" s="737">
        <f ca="1">R20+R15+R22</f>
        <v>1290210.5762033714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17336.886543517096</v>
      </c>
      <c r="D36" s="718">
        <f ca="1">tertiair!C20</f>
        <v>306.92398117721228</v>
      </c>
      <c r="E36" s="718">
        <f ca="1">tertiair!D20</f>
        <v>17057.173946560786</v>
      </c>
      <c r="F36" s="718">
        <f>tertiair!E20</f>
        <v>213.68176853282773</v>
      </c>
      <c r="G36" s="718">
        <f ca="1">tertiair!F20</f>
        <v>3617.8053090566996</v>
      </c>
      <c r="H36" s="718">
        <f>tertiair!G20</f>
        <v>0</v>
      </c>
      <c r="I36" s="718">
        <f>tertiair!H20</f>
        <v>0</v>
      </c>
      <c r="J36" s="718">
        <f>tertiair!I20</f>
        <v>0</v>
      </c>
      <c r="K36" s="718">
        <f>tertiair!J20</f>
        <v>8.0350656347940183E-2</v>
      </c>
      <c r="L36" s="718">
        <f>tertiair!K20</f>
        <v>0</v>
      </c>
      <c r="M36" s="718">
        <f ca="1">tertiair!L20</f>
        <v>0</v>
      </c>
      <c r="N36" s="718">
        <f>tertiair!M20</f>
        <v>0</v>
      </c>
      <c r="O36" s="718">
        <f ca="1">tertiair!N20</f>
        <v>0</v>
      </c>
      <c r="P36" s="718">
        <f>tertiair!O20</f>
        <v>0</v>
      </c>
      <c r="Q36" s="828">
        <f>tertiair!P20</f>
        <v>0</v>
      </c>
      <c r="R36" s="917">
        <f ca="1">SUM(C36:Q36)</f>
        <v>38532.55189950097</v>
      </c>
    </row>
    <row r="37" spans="1:18">
      <c r="A37" s="885" t="s">
        <v>225</v>
      </c>
      <c r="B37" s="892"/>
      <c r="C37" s="718">
        <f ca="1">huishoudens!B12</f>
        <v>9430.7961080196219</v>
      </c>
      <c r="D37" s="718">
        <f ca="1">huishoudens!C12</f>
        <v>0</v>
      </c>
      <c r="E37" s="718">
        <f>huishoudens!D12</f>
        <v>28768.574977650253</v>
      </c>
      <c r="F37" s="718">
        <f>huishoudens!E12</f>
        <v>2767.3645252899337</v>
      </c>
      <c r="G37" s="718">
        <f>huishoudens!F12</f>
        <v>2820.8576108310899</v>
      </c>
      <c r="H37" s="718">
        <f>huishoudens!G12</f>
        <v>0</v>
      </c>
      <c r="I37" s="718">
        <f>huishoudens!H12</f>
        <v>0</v>
      </c>
      <c r="J37" s="718">
        <f>huishoudens!I12</f>
        <v>0</v>
      </c>
      <c r="K37" s="718">
        <f>huishoudens!J12</f>
        <v>2145.6825728250665</v>
      </c>
      <c r="L37" s="718">
        <f>huishoudens!K12</f>
        <v>0</v>
      </c>
      <c r="M37" s="718">
        <f>huishoudens!L12</f>
        <v>0</v>
      </c>
      <c r="N37" s="718">
        <f>huishoudens!M12</f>
        <v>0</v>
      </c>
      <c r="O37" s="718">
        <f>huishoudens!N12</f>
        <v>0</v>
      </c>
      <c r="P37" s="718">
        <f>huishoudens!O12</f>
        <v>0</v>
      </c>
      <c r="Q37" s="828">
        <f>huishoudens!P12</f>
        <v>0</v>
      </c>
      <c r="R37" s="917">
        <f ca="1">SUM(C37:Q37)</f>
        <v>45933.275794615969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26887.154339983008</v>
      </c>
      <c r="D39" s="718">
        <f ca="1">industrie!C22</f>
        <v>0</v>
      </c>
      <c r="E39" s="718">
        <f>industrie!D22</f>
        <v>48490.959874654662</v>
      </c>
      <c r="F39" s="718">
        <f>industrie!E22</f>
        <v>2460.133984608914</v>
      </c>
      <c r="G39" s="718">
        <f>industrie!F22</f>
        <v>9615.2085915672942</v>
      </c>
      <c r="H39" s="718">
        <f>industrie!G22</f>
        <v>0</v>
      </c>
      <c r="I39" s="718">
        <f>industrie!H22</f>
        <v>0</v>
      </c>
      <c r="J39" s="718">
        <f>industrie!I22</f>
        <v>0</v>
      </c>
      <c r="K39" s="718">
        <f>industrie!J22</f>
        <v>145.99533691792112</v>
      </c>
      <c r="L39" s="718">
        <f>industrie!K22</f>
        <v>0</v>
      </c>
      <c r="M39" s="718">
        <f>industrie!L22</f>
        <v>0</v>
      </c>
      <c r="N39" s="718">
        <f>industrie!M22</f>
        <v>0</v>
      </c>
      <c r="O39" s="718">
        <f>industrie!N22</f>
        <v>0</v>
      </c>
      <c r="P39" s="718">
        <f>industrie!O22</f>
        <v>0</v>
      </c>
      <c r="Q39" s="828">
        <f>industrie!P22</f>
        <v>0</v>
      </c>
      <c r="R39" s="918">
        <f ca="1">SUM(C39:Q39)</f>
        <v>87599.452127731798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53654.836991519725</v>
      </c>
      <c r="D41" s="763">
        <f t="shared" ref="D41:R41" ca="1" si="4">SUM(D35:D40)</f>
        <v>306.92398117721228</v>
      </c>
      <c r="E41" s="763">
        <f t="shared" ca="1" si="4"/>
        <v>94316.7087988657</v>
      </c>
      <c r="F41" s="763">
        <f t="shared" si="4"/>
        <v>5441.1802784316751</v>
      </c>
      <c r="G41" s="763">
        <f t="shared" ca="1" si="4"/>
        <v>16053.871511455083</v>
      </c>
      <c r="H41" s="763">
        <f t="shared" si="4"/>
        <v>0</v>
      </c>
      <c r="I41" s="763">
        <f t="shared" si="4"/>
        <v>0</v>
      </c>
      <c r="J41" s="763">
        <f t="shared" si="4"/>
        <v>0</v>
      </c>
      <c r="K41" s="763">
        <f t="shared" si="4"/>
        <v>2291.7582603993355</v>
      </c>
      <c r="L41" s="763">
        <f t="shared" si="4"/>
        <v>0</v>
      </c>
      <c r="M41" s="763">
        <f t="shared" ca="1" si="4"/>
        <v>0</v>
      </c>
      <c r="N41" s="763">
        <f t="shared" si="4"/>
        <v>0</v>
      </c>
      <c r="O41" s="763">
        <f t="shared" ca="1" si="4"/>
        <v>0</v>
      </c>
      <c r="P41" s="763">
        <f t="shared" si="4"/>
        <v>0</v>
      </c>
      <c r="Q41" s="764">
        <f t="shared" si="4"/>
        <v>0</v>
      </c>
      <c r="R41" s="765">
        <f t="shared" ca="1" si="4"/>
        <v>172065.27982184873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919.60306003134792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919.60306003134792</v>
      </c>
    </row>
    <row r="45" spans="1:18" ht="15" thickBot="1">
      <c r="A45" s="888" t="s">
        <v>307</v>
      </c>
      <c r="B45" s="898"/>
      <c r="C45" s="727">
        <f ca="1">transport!B18</f>
        <v>15.065494554839585</v>
      </c>
      <c r="D45" s="727">
        <f>transport!C18</f>
        <v>0</v>
      </c>
      <c r="E45" s="727">
        <f>transport!D18</f>
        <v>62.490959759673032</v>
      </c>
      <c r="F45" s="727">
        <f>transport!E18</f>
        <v>94.805980219316325</v>
      </c>
      <c r="G45" s="727">
        <f>transport!F18</f>
        <v>0</v>
      </c>
      <c r="H45" s="727">
        <f>transport!G18</f>
        <v>48185.099736437041</v>
      </c>
      <c r="I45" s="727">
        <f>transport!H18</f>
        <v>8711.1751681986916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57068.637339169567</v>
      </c>
    </row>
    <row r="46" spans="1:18" ht="15.75" thickBot="1">
      <c r="A46" s="886" t="s">
        <v>230</v>
      </c>
      <c r="B46" s="899"/>
      <c r="C46" s="763">
        <f t="shared" ref="C46:R46" ca="1" si="5">SUM(C43:C45)</f>
        <v>15.065494554839585</v>
      </c>
      <c r="D46" s="763">
        <f t="shared" ca="1" si="5"/>
        <v>0</v>
      </c>
      <c r="E46" s="763">
        <f t="shared" si="5"/>
        <v>62.490959759673032</v>
      </c>
      <c r="F46" s="763">
        <f t="shared" si="5"/>
        <v>94.805980219316325</v>
      </c>
      <c r="G46" s="763">
        <f t="shared" si="5"/>
        <v>0</v>
      </c>
      <c r="H46" s="763">
        <f t="shared" si="5"/>
        <v>49104.702796468388</v>
      </c>
      <c r="I46" s="763">
        <f t="shared" si="5"/>
        <v>8711.1751681986916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57988.240399200913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1689.0935770362528</v>
      </c>
      <c r="D48" s="718">
        <f ca="1">+landbouw!C12</f>
        <v>120.84072470514083</v>
      </c>
      <c r="E48" s="718">
        <f>+landbouw!D12</f>
        <v>1324.3995754581251</v>
      </c>
      <c r="F48" s="718">
        <f>+landbouw!E12</f>
        <v>67.994678127275023</v>
      </c>
      <c r="G48" s="718">
        <f>+landbouw!F12</f>
        <v>11335.201402940502</v>
      </c>
      <c r="H48" s="718">
        <f>+landbouw!G12</f>
        <v>0</v>
      </c>
      <c r="I48" s="718">
        <f>+landbouw!H12</f>
        <v>0</v>
      </c>
      <c r="J48" s="718">
        <f>+landbouw!I12</f>
        <v>0</v>
      </c>
      <c r="K48" s="718">
        <f>+landbouw!J12</f>
        <v>522.65080593654397</v>
      </c>
      <c r="L48" s="718">
        <f>+landbouw!K12</f>
        <v>0</v>
      </c>
      <c r="M48" s="718">
        <f>+landbouw!L12</f>
        <v>0</v>
      </c>
      <c r="N48" s="718">
        <f>+landbouw!M12</f>
        <v>0</v>
      </c>
      <c r="O48" s="718">
        <f>+landbouw!N12</f>
        <v>0</v>
      </c>
      <c r="P48" s="718">
        <f>+landbouw!O12</f>
        <v>0</v>
      </c>
      <c r="Q48" s="719">
        <f>+landbouw!P12</f>
        <v>0</v>
      </c>
      <c r="R48" s="761">
        <f ca="1">SUM(C48:Q48)</f>
        <v>15060.18076420384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55358.996063110819</v>
      </c>
      <c r="D53" s="773">
        <f t="shared" ref="D53:Q53" ca="1" si="6">D41+D46+D48</f>
        <v>427.7647058823531</v>
      </c>
      <c r="E53" s="773">
        <f t="shared" ca="1" si="6"/>
        <v>95703.599334083498</v>
      </c>
      <c r="F53" s="773">
        <f t="shared" si="6"/>
        <v>5603.9809367782664</v>
      </c>
      <c r="G53" s="773">
        <f t="shared" ca="1" si="6"/>
        <v>27389.072914395583</v>
      </c>
      <c r="H53" s="773">
        <f t="shared" si="6"/>
        <v>49104.702796468388</v>
      </c>
      <c r="I53" s="773">
        <f t="shared" si="6"/>
        <v>8711.1751681986916</v>
      </c>
      <c r="J53" s="773">
        <f t="shared" si="6"/>
        <v>0</v>
      </c>
      <c r="K53" s="773">
        <f t="shared" si="6"/>
        <v>2814.4090663358793</v>
      </c>
      <c r="L53" s="773">
        <f t="shared" si="6"/>
        <v>0</v>
      </c>
      <c r="M53" s="773">
        <f t="shared" ca="1" si="6"/>
        <v>0</v>
      </c>
      <c r="N53" s="773">
        <f t="shared" si="6"/>
        <v>0</v>
      </c>
      <c r="O53" s="773">
        <f t="shared" ca="1" si="6"/>
        <v>0</v>
      </c>
      <c r="P53" s="773">
        <f>P41+P46+P48</f>
        <v>0</v>
      </c>
      <c r="Q53" s="774">
        <f t="shared" si="6"/>
        <v>0</v>
      </c>
      <c r="R53" s="775">
        <f ca="1">R41+R46+R48</f>
        <v>245113.70098525347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0.16574840701084964</v>
      </c>
      <c r="D55" s="836">
        <f t="shared" ca="1" si="7"/>
        <v>8.987901055222916E-3</v>
      </c>
      <c r="E55" s="836">
        <f t="shared" ca="1" si="7"/>
        <v>0.20200000000000004</v>
      </c>
      <c r="F55" s="836">
        <f t="shared" si="7"/>
        <v>0.22700000000000001</v>
      </c>
      <c r="G55" s="836">
        <f t="shared" ca="1" si="7"/>
        <v>0.26700000000000002</v>
      </c>
      <c r="H55" s="836">
        <f t="shared" si="7"/>
        <v>0.26700000000000002</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35652.718413957555</v>
      </c>
      <c r="C64" s="795">
        <f>'lokale energieproductie'!B4</f>
        <v>35652.718413957555</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15887.758986655121</v>
      </c>
      <c r="C66" s="795">
        <f>'lokale energieproductie'!B6</f>
        <v>15887.758986655121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33315.375</v>
      </c>
      <c r="C67" s="794">
        <f>B67*IFERROR(SUM(J67:L67)/SUM(D67:M67),0)</f>
        <v>32055.375</v>
      </c>
      <c r="D67" s="826">
        <f>'lokale energieproductie'!C7</f>
        <v>1482.3529411764712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37712.205882352951</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299.43529411764717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84855.852400612668</v>
      </c>
      <c r="C69" s="803">
        <f>SUM(C64:C68)</f>
        <v>83595.852400612668</v>
      </c>
      <c r="D69" s="804">
        <f t="shared" ref="D69:M69" si="8">SUM(D67:D68)</f>
        <v>1482.3529411764712</v>
      </c>
      <c r="E69" s="804">
        <f t="shared" si="8"/>
        <v>0</v>
      </c>
      <c r="F69" s="804">
        <f t="shared" si="8"/>
        <v>0</v>
      </c>
      <c r="G69" s="804">
        <f t="shared" si="8"/>
        <v>0</v>
      </c>
      <c r="H69" s="804">
        <f t="shared" si="8"/>
        <v>0</v>
      </c>
      <c r="I69" s="804">
        <f t="shared" si="8"/>
        <v>0</v>
      </c>
      <c r="J69" s="804">
        <f t="shared" si="8"/>
        <v>0</v>
      </c>
      <c r="K69" s="804">
        <f t="shared" si="8"/>
        <v>37712.205882352951</v>
      </c>
      <c r="L69" s="804">
        <f t="shared" si="8"/>
        <v>0</v>
      </c>
      <c r="M69" s="930">
        <f t="shared" si="8"/>
        <v>0</v>
      </c>
      <c r="N69" s="805">
        <v>0</v>
      </c>
      <c r="O69" s="805">
        <f>SUM(O67:O68)</f>
        <v>299.43529411764717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47593.392857142855</v>
      </c>
      <c r="C78" s="817">
        <f>B78*IFERROR(SUM(I78:L78)/SUM(D78:M78),0)</f>
        <v>45793.392857142855</v>
      </c>
      <c r="D78" s="832">
        <f>'lokale energieproductie'!C16</f>
        <v>2117.6470588235302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53874.579831932781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427.7647058823531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47593.392857142855</v>
      </c>
      <c r="C81" s="803">
        <f>SUM(C78:C80)</f>
        <v>45793.392857142855</v>
      </c>
      <c r="D81" s="803">
        <f t="shared" ref="D81:P81" si="9">SUM(D78:D80)</f>
        <v>2117.6470588235302</v>
      </c>
      <c r="E81" s="803">
        <f t="shared" si="9"/>
        <v>0</v>
      </c>
      <c r="F81" s="803">
        <f t="shared" si="9"/>
        <v>0</v>
      </c>
      <c r="G81" s="803">
        <f t="shared" si="9"/>
        <v>0</v>
      </c>
      <c r="H81" s="803">
        <f t="shared" si="9"/>
        <v>0</v>
      </c>
      <c r="I81" s="803">
        <f t="shared" si="9"/>
        <v>0</v>
      </c>
      <c r="J81" s="803">
        <f t="shared" si="9"/>
        <v>0</v>
      </c>
      <c r="K81" s="803">
        <f t="shared" si="9"/>
        <v>53874.579831932781</v>
      </c>
      <c r="L81" s="803">
        <f t="shared" si="9"/>
        <v>0</v>
      </c>
      <c r="M81" s="803">
        <f t="shared" si="9"/>
        <v>0</v>
      </c>
      <c r="N81" s="803">
        <v>0</v>
      </c>
      <c r="O81" s="803">
        <f>SUM(O78:O80)</f>
        <v>427.7647058823531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56898.26091301316</v>
      </c>
      <c r="C4" s="478">
        <f>huishoudens!C8</f>
        <v>0</v>
      </c>
      <c r="D4" s="478">
        <f>huishoudens!D8</f>
        <v>142418.68800816956</v>
      </c>
      <c r="E4" s="478">
        <f>huishoudens!E8</f>
        <v>12191.033151056976</v>
      </c>
      <c r="F4" s="478">
        <f>huishoudens!F8</f>
        <v>10565.009778393594</v>
      </c>
      <c r="G4" s="478">
        <f>huishoudens!G8</f>
        <v>0</v>
      </c>
      <c r="H4" s="478">
        <f>huishoudens!H8</f>
        <v>0</v>
      </c>
      <c r="I4" s="478">
        <f>huishoudens!I8</f>
        <v>0</v>
      </c>
      <c r="J4" s="478">
        <f>huishoudens!J8</f>
        <v>6061.2502057205274</v>
      </c>
      <c r="K4" s="478">
        <f>huishoudens!K8</f>
        <v>0</v>
      </c>
      <c r="L4" s="478">
        <f>huishoudens!L8</f>
        <v>0</v>
      </c>
      <c r="M4" s="478">
        <f>huishoudens!M8</f>
        <v>0</v>
      </c>
      <c r="N4" s="478">
        <f>huishoudens!N8</f>
        <v>34786.290354929828</v>
      </c>
      <c r="O4" s="478">
        <f>huishoudens!O8</f>
        <v>852.01666666666665</v>
      </c>
      <c r="P4" s="479">
        <f>huishoudens!P8</f>
        <v>1029.5999999999999</v>
      </c>
      <c r="Q4" s="480">
        <f>SUM(B4:P4)</f>
        <v>264802.14907795028</v>
      </c>
    </row>
    <row r="5" spans="1:17">
      <c r="A5" s="477" t="s">
        <v>156</v>
      </c>
      <c r="B5" s="478">
        <f ca="1">tertiair!B16</f>
        <v>101784.95983027655</v>
      </c>
      <c r="C5" s="478">
        <f ca="1">tertiair!C16</f>
        <v>34148.571428571428</v>
      </c>
      <c r="D5" s="478">
        <f ca="1">tertiair!D16</f>
        <v>84441.455180993988</v>
      </c>
      <c r="E5" s="478">
        <f>tertiair!E16</f>
        <v>941.3293767965979</v>
      </c>
      <c r="F5" s="478">
        <f ca="1">tertiair!F16</f>
        <v>13549.832618189885</v>
      </c>
      <c r="G5" s="478">
        <f>tertiair!G16</f>
        <v>0</v>
      </c>
      <c r="H5" s="478">
        <f>tertiair!H16</f>
        <v>0</v>
      </c>
      <c r="I5" s="478">
        <f>tertiair!I16</f>
        <v>0</v>
      </c>
      <c r="J5" s="478">
        <f>tertiair!J16</f>
        <v>0.22697925522017001</v>
      </c>
      <c r="K5" s="478">
        <f>tertiair!K16</f>
        <v>0</v>
      </c>
      <c r="L5" s="478">
        <f ca="1">tertiair!L16</f>
        <v>0</v>
      </c>
      <c r="M5" s="478">
        <f>tertiair!M16</f>
        <v>0</v>
      </c>
      <c r="N5" s="478">
        <f ca="1">tertiair!N16</f>
        <v>0</v>
      </c>
      <c r="O5" s="478">
        <f>tertiair!O16</f>
        <v>14.070000000000002</v>
      </c>
      <c r="P5" s="479">
        <f>tertiair!P16</f>
        <v>114.4</v>
      </c>
      <c r="Q5" s="477">
        <f t="shared" ref="Q5:Q13" ca="1" si="0">SUM(B5:P5)</f>
        <v>234994.84541408368</v>
      </c>
    </row>
    <row r="6" spans="1:17">
      <c r="A6" s="477" t="s">
        <v>194</v>
      </c>
      <c r="B6" s="478">
        <f>'openbare verlichting'!B8</f>
        <v>2812.6460000000002</v>
      </c>
      <c r="C6" s="478"/>
      <c r="D6" s="478"/>
      <c r="E6" s="478"/>
      <c r="F6" s="478"/>
      <c r="G6" s="478"/>
      <c r="H6" s="478"/>
      <c r="I6" s="478"/>
      <c r="J6" s="478"/>
      <c r="K6" s="478"/>
      <c r="L6" s="478"/>
      <c r="M6" s="478"/>
      <c r="N6" s="478"/>
      <c r="O6" s="478"/>
      <c r="P6" s="479"/>
      <c r="Q6" s="477">
        <f t="shared" si="0"/>
        <v>2812.6460000000002</v>
      </c>
    </row>
    <row r="7" spans="1:17">
      <c r="A7" s="477" t="s">
        <v>112</v>
      </c>
      <c r="B7" s="478">
        <f>landbouw!B8</f>
        <v>10190.707757002378</v>
      </c>
      <c r="C7" s="478">
        <f>landbouw!C8</f>
        <v>13444.821428571429</v>
      </c>
      <c r="D7" s="478">
        <f>landbouw!D8</f>
        <v>6556.4335418719056</v>
      </c>
      <c r="E7" s="478">
        <f>landbouw!E8</f>
        <v>299.53602699240099</v>
      </c>
      <c r="F7" s="478">
        <f>landbouw!F8</f>
        <v>42453.937838728467</v>
      </c>
      <c r="G7" s="478">
        <f>landbouw!G8</f>
        <v>0</v>
      </c>
      <c r="H7" s="478">
        <f>landbouw!H8</f>
        <v>0</v>
      </c>
      <c r="I7" s="478">
        <f>landbouw!I8</f>
        <v>0</v>
      </c>
      <c r="J7" s="478">
        <f>landbouw!J8</f>
        <v>1476.4147060354351</v>
      </c>
      <c r="K7" s="478">
        <f>landbouw!K8</f>
        <v>0</v>
      </c>
      <c r="L7" s="478">
        <f>landbouw!L8</f>
        <v>0</v>
      </c>
      <c r="M7" s="478">
        <f>landbouw!M8</f>
        <v>0</v>
      </c>
      <c r="N7" s="478">
        <f>landbouw!N8</f>
        <v>0</v>
      </c>
      <c r="O7" s="478">
        <f>landbouw!O8</f>
        <v>0</v>
      </c>
      <c r="P7" s="479">
        <f>landbouw!P8</f>
        <v>0</v>
      </c>
      <c r="Q7" s="477">
        <f t="shared" si="0"/>
        <v>74421.851299202011</v>
      </c>
    </row>
    <row r="8" spans="1:17">
      <c r="A8" s="477" t="s">
        <v>635</v>
      </c>
      <c r="B8" s="478">
        <f>industrie!B18</f>
        <v>162216.66817119403</v>
      </c>
      <c r="C8" s="478">
        <f>industrie!C18</f>
        <v>0</v>
      </c>
      <c r="D8" s="478">
        <f>industrie!D18</f>
        <v>240054.25680522108</v>
      </c>
      <c r="E8" s="478">
        <f>industrie!E18</f>
        <v>10837.594645854246</v>
      </c>
      <c r="F8" s="478">
        <f>industrie!F18</f>
        <v>36012.01719688125</v>
      </c>
      <c r="G8" s="478">
        <f>industrie!G18</f>
        <v>0</v>
      </c>
      <c r="H8" s="478">
        <f>industrie!H18</f>
        <v>0</v>
      </c>
      <c r="I8" s="478">
        <f>industrie!I18</f>
        <v>0</v>
      </c>
      <c r="J8" s="478">
        <f>industrie!J18</f>
        <v>412.41620598282805</v>
      </c>
      <c r="K8" s="478">
        <f>industrie!K18</f>
        <v>0</v>
      </c>
      <c r="L8" s="478">
        <f>industrie!L18</f>
        <v>0</v>
      </c>
      <c r="M8" s="478">
        <f>industrie!M18</f>
        <v>0</v>
      </c>
      <c r="N8" s="478">
        <f>industrie!N18</f>
        <v>32152.877937566569</v>
      </c>
      <c r="O8" s="478">
        <f>industrie!O18</f>
        <v>0</v>
      </c>
      <c r="P8" s="479">
        <f>industrie!P18</f>
        <v>0</v>
      </c>
      <c r="Q8" s="477">
        <f t="shared" si="0"/>
        <v>481685.83096270001</v>
      </c>
    </row>
    <row r="9" spans="1:17" s="483" customFormat="1">
      <c r="A9" s="481" t="s">
        <v>561</v>
      </c>
      <c r="B9" s="482">
        <f>transport!B14</f>
        <v>90.893751720059797</v>
      </c>
      <c r="C9" s="482"/>
      <c r="D9" s="482">
        <f>transport!D14</f>
        <v>309.36118692907439</v>
      </c>
      <c r="E9" s="482">
        <f>transport!E14</f>
        <v>417.64748995293536</v>
      </c>
      <c r="F9" s="482"/>
      <c r="G9" s="482">
        <f>transport!G14</f>
        <v>180468.5383387155</v>
      </c>
      <c r="H9" s="482">
        <f>transport!H14</f>
        <v>34984.639229713619</v>
      </c>
      <c r="I9" s="482"/>
      <c r="J9" s="482"/>
      <c r="K9" s="482"/>
      <c r="L9" s="482"/>
      <c r="M9" s="482">
        <f>transport!M14</f>
        <v>11582.351526624399</v>
      </c>
      <c r="N9" s="482"/>
      <c r="O9" s="482"/>
      <c r="P9" s="482"/>
      <c r="Q9" s="481">
        <f>SUM(B9:P9)</f>
        <v>227853.4315236556</v>
      </c>
    </row>
    <row r="10" spans="1:17">
      <c r="A10" s="477" t="s">
        <v>551</v>
      </c>
      <c r="B10" s="478">
        <f>transport!B54</f>
        <v>0</v>
      </c>
      <c r="C10" s="478"/>
      <c r="D10" s="478">
        <f>transport!D54</f>
        <v>0</v>
      </c>
      <c r="E10" s="478"/>
      <c r="F10" s="478"/>
      <c r="G10" s="478">
        <f>transport!G54</f>
        <v>3444.2062173458721</v>
      </c>
      <c r="H10" s="478"/>
      <c r="I10" s="478"/>
      <c r="J10" s="478"/>
      <c r="K10" s="478"/>
      <c r="L10" s="478"/>
      <c r="M10" s="478">
        <f>transport!M54</f>
        <v>195.61570843381483</v>
      </c>
      <c r="N10" s="478"/>
      <c r="O10" s="478"/>
      <c r="P10" s="479"/>
      <c r="Q10" s="477">
        <f t="shared" si="0"/>
        <v>3639.8219257796868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333994.13642320619</v>
      </c>
      <c r="C14" s="488">
        <f t="shared" ref="C14:Q14" ca="1" si="1">SUM(C4:C13)</f>
        <v>47593.392857142855</v>
      </c>
      <c r="D14" s="488">
        <f t="shared" ca="1" si="1"/>
        <v>473780.19472318556</v>
      </c>
      <c r="E14" s="488">
        <f t="shared" si="1"/>
        <v>24687.140690653156</v>
      </c>
      <c r="F14" s="488">
        <f t="shared" ca="1" si="1"/>
        <v>102580.7974321932</v>
      </c>
      <c r="G14" s="488">
        <f t="shared" si="1"/>
        <v>183912.74455606137</v>
      </c>
      <c r="H14" s="488">
        <f t="shared" si="1"/>
        <v>34984.639229713619</v>
      </c>
      <c r="I14" s="488">
        <f t="shared" si="1"/>
        <v>0</v>
      </c>
      <c r="J14" s="488">
        <f t="shared" si="1"/>
        <v>7950.3080969940111</v>
      </c>
      <c r="K14" s="488">
        <f t="shared" si="1"/>
        <v>0</v>
      </c>
      <c r="L14" s="488">
        <f t="shared" ca="1" si="1"/>
        <v>0</v>
      </c>
      <c r="M14" s="488">
        <f t="shared" si="1"/>
        <v>11777.967235058215</v>
      </c>
      <c r="N14" s="488">
        <f t="shared" ca="1" si="1"/>
        <v>66939.168292496397</v>
      </c>
      <c r="O14" s="488">
        <f t="shared" si="1"/>
        <v>866.0866666666667</v>
      </c>
      <c r="P14" s="489">
        <f t="shared" si="1"/>
        <v>1144</v>
      </c>
      <c r="Q14" s="489">
        <f t="shared" ca="1" si="1"/>
        <v>1290210.5762033712</v>
      </c>
    </row>
    <row r="16" spans="1:17">
      <c r="A16" s="491" t="s">
        <v>556</v>
      </c>
      <c r="B16" s="841">
        <f ca="1">huishoudens!B10</f>
        <v>0.16574840701084964</v>
      </c>
      <c r="C16" s="841">
        <f ca="1">huishoudens!C10</f>
        <v>8.987901055222916E-3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9430.7961080196219</v>
      </c>
      <c r="C21" s="478">
        <f t="shared" ref="C21:C28" ca="1" si="3">C4*$C$16</f>
        <v>0</v>
      </c>
      <c r="D21" s="478">
        <f t="shared" ref="D21:D30" si="4">D4*$D$16</f>
        <v>28768.574977650253</v>
      </c>
      <c r="E21" s="478">
        <f t="shared" ref="E21:E30" si="5">E4*$E$16</f>
        <v>2767.3645252899337</v>
      </c>
      <c r="F21" s="478">
        <f t="shared" ref="F21:F28" si="6">F4*$F$16</f>
        <v>2820.8576108310899</v>
      </c>
      <c r="G21" s="478">
        <f t="shared" ref="G21:G30" si="7">G4*$G$16</f>
        <v>0</v>
      </c>
      <c r="H21" s="478">
        <f t="shared" ref="H21:H30" si="8">H4*$H$16</f>
        <v>0</v>
      </c>
      <c r="I21" s="478">
        <f t="shared" ref="I21:I28" si="9">I4*$I$16</f>
        <v>0</v>
      </c>
      <c r="J21" s="478">
        <f t="shared" ref="J21:J28" si="10">J4*$J$16</f>
        <v>2145.6825728250665</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45933.275794615969</v>
      </c>
    </row>
    <row r="22" spans="1:17">
      <c r="A22" s="477" t="s">
        <v>156</v>
      </c>
      <c r="B22" s="478">
        <f t="shared" ca="1" si="2"/>
        <v>16870.694949531658</v>
      </c>
      <c r="C22" s="478">
        <f t="shared" ca="1" si="3"/>
        <v>306.92398117721228</v>
      </c>
      <c r="D22" s="478">
        <f t="shared" ca="1" si="4"/>
        <v>17057.173946560786</v>
      </c>
      <c r="E22" s="478">
        <f t="shared" si="5"/>
        <v>213.68176853282773</v>
      </c>
      <c r="F22" s="478">
        <f t="shared" ca="1" si="6"/>
        <v>3617.8053090566996</v>
      </c>
      <c r="G22" s="478">
        <f t="shared" si="7"/>
        <v>0</v>
      </c>
      <c r="H22" s="478">
        <f t="shared" si="8"/>
        <v>0</v>
      </c>
      <c r="I22" s="478">
        <f t="shared" si="9"/>
        <v>0</v>
      </c>
      <c r="J22" s="478">
        <f t="shared" si="10"/>
        <v>8.0350656347940183E-2</v>
      </c>
      <c r="K22" s="478">
        <f t="shared" si="11"/>
        <v>0</v>
      </c>
      <c r="L22" s="478">
        <f t="shared" ca="1" si="12"/>
        <v>0</v>
      </c>
      <c r="M22" s="478">
        <f t="shared" si="13"/>
        <v>0</v>
      </c>
      <c r="N22" s="478">
        <f t="shared" ca="1" si="14"/>
        <v>0</v>
      </c>
      <c r="O22" s="478">
        <f t="shared" si="15"/>
        <v>0</v>
      </c>
      <c r="P22" s="479">
        <f t="shared" si="16"/>
        <v>0</v>
      </c>
      <c r="Q22" s="477">
        <f t="shared" ref="Q22:Q30" ca="1" si="17">SUM(B22:P22)</f>
        <v>38066.360305515533</v>
      </c>
    </row>
    <row r="23" spans="1:17">
      <c r="A23" s="477" t="s">
        <v>194</v>
      </c>
      <c r="B23" s="478">
        <f t="shared" ca="1" si="2"/>
        <v>466.1915939854382</v>
      </c>
      <c r="C23" s="478"/>
      <c r="D23" s="478"/>
      <c r="E23" s="478"/>
      <c r="F23" s="478"/>
      <c r="G23" s="478"/>
      <c r="H23" s="478"/>
      <c r="I23" s="478"/>
      <c r="J23" s="478"/>
      <c r="K23" s="478"/>
      <c r="L23" s="478"/>
      <c r="M23" s="478"/>
      <c r="N23" s="478"/>
      <c r="O23" s="478"/>
      <c r="P23" s="479"/>
      <c r="Q23" s="477">
        <f t="shared" ca="1" si="17"/>
        <v>466.1915939854382</v>
      </c>
    </row>
    <row r="24" spans="1:17">
      <c r="A24" s="477" t="s">
        <v>112</v>
      </c>
      <c r="B24" s="478">
        <f t="shared" ca="1" si="2"/>
        <v>1689.0935770362528</v>
      </c>
      <c r="C24" s="478">
        <f t="shared" ca="1" si="3"/>
        <v>120.84072470514083</v>
      </c>
      <c r="D24" s="478">
        <f t="shared" si="4"/>
        <v>1324.3995754581251</v>
      </c>
      <c r="E24" s="478">
        <f t="shared" si="5"/>
        <v>67.994678127275023</v>
      </c>
      <c r="F24" s="478">
        <f t="shared" si="6"/>
        <v>11335.201402940502</v>
      </c>
      <c r="G24" s="478">
        <f t="shared" si="7"/>
        <v>0</v>
      </c>
      <c r="H24" s="478">
        <f t="shared" si="8"/>
        <v>0</v>
      </c>
      <c r="I24" s="478">
        <f t="shared" si="9"/>
        <v>0</v>
      </c>
      <c r="J24" s="478">
        <f t="shared" si="10"/>
        <v>522.65080593654397</v>
      </c>
      <c r="K24" s="478">
        <f t="shared" si="11"/>
        <v>0</v>
      </c>
      <c r="L24" s="478">
        <f t="shared" si="12"/>
        <v>0</v>
      </c>
      <c r="M24" s="478">
        <f t="shared" si="13"/>
        <v>0</v>
      </c>
      <c r="N24" s="478">
        <f t="shared" si="14"/>
        <v>0</v>
      </c>
      <c r="O24" s="478">
        <f t="shared" si="15"/>
        <v>0</v>
      </c>
      <c r="P24" s="479">
        <f t="shared" si="16"/>
        <v>0</v>
      </c>
      <c r="Q24" s="477">
        <f t="shared" ca="1" si="17"/>
        <v>15060.18076420384</v>
      </c>
    </row>
    <row r="25" spans="1:17">
      <c r="A25" s="477" t="s">
        <v>635</v>
      </c>
      <c r="B25" s="478">
        <f t="shared" ca="1" si="2"/>
        <v>26887.154339983008</v>
      </c>
      <c r="C25" s="478">
        <f t="shared" ca="1" si="3"/>
        <v>0</v>
      </c>
      <c r="D25" s="478">
        <f t="shared" si="4"/>
        <v>48490.959874654662</v>
      </c>
      <c r="E25" s="478">
        <f t="shared" si="5"/>
        <v>2460.133984608914</v>
      </c>
      <c r="F25" s="478">
        <f t="shared" si="6"/>
        <v>9615.2085915672942</v>
      </c>
      <c r="G25" s="478">
        <f t="shared" si="7"/>
        <v>0</v>
      </c>
      <c r="H25" s="478">
        <f t="shared" si="8"/>
        <v>0</v>
      </c>
      <c r="I25" s="478">
        <f t="shared" si="9"/>
        <v>0</v>
      </c>
      <c r="J25" s="478">
        <f t="shared" si="10"/>
        <v>145.99533691792112</v>
      </c>
      <c r="K25" s="478">
        <f t="shared" si="11"/>
        <v>0</v>
      </c>
      <c r="L25" s="478">
        <f t="shared" si="12"/>
        <v>0</v>
      </c>
      <c r="M25" s="478">
        <f t="shared" si="13"/>
        <v>0</v>
      </c>
      <c r="N25" s="478">
        <f t="shared" si="14"/>
        <v>0</v>
      </c>
      <c r="O25" s="478">
        <f t="shared" si="15"/>
        <v>0</v>
      </c>
      <c r="P25" s="479">
        <f t="shared" si="16"/>
        <v>0</v>
      </c>
      <c r="Q25" s="477">
        <f t="shared" ca="1" si="17"/>
        <v>87599.452127731798</v>
      </c>
    </row>
    <row r="26" spans="1:17" s="483" customFormat="1">
      <c r="A26" s="481" t="s">
        <v>561</v>
      </c>
      <c r="B26" s="835">
        <f t="shared" ca="1" si="2"/>
        <v>15.065494554839585</v>
      </c>
      <c r="C26" s="482"/>
      <c r="D26" s="482">
        <f t="shared" si="4"/>
        <v>62.490959759673032</v>
      </c>
      <c r="E26" s="482">
        <f t="shared" si="5"/>
        <v>94.805980219316325</v>
      </c>
      <c r="F26" s="482"/>
      <c r="G26" s="482">
        <f t="shared" si="7"/>
        <v>48185.099736437041</v>
      </c>
      <c r="H26" s="482">
        <f t="shared" si="8"/>
        <v>8711.1751681986916</v>
      </c>
      <c r="I26" s="482"/>
      <c r="J26" s="482"/>
      <c r="K26" s="482"/>
      <c r="L26" s="482"/>
      <c r="M26" s="482">
        <f t="shared" si="13"/>
        <v>0</v>
      </c>
      <c r="N26" s="482"/>
      <c r="O26" s="482"/>
      <c r="P26" s="493"/>
      <c r="Q26" s="481">
        <f t="shared" ca="1" si="17"/>
        <v>57068.637339169567</v>
      </c>
    </row>
    <row r="27" spans="1:17">
      <c r="A27" s="477" t="s">
        <v>551</v>
      </c>
      <c r="B27" s="478">
        <f t="shared" ca="1" si="2"/>
        <v>0</v>
      </c>
      <c r="C27" s="478"/>
      <c r="D27" s="482">
        <f t="shared" si="4"/>
        <v>0</v>
      </c>
      <c r="E27" s="478"/>
      <c r="F27" s="478"/>
      <c r="G27" s="478">
        <f t="shared" si="7"/>
        <v>919.60306003134792</v>
      </c>
      <c r="H27" s="478"/>
      <c r="I27" s="478"/>
      <c r="J27" s="478"/>
      <c r="K27" s="478"/>
      <c r="L27" s="478"/>
      <c r="M27" s="478">
        <f t="shared" si="13"/>
        <v>0</v>
      </c>
      <c r="N27" s="478"/>
      <c r="O27" s="478"/>
      <c r="P27" s="479"/>
      <c r="Q27" s="477">
        <f t="shared" ca="1" si="17"/>
        <v>919.60306003134792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55358.996063110819</v>
      </c>
      <c r="C31" s="488">
        <f t="shared" ca="1" si="18"/>
        <v>427.7647058823531</v>
      </c>
      <c r="D31" s="488">
        <f t="shared" ca="1" si="18"/>
        <v>95703.599334083498</v>
      </c>
      <c r="E31" s="488">
        <f t="shared" si="18"/>
        <v>5603.9809367782673</v>
      </c>
      <c r="F31" s="488">
        <f t="shared" ca="1" si="18"/>
        <v>27389.072914395583</v>
      </c>
      <c r="G31" s="488">
        <f t="shared" si="18"/>
        <v>49104.702796468388</v>
      </c>
      <c r="H31" s="488">
        <f t="shared" si="18"/>
        <v>8711.1751681986916</v>
      </c>
      <c r="I31" s="488">
        <f t="shared" si="18"/>
        <v>0</v>
      </c>
      <c r="J31" s="488">
        <f t="shared" si="18"/>
        <v>2814.4090663358793</v>
      </c>
      <c r="K31" s="488">
        <f t="shared" si="18"/>
        <v>0</v>
      </c>
      <c r="L31" s="488">
        <f t="shared" ca="1" si="18"/>
        <v>0</v>
      </c>
      <c r="M31" s="488">
        <f t="shared" si="18"/>
        <v>0</v>
      </c>
      <c r="N31" s="488">
        <f t="shared" ca="1" si="18"/>
        <v>0</v>
      </c>
      <c r="O31" s="488">
        <f t="shared" si="18"/>
        <v>0</v>
      </c>
      <c r="P31" s="489">
        <f t="shared" si="18"/>
        <v>0</v>
      </c>
      <c r="Q31" s="489">
        <f t="shared" ca="1" si="18"/>
        <v>245113.70098525347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0.16574840701084964</v>
      </c>
      <c r="C17" s="528">
        <f ca="1">'EF ele_warmte'!B22</f>
        <v>8.987901055222916E-3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0.16574840701084964</v>
      </c>
      <c r="C17" s="528">
        <f ca="1">'EF ele_warmte'!B22</f>
        <v>8.987901055222916E-3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0.16574840701084964</v>
      </c>
      <c r="C29" s="529">
        <f ca="1">'EF ele_warmte'!B22</f>
        <v>8.987901055222916E-3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2019-01-01T21:19:21Z</dcterms:modified>
</cp:coreProperties>
</file>