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8" i="9"/>
  <c r="J15" i="16"/>
  <c r="O4" i="48"/>
  <c r="E16"/>
  <c r="I16"/>
  <c r="I21" s="1"/>
  <c r="F16"/>
  <c r="J16"/>
  <c r="K16"/>
  <c r="K25" s="1"/>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H21"/>
  <c r="K24"/>
  <c r="Q11" i="14"/>
  <c r="P12" i="13"/>
  <c r="Q37" i="14" s="1"/>
  <c r="P4" i="48"/>
  <c r="P21" s="1"/>
  <c r="D12" i="13"/>
  <c r="E37" i="14" s="1"/>
  <c r="D4" i="48"/>
  <c r="D21" s="1"/>
  <c r="E11" i="14"/>
  <c r="H28" i="48"/>
  <c r="G25"/>
  <c r="C22" i="13"/>
  <c r="C21"/>
  <c r="C20"/>
  <c r="O24" i="48"/>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4" i="48" l="1"/>
  <c r="E28"/>
  <c r="I20" i="15"/>
  <c r="J36" i="14" s="1"/>
  <c r="K28" i="48"/>
  <c r="D28"/>
  <c r="D30"/>
  <c r="I28"/>
  <c r="I31" s="1"/>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K31"/>
  <c r="M25"/>
  <c r="M24"/>
  <c r="C50" i="13"/>
  <c r="J5" s="1"/>
  <c r="J8" s="1"/>
  <c r="C5" i="48"/>
  <c r="H14" i="22" l="1"/>
  <c r="H18" i="14"/>
  <c r="O22" i="16"/>
  <c r="P39" i="14" s="1"/>
  <c r="M10" i="48"/>
  <c r="M27" s="1"/>
  <c r="F22" i="14"/>
  <c r="C13"/>
  <c r="E12" i="13"/>
  <c r="F37" i="14" s="1"/>
  <c r="D22" i="16"/>
  <c r="E39" i="14" s="1"/>
  <c r="N4" i="48"/>
  <c r="N21" s="1"/>
  <c r="D20" i="15"/>
  <c r="E36" i="14" s="1"/>
  <c r="E41" s="1"/>
  <c r="G14" i="22"/>
  <c r="G9" i="48" s="1"/>
  <c r="O8"/>
  <c r="O25" s="1"/>
  <c r="E7"/>
  <c r="E24" s="1"/>
  <c r="P31"/>
  <c r="N7"/>
  <c r="N24" s="1"/>
  <c r="J16" i="15"/>
  <c r="J5" i="48" s="1"/>
  <c r="J22" s="1"/>
  <c r="E16" i="15"/>
  <c r="D8" i="48"/>
  <c r="D25" s="1"/>
  <c r="P41" i="14"/>
  <c r="P53" s="1"/>
  <c r="O22"/>
  <c r="L7" i="48"/>
  <c r="L24" s="1"/>
  <c r="M22" i="14"/>
  <c r="P15"/>
  <c r="P23" s="1"/>
  <c r="P55"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R18"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C29" i="20" l="1"/>
  <c r="C17" i="19"/>
  <c r="C19" s="1"/>
  <c r="D35" i="14" s="1"/>
  <c r="C20" i="16"/>
  <c r="C22" s="1"/>
  <c r="D39" i="14" s="1"/>
  <c r="C18" i="15"/>
  <c r="C20" s="1"/>
  <c r="D36" i="14" s="1"/>
  <c r="C10" i="13"/>
  <c r="C16" i="22"/>
  <c r="C10" i="17"/>
  <c r="C12" s="1"/>
  <c r="D48" i="14" s="1"/>
  <c r="C56" i="22"/>
  <c r="C58" s="1"/>
  <c r="D44" i="14" s="1"/>
  <c r="D46" s="1"/>
  <c r="C17" i="49"/>
  <c r="Q5" i="48"/>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<sst xmlns="http://schemas.openxmlformats.org/spreadsheetml/2006/main" count="2124" uniqueCount="861">
  <si>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</si>
  <si>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</si>
  <si>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</si>
  <si>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</si>
  <si>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</si>
  <si>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</si>
  <si>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</si>
  <si>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</si>
  <si>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</si>
  <si>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</si>
  <si>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</si>
  <si>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</si>
  <si>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</si>
  <si>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</si>
  <si>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</si>
  <si>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</si>
  <si>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</si>
  <si>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</si>
  <si>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</si>
  <si>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</si>
  <si>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</si>
  <si>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</si>
  <si>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</si>
  <si>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</si>
  <si>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</si>
  <si>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</si>
  <si>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</si>
  <si>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</si>
  <si>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</si>
  <si>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</si>
  <si>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</si>
  <si>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</si>
  <si>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</si>
  <si>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</si>
  <si>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</si>
  <si>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</si>
  <si>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</si>
  <si>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</si>
  <si>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</si>
  <si>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</si>
  <si>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</si>
  <si>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</si>
  <si>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</si>
  <si>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</si>
  <si>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</si>
  <si>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</si>
  <si>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</si>
  <si>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</si>
  <si>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</si>
  <si>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</si>
  <si>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</si>
  <si>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</si>
  <si>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</si>
  <si>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</si>
  <si>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</si>
  <si>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</si>
  <si>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</si>
  <si>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</si>
  <si>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</si>
  <si>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</si>
  <si>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</si>
  <si>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</si>
  <si>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</si>
  <si>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</si>
  <si>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</si>
  <si>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</si>
  <si>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</si>
  <si>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</si>
  <si>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</si>
  <si>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</si>
  <si>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</si>
  <si>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</si>
  <si>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</si>
  <si>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</si>
  <si>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</si>
  <si>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</si>
  <si>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</si>
  <si>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</si>
  <si>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</si>
  <si>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</si>
  <si>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</si>
  <si>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</si>
  <si>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</si>
  <si>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</si>
  <si>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</si>
  <si>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</si>
  <si>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</si>
  <si>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</si>
  <si>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</si>
  <si>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</si>
  <si>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</si>
  <si>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</si>
  <si>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</si>
  <si>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</si>
  <si>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</si>
  <si>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</si>
  <si>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</si>
  <si>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</si>
  <si>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</si>
  <si>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</si>
  <si>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</si>
  <si>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</si>
  <si>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</si>
  <si>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</si>
  <si>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</si>
  <si>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</si>
  <si>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</si>
  <si>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</si>
  <si>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</si>
  <si>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</si>
  <si>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</si>
  <si>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</si>
  <si>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</si>
  <si>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</si>
  <si>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</si>
  <si>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</si>
  <si>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</si>
  <si>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</si>
  <si>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</si>
  <si>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</si>
  <si>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</si>
  <si>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</si>
  <si>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</si>
  <si>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</si>
  <si>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</si>
  <si>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</si>
  <si>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</si>
  <si>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</si>
  <si>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</si>
  <si>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</si>
  <si>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</si>
  <si>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</si>
  <si>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</si>
  <si>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</si>
  <si>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</si>
  <si>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</si>
  <si>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</si>
  <si>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</si>
  <si>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</si>
  <si>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</si>
  <si>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</si>
  <si>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</si>
  <si>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</si>
  <si>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</si>
  <si>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</si>
  <si>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</si>
  <si>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</si>
  <si>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</si>
  <si>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</si>
  <si>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</si>
  <si>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</si>
  <si>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</si>
  <si>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</si>
  <si>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</si>
  <si>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</si>
  <si>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</si>
  <si>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</si>
  <si>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</si>
  <si>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</si>
  <si>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</si>
  <si>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</si>
  <si>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</si>
  <si>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</si>
  <si>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</si>
  <si>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</si>
  <si>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</si>
  <si>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</si>
  <si>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</si>
  <si>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</si>
  <si>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</si>
  <si>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</si>
  <si>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</si>
  <si>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</si>
  <si>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</si>
  <si>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</si>
  <si>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</si>
  <si>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</si>
  <si>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</si>
  <si>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</si>
  <si>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</si>
  <si>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</si>
  <si>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</si>
  <si>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</si>
  <si>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</si>
  <si>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</si>
  <si>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</si>
  <si>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</si>
  <si>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</si>
  <si>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</si>
  <si>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</si>
  <si>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</si>
  <si>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</si>
  <si>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</si>
  <si>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</si>
  <si>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</si>
  <si>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</si>
  <si>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</si>
  <si>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</si>
  <si>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</si>
  <si>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</si>
  <si>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</si>
  <si>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</si>
  <si>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</si>
  <si>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</si>
  <si>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</si>
  <si>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</si>
  <si>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</si>
  <si>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</si>
  <si>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</si>
  <si>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</si>
  <si>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</si>
  <si>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</si>
  <si>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</si>
  <si>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</si>
  <si>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</si>
  <si>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</si>
  <si>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</si>
  <si>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</si>
  <si>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</si>
  <si>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</si>
  <si>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</si>
  <si>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</si>
  <si>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</si>
  <si>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</si>
  <si>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</si>
  <si>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</si>
  <si>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</si>
  <si>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</si>
  <si>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</si>
  <si>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</si>
  <si>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</si>
  <si>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</si>
  <si>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</si>
  <si>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</si>
  <si>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</si>
  <si>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</si>
  <si>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</si>
  <si>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</si>
  <si>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</si>
  <si>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</si>
  <si>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</si>
  <si>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</si>
  <si>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</si>
  <si>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</si>
  <si>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</si>
  <si>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</si>
  <si>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</si>
  <si>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</si>
  <si>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</si>
  <si>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</si>
  <si>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</si>
  <si>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</si>
  <si>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</si>
  <si>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</si>
  <si>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</si>
  <si>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</si>
  <si>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</si>
  <si>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</si>
  <si>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</si>
  <si>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</si>
  <si>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</si>
  <si>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</si>
  <si>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</si>
  <si>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</si>
  <si>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</si>
  <si>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</si>
  <si>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</si>
  <si>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</si>
  <si>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</si>
  <si>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</si>
  <si>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</si>
  <si>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</si>
  <si>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</si>
  <si>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</si>
  <si>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</si>
  <si>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</si>
  <si>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</si>
  <si>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</si>
  <si>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</si>
  <si>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</si>
  <si>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</si>
  <si>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</si>
  <si>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</si>
  <si>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</si>
  <si>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</si>
  <si>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</si>
  <si>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</si>
  <si>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</si>
  <si>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</si>
  <si>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</si>
  <si>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</si>
  <si>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</si>
  <si>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</si>
  <si>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</si>
  <si>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</si>
  <si>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</si>
  <si>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</si>
  <si>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</si>
  <si>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</si>
  <si>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</si>
  <si>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</si>
  <si>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</si>
  <si>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</si>
  <si>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</si>
  <si>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</si>
  <si>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</si>
  <si>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</si>
  <si>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</si>
  <si>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</si>
  <si>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</si>
  <si>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</si>
  <si>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</si>
  <si>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</si>
  <si>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</si>
  <si>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</si>
  <si>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</si>
  <si>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</si>
  <si>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</si>
  <si>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</si>
  <si>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</si>
  <si>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</si>
  <si>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</si>
  <si>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</si>
  <si>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</si>
  <si>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</si>
  <si>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</si>
  <si>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</si>
  <si>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</si>
  <si>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</si>
  <si>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</si>
  <si>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</si>
  <si>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</si>
  <si>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</si>
  <si>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</si>
  <si>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</si>
  <si>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</si>
  <si>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</si>
  <si>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</si>
  <si>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</si>
  <si>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</si>
  <si>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</si>
  <si>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</si>
  <si>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</si>
  <si>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</si>
  <si>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</si>
  <si>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</si>
  <si>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</si>
  <si>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</si>
  <si>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</si>
  <si>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</si>
  <si>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</si>
  <si>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</si>
  <si>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</si>
  <si>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</si>
  <si>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</si>
  <si>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</si>
  <si>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</si>
  <si>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</si>
  <si>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</si>
  <si>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</si>
  <si>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</si>
  <si>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</si>
  <si>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</si>
  <si>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</si>
  <si>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</si>
  <si>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</si>
  <si>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</si>
  <si>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</si>
  <si>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</si>
  <si>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</si>
  <si>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</si>
  <si>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</si>
  <si>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</si>
  <si>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</si>
  <si>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</si>
  <si>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</si>
  <si>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</si>
  <si>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</si>
  <si>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</si>
  <si>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</si>
  <si>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</si>
  <si>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</si>
  <si>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</si>
  <si>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</si>
  <si>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</si>
  <si>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</si>
  <si>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</si>
  <si>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</si>
  <si>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</si>
  <si>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</si>
  <si>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</si>
  <si>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</si>
  <si>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</si>
  <si>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</si>
  <si>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</si>
  <si>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</si>
  <si>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</si>
  <si>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</si>
  <si>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</si>
  <si>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</si>
  <si>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</si>
  <si>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</si>
  <si>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</si>
  <si>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</si>
  <si>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</si>
  <si>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</si>
  <si>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</si>
  <si>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</si>
  <si>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</si>
  <si>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</si>
  <si>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</si>
  <si>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</si>
  <si>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</si>
  <si>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</si>
  <si>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</si>
  <si>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</si>
  <si>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</si>
  <si>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</si>
  <si>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</si>
  <si>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</si>
  <si>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</si>
  <si>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</si>
  <si>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</si>
  <si>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</si>
  <si>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</si>
  <si>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</si>
  <si>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</si>
  <si>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</si>
  <si>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</si>
  <si>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</si>
  <si>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</si>
  <si>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</si>
  <si>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</si>
  <si>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</si>
  <si>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</si>
  <si>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</si>
  <si>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</si>
  <si>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</si>
  <si>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</si>
  <si>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</si>
  <si>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</si>
  <si>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</si>
  <si>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</si>
  <si>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</si>
  <si>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</si>
  <si>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</si>
  <si>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</si>
  <si>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</si>
  <si>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</si>
  <si>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</si>
  <si>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</si>
  <si>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</si>
  <si>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</si>
  <si>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</si>
  <si>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</si>
  <si>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</si>
  <si>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</si>
  <si>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</si>
  <si>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</si>
  <si>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</si>
  <si>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</si>
  <si>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</si>
  <si>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</si>
  <si>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</si>
  <si>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</si>
  <si>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</si>
  <si>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</si>
  <si>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</si>
  <si>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</si>
  <si>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</si>
  <si>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</si>
  <si>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</si>
  <si>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</si>
  <si>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</si>
  <si>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</si>
  <si>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</si>
  <si>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</si>
  <si>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</si>
  <si>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</si>
  <si>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</si>
  <si>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</si>
  <si>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</si>
  <si>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</si>
  <si>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</si>
  <si>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</si>
  <si>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</si>
  <si>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</si>
  <si>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</si>
  <si>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</si>
  <si>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</si>
  <si>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</si>
  <si>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</si>
  <si>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</si>
  <si>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</si>
  <si>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</si>
  <si>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</si>
  <si>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</si>
  <si>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</si>
  <si>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</si>
  <si>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</si>
  <si>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</si>
  <si>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</si>
  <si>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</si>
  <si>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</si>
  <si>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</si>
  <si>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</si>
  <si>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</si>
  <si>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</si>
  <si>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</si>
  <si>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</si>
  <si>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</si>
  <si>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</si>
  <si>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</si>
  <si>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</si>
  <si>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</si>
  <si>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</si>
  <si>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</si>
  <si>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</si>
  <si>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</si>
  <si>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</si>
  <si>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</si>
  <si>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</si>
  <si>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</si>
  <si>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</si>
  <si>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</si>
  <si>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</si>
  <si>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</si>
  <si>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</si>
  <si>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</si>
  <si>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</si>
  <si>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</si>
  <si>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</si>
  <si>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</si>
  <si>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</si>
  <si>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</si>
  <si>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</si>
  <si>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</si>
  <si>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</si>
  <si>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</si>
  <si>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</si>
  <si>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</si>
  <si>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</si>
  <si>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</si>
  <si>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</si>
  <si>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</si>
  <si>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</si>
  <si>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</si>
  <si>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</si>
  <si>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</si>
  <si>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</si>
  <si>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</si>
  <si>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</si>
  <si>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</si>
  <si>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</si>
  <si>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</si>
  <si>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</si>
  <si>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</si>
  <si>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</si>
  <si>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</si>
  <si>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</si>
  <si>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</si>
  <si>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</si>
  <si>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</si>
  <si>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</si>
  <si>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</si>
  <si>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</si>
  <si>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</si>
  <si>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</si>
  <si>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</si>
  <si>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</si>
  <si>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</si>
  <si>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</si>
  <si>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</si>
  <si>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</si>
  <si>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</si>
  <si>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</si>
  <si>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</si>
  <si>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</si>
  <si>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</si>
  <si>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</si>
  <si>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</si>
  <si>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</si>
  <si>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</si>
  <si>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</si>
  <si>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</si>
  <si>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</si>
  <si>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</si>
  <si>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</si>
  <si>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</si>
  <si>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</si>
  <si>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</si>
  <si>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</si>
  <si>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</si>
  <si>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</si>
  <si>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</si>
  <si>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</si>
  <si>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</si>
  <si>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</si>
  <si>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</si>
  <si>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</si>
  <si>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</si>
  <si>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</si>
  <si>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</si>
  <si>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</si>
  <si>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</si>
  <si>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</si>
  <si>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</si>
  <si>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</si>
  <si>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</si>
  <si>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</si>
  <si>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</si>
  <si>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</si>
  <si>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</si>
  <si>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</si>
  <si>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</si>
  <si>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</si>
  <si>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</si>
  <si>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</si>
  <si>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</si>
  <si>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</si>
  <si>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</si>
  <si>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</si>
  <si>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</si>
  <si>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</si>
  <si>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</si>
  <si>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</si>
  <si>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</si>
  <si>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</si>
  <si>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</si>
  <si>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</si>
  <si>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</si>
  <si>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</si>
  <si>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</si>
  <si>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</si>
  <si>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</si>
  <si>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</si>
  <si>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</si>
  <si>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</si>
  <si>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</si>
  <si>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</si>
  <si>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</si>
  <si>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</si>
  <si>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</si>
  <si>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</si>
  <si>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</si>
  <si>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</si>
  <si>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</si>
  <si>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</si>
  <si>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</si>
  <si>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</si>
  <si>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</si>
  <si>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</si>
  <si>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</si>
  <si>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</si>
  <si>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</si>
  <si>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</si>
  <si>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</si>
  <si>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</si>
  <si>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</si>
  <si>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</si>
  <si>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</si>
  <si>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</si>
  <si>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</si>
  <si>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</si>
  <si>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</si>
  <si>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</si>
  <si>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</si>
  <si>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</si>
  <si>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</si>
  <si>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</si>
  <si>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</si>
  <si>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</si>
  <si>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</si>
  <si>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</si>
  <si>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</si>
  <si>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</si>
  <si>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</si>
  <si>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</si>
  <si>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</si>
  <si>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</si>
  <si>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</si>
  <si>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</si>
  <si>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</si>
  <si>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</si>
  <si>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</si>
  <si>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</si>
  <si>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</si>
  <si>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</si>
  <si>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</si>
  <si>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</si>
  <si>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</si>
  <si>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</si>
  <si>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</si>
  <si>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</si>
  <si>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</si>
  <si>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</si>
  <si>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</si>
  <si>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</si>
  <si>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</si>
  <si>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</si>
  <si>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</si>
  <si>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</si>
  <si>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</si>
  <si>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</si>
  <si>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</si>
  <si>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</si>
  <si>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</si>
  <si>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</si>
  <si>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</si>
  <si>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</si>
  <si>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</si>
  <si>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</si>
  <si>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</si>
  <si>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</si>
  <si>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</si>
  <si>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</si>
  <si>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</si>
  <si>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</si>
  <si>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</si>
  <si>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</si>
  <si>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</si>
  <si>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</si>
  <si>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</si>
  <si>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</si>
  <si>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</si>
  <si>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</si>
  <si>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</si>
  <si>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</si>
  <si>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</si>
  <si>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</si>
  <si>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</si>
  <si>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</si>
  <si>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</si>
  <si>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</si>
  <si>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</si>
  <si>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</si>
  <si>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</si>
  <si>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</si>
  <si>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</si>
  <si>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</si>
  <si>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</si>
  <si>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</si>
  <si>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</si>
  <si>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</si>
  <si>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</si>
  <si>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</si>
  <si>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</si>
  <si>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</si>
  <si>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</si>
  <si>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</si>
  <si>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</si>
  <si>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</si>
  <si>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</si>
  <si>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</si>
  <si>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</si>
  <si>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</si>
  <si>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</si>
  <si>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</si>
  <si>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</si>
  <si>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</si>
  <si>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</si>
  <si>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</si>
  <si>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</si>
  <si>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</si>
  <si>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</si>
  <si>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</si>
  <si>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</si>
  <si>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</si>
  <si>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</si>
  <si>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</si>
  <si>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</si>
  <si>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</si>
  <si>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</si>
  <si>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</si>
  <si>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</si>
  <si>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</si>
  <si>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</si>
  <si>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</si>
  <si>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</si>
  <si>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</si>
  <si>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</si>
  <si>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</si>
  <si>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</si>
  <si>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</si>
  <si>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</si>
  <si>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</si>
  <si>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</si>
  <si>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</si>
  <si>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</si>
  <si>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</si>
  <si>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</si>
  <si>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</si>
  <si>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</si>
  <si>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</si>
  <si>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</si>
  <si>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</si>
  <si>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</si>
  <si>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</si>
  <si>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</si>
  <si>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</si>
  <si>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</si>
  <si>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</si>
  <si>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</si>
  <si>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</si>
  <si>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</si>
  <si>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</si>
  <si>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</si>
  <si>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</si>
  <si>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</si>
  <si>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</si>
  <si>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</si>
  <si>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</si>
  <si>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</si>
  <si>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</si>
  <si>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</si>
  <si>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</si>
  <si>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</si>
  <si>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</si>
  <si>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</si>
  <si>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</si>
  <si>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</si>
  <si>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</si>
  <si>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</si>
  <si>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</si>
  <si>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</si>
  <si>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</si>
  <si>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</si>
  <si>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</si>
  <si>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</si>
  <si>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</si>
  <si>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</si>
  <si>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</si>
  <si>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</si>
  <si>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</si>
  <si>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</si>
  <si>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</si>
  <si>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32003</t>
  </si>
  <si>
    <t>DIKSMUIDE</t>
  </si>
  <si>
    <t>Eandis (januari 2018); Infrax (juni 2018)</t>
  </si>
  <si>
    <t>MOW (september 2017)</t>
  </si>
  <si>
    <t>referentietaak LNE (2017); Jaarverslag De Lijn (2016)</t>
  </si>
  <si>
    <t>VEA (april 2018)</t>
  </si>
  <si>
    <t>VEA (januari 2017)</t>
  </si>
  <si>
    <t>VEA (juni 2018)</t>
  </si>
  <si>
    <t>Biolectric nv</t>
  </si>
  <si>
    <t>Jan de Malschelaan 4 B, 9140 Temse</t>
  </si>
  <si>
    <t>WKK-0452 Johan Hollevoet</t>
  </si>
  <si>
    <t>interne verbrandingsmotor</t>
  </si>
  <si>
    <t>WKK interne verbrandinsgmotor (gas)</t>
  </si>
  <si>
    <t>Pervijzestraat 69 , 8600 Diksmuide</t>
  </si>
  <si>
    <t>Infrax West</t>
  </si>
  <si>
    <t>WKK-0303 Beuselinck</t>
  </si>
  <si>
    <t>Viconiastraat 27 , 8600 Diksmuide</t>
  </si>
  <si>
    <t>eilandwerking</t>
  </si>
  <si>
    <t xml:space="preserve">landbouw </t>
  </si>
  <si>
    <t>Ijzer Energie nv in faling</t>
  </si>
  <si>
    <t>Bosstraat 36 , 8790 Waregem</t>
  </si>
  <si>
    <t>BGS-0060 Ijzer Energie -agr.verg</t>
  </si>
  <si>
    <t>biogas - hoofdzakelijk agrarische stromen</t>
  </si>
  <si>
    <t>niet WKK interne verbrandingsmotor (gas)</t>
  </si>
  <si>
    <t>Jagersstraat 4 A, 8600 Diksmuide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</si>
</sst>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135451.25586082242</c:v>
                </c:pt>
                <c:pt idx="1">
                  <c:v>63281.191819123604</c:v>
                </c:pt>
                <c:pt idx="2">
                  <c:v>845.55600000000004</c:v>
                </c:pt>
                <c:pt idx="3">
                  <c:v>57082.267725804675</c:v>
                </c:pt>
                <c:pt idx="4">
                  <c:v>51691.455035567138</c:v>
                </c:pt>
                <c:pt idx="5">
                  <c:v>136125.14745025506</c:v>
                </c:pt>
                <c:pt idx="6">
                  <c:v>1970.5317568881535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135451.25586082242</c:v>
                </c:pt>
                <c:pt idx="1">
                  <c:v>63281.191819123604</c:v>
                </c:pt>
                <c:pt idx="2">
                  <c:v>845.55600000000004</c:v>
                </c:pt>
                <c:pt idx="3">
                  <c:v>57082.267725804675</c:v>
                </c:pt>
                <c:pt idx="4">
                  <c:v>51691.455035567138</c:v>
                </c:pt>
                <c:pt idx="5">
                  <c:v>136125.14745025506</c:v>
                </c:pt>
                <c:pt idx="6">
                  <c:v>1970.5317568881535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22138.438773795697</c:v>
                </c:pt>
                <c:pt idx="1">
                  <c:v>11153.286067802361</c:v>
                </c:pt>
                <c:pt idx="2">
                  <c:v>159.59857412419251</c:v>
                </c:pt>
                <c:pt idx="3">
                  <c:v>14218.698933655744</c:v>
                </c:pt>
                <c:pt idx="4">
                  <c:v>9824.0384860175818</c:v>
                </c:pt>
                <c:pt idx="5">
                  <c:v>34071.8454755114</c:v>
                </c:pt>
                <c:pt idx="6">
                  <c:v>497.85595847113376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22138.438773795697</c:v>
                </c:pt>
                <c:pt idx="1">
                  <c:v>11153.286067802361</c:v>
                </c:pt>
                <c:pt idx="2">
                  <c:v>159.59857412419251</c:v>
                </c:pt>
                <c:pt idx="3">
                  <c:v>14218.698933655744</c:v>
                </c:pt>
                <c:pt idx="4">
                  <c:v>9824.0384860175818</c:v>
                </c:pt>
                <c:pt idx="5">
                  <c:v>34071.8454755114</c:v>
                </c:pt>
                <c:pt idx="6">
                  <c:v>497.85595847113376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32003</v>
      </c>
      <c r="B6" s="415"/>
      <c r="C6" s="416"/>
    </row>
    <row r="7" spans="1:7" s="413" customFormat="1" ht="15.75" customHeight="1">
      <c r="A7" s="417" t="str">
        <f>txtMunicipality</f>
        <v>DIKSMUIDE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29000.139347</v>
      </c>
      <c r="D10" s="718">
        <f ca="1">tertiair!C16</f>
        <v>0</v>
      </c>
      <c r="E10" s="718">
        <f ca="1">tertiair!D16</f>
        <v>21016.459303333999</v>
      </c>
      <c r="F10" s="718">
        <f>tertiair!E16</f>
        <v>393.61089592548694</v>
      </c>
      <c r="G10" s="718">
        <f ca="1">tertiair!F16</f>
        <v>5634.3277504097377</v>
      </c>
      <c r="H10" s="718">
        <f>tertiair!G16</f>
        <v>0</v>
      </c>
      <c r="I10" s="718">
        <f>tertiair!H16</f>
        <v>0</v>
      </c>
      <c r="J10" s="718">
        <f>tertiair!I16</f>
        <v>0</v>
      </c>
      <c r="K10" s="718">
        <f>tertiair!J16</f>
        <v>0.20486967502495257</v>
      </c>
      <c r="L10" s="718">
        <f>tertiair!K16</f>
        <v>0</v>
      </c>
      <c r="M10" s="718">
        <f ca="1">tertiair!L16</f>
        <v>0</v>
      </c>
      <c r="N10" s="718">
        <f>tertiair!M16</f>
        <v>0</v>
      </c>
      <c r="O10" s="718">
        <f ca="1">tertiair!N16</f>
        <v>8059.812319446024</v>
      </c>
      <c r="P10" s="718">
        <f>tertiair!O16</f>
        <v>3.1266666666666669</v>
      </c>
      <c r="Q10" s="719">
        <f>tertiair!P16</f>
        <v>19.066666666666666</v>
      </c>
      <c r="R10" s="721">
        <f ca="1">SUM(C10:Q10)</f>
        <v>64126.7478191236</v>
      </c>
      <c r="S10" s="67"/>
    </row>
    <row r="11" spans="1:19" s="474" customFormat="1">
      <c r="A11" s="870" t="s">
        <v>225</v>
      </c>
      <c r="B11" s="875"/>
      <c r="C11" s="718">
        <f>huishoudens!B8</f>
        <v>26960.711536148097</v>
      </c>
      <c r="D11" s="718">
        <f>huishoudens!C8</f>
        <v>0</v>
      </c>
      <c r="E11" s="718">
        <f>huishoudens!D8</f>
        <v>53364.600752099999</v>
      </c>
      <c r="F11" s="718">
        <f>huishoudens!E8</f>
        <v>10357.215868482297</v>
      </c>
      <c r="G11" s="718">
        <f>huishoudens!F8</f>
        <v>9922.9802696845509</v>
      </c>
      <c r="H11" s="718">
        <f>huishoudens!G8</f>
        <v>0</v>
      </c>
      <c r="I11" s="718">
        <f>huishoudens!H8</f>
        <v>0</v>
      </c>
      <c r="J11" s="718">
        <f>huishoudens!I8</f>
        <v>0</v>
      </c>
      <c r="K11" s="718">
        <f>huishoudens!J8</f>
        <v>3585.9752525990561</v>
      </c>
      <c r="L11" s="718">
        <f>huishoudens!K8</f>
        <v>0</v>
      </c>
      <c r="M11" s="718">
        <f>huishoudens!L8</f>
        <v>0</v>
      </c>
      <c r="N11" s="718">
        <f>huishoudens!M8</f>
        <v>0</v>
      </c>
      <c r="O11" s="718">
        <f>huishoudens!N8</f>
        <v>30159.732181808416</v>
      </c>
      <c r="P11" s="718">
        <f>huishoudens!O8</f>
        <v>356.44</v>
      </c>
      <c r="Q11" s="719">
        <f>huishoudens!P8</f>
        <v>743.6</v>
      </c>
      <c r="R11" s="721">
        <f>SUM(C11:Q11)</f>
        <v>135451.25586082242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22886.706539999999</v>
      </c>
      <c r="D13" s="718">
        <f>industrie!C18</f>
        <v>0</v>
      </c>
      <c r="E13" s="718">
        <f>industrie!D18</f>
        <v>7913.2774094440001</v>
      </c>
      <c r="F13" s="718">
        <f>industrie!E18</f>
        <v>3901.5604716916969</v>
      </c>
      <c r="G13" s="718">
        <f>industrie!F18</f>
        <v>11309.410026341366</v>
      </c>
      <c r="H13" s="718">
        <f>industrie!G18</f>
        <v>0</v>
      </c>
      <c r="I13" s="718">
        <f>industrie!H18</f>
        <v>0</v>
      </c>
      <c r="J13" s="718">
        <f>industrie!I18</f>
        <v>0</v>
      </c>
      <c r="K13" s="718">
        <f>industrie!J18</f>
        <v>1.2066596871772828</v>
      </c>
      <c r="L13" s="718">
        <f>industrie!K18</f>
        <v>0</v>
      </c>
      <c r="M13" s="718">
        <f>industrie!L18</f>
        <v>0</v>
      </c>
      <c r="N13" s="718">
        <f>industrie!M18</f>
        <v>0</v>
      </c>
      <c r="O13" s="718">
        <f>industrie!N18</f>
        <v>5679.2939284029062</v>
      </c>
      <c r="P13" s="718">
        <f>industrie!O18</f>
        <v>0</v>
      </c>
      <c r="Q13" s="719">
        <f>industrie!P18</f>
        <v>0</v>
      </c>
      <c r="R13" s="721">
        <f>SUM(C13:Q13)</f>
        <v>51691.455035567138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78847.5574231481</v>
      </c>
      <c r="D15" s="723">
        <f t="shared" ref="D15:Q15" ca="1" si="0">SUM(D9:D14)</f>
        <v>0</v>
      </c>
      <c r="E15" s="723">
        <f t="shared" ca="1" si="0"/>
        <v>82294.337464878001</v>
      </c>
      <c r="F15" s="723">
        <f t="shared" si="0"/>
        <v>14652.387236099481</v>
      </c>
      <c r="G15" s="723">
        <f t="shared" ca="1" si="0"/>
        <v>26866.718046435657</v>
      </c>
      <c r="H15" s="723">
        <f t="shared" si="0"/>
        <v>0</v>
      </c>
      <c r="I15" s="723">
        <f t="shared" si="0"/>
        <v>0</v>
      </c>
      <c r="J15" s="723">
        <f t="shared" si="0"/>
        <v>0</v>
      </c>
      <c r="K15" s="723">
        <f t="shared" si="0"/>
        <v>3587.3867819612583</v>
      </c>
      <c r="L15" s="723">
        <f t="shared" si="0"/>
        <v>0</v>
      </c>
      <c r="M15" s="723">
        <f t="shared" ca="1" si="0"/>
        <v>0</v>
      </c>
      <c r="N15" s="723">
        <f t="shared" si="0"/>
        <v>0</v>
      </c>
      <c r="O15" s="723">
        <f t="shared" ca="1" si="0"/>
        <v>43898.838429657342</v>
      </c>
      <c r="P15" s="723">
        <f t="shared" si="0"/>
        <v>359.56666666666666</v>
      </c>
      <c r="Q15" s="724">
        <f t="shared" si="0"/>
        <v>762.66666666666674</v>
      </c>
      <c r="R15" s="725">
        <f ca="1">SUM(R9:R14)</f>
        <v>251269.45871551314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1864.6290579443212</v>
      </c>
      <c r="I18" s="718">
        <f>transport!H54</f>
        <v>0</v>
      </c>
      <c r="J18" s="718">
        <f>transport!I54</f>
        <v>0</v>
      </c>
      <c r="K18" s="718">
        <f>transport!J54</f>
        <v>0</v>
      </c>
      <c r="L18" s="718">
        <f>transport!K54</f>
        <v>0</v>
      </c>
      <c r="M18" s="718">
        <f>transport!L54</f>
        <v>0</v>
      </c>
      <c r="N18" s="718">
        <f>transport!M54</f>
        <v>105.90269894383226</v>
      </c>
      <c r="O18" s="718">
        <f>transport!N54</f>
        <v>0</v>
      </c>
      <c r="P18" s="718">
        <f>transport!O54</f>
        <v>0</v>
      </c>
      <c r="Q18" s="719">
        <f>transport!P54</f>
        <v>0</v>
      </c>
      <c r="R18" s="721">
        <f>SUM(C18:Q18)</f>
        <v>1970.5317568881535</v>
      </c>
      <c r="S18" s="67"/>
    </row>
    <row r="19" spans="1:19" s="474" customFormat="1" ht="15" thickBot="1">
      <c r="A19" s="870" t="s">
        <v>307</v>
      </c>
      <c r="B19" s="875"/>
      <c r="C19" s="727">
        <f>transport!B14</f>
        <v>60.659130319354105</v>
      </c>
      <c r="D19" s="727">
        <f>transport!C14</f>
        <v>0</v>
      </c>
      <c r="E19" s="727">
        <f>transport!D14</f>
        <v>202.80300767184025</v>
      </c>
      <c r="F19" s="727">
        <f>transport!E14</f>
        <v>272.24595179142597</v>
      </c>
      <c r="G19" s="727">
        <f>transport!F14</f>
        <v>0</v>
      </c>
      <c r="H19" s="727">
        <f>transport!G14</f>
        <v>105806.77486417774</v>
      </c>
      <c r="I19" s="727">
        <f>transport!H14</f>
        <v>22920.566851378633</v>
      </c>
      <c r="J19" s="727">
        <f>transport!I14</f>
        <v>0</v>
      </c>
      <c r="K19" s="727">
        <f>transport!J14</f>
        <v>0</v>
      </c>
      <c r="L19" s="727">
        <f>transport!K14</f>
        <v>0</v>
      </c>
      <c r="M19" s="727">
        <f>transport!L14</f>
        <v>0</v>
      </c>
      <c r="N19" s="727">
        <f>transport!M14</f>
        <v>6862.0976449160617</v>
      </c>
      <c r="O19" s="727">
        <f>transport!N14</f>
        <v>0</v>
      </c>
      <c r="P19" s="727">
        <f>transport!O14</f>
        <v>0</v>
      </c>
      <c r="Q19" s="728">
        <f>transport!P14</f>
        <v>0</v>
      </c>
      <c r="R19" s="729">
        <f>SUM(C19:Q19)</f>
        <v>136125.14745025506</v>
      </c>
      <c r="S19" s="67"/>
    </row>
    <row r="20" spans="1:19" s="474" customFormat="1" ht="15.75" thickBot="1">
      <c r="A20" s="730" t="s">
        <v>230</v>
      </c>
      <c r="B20" s="878"/>
      <c r="C20" s="873">
        <f>SUM(C17:C19)</f>
        <v>60.659130319354105</v>
      </c>
      <c r="D20" s="731">
        <f t="shared" ref="D20:R20" si="1">SUM(D17:D19)</f>
        <v>0</v>
      </c>
      <c r="E20" s="731">
        <f t="shared" si="1"/>
        <v>202.80300767184025</v>
      </c>
      <c r="F20" s="731">
        <f t="shared" si="1"/>
        <v>272.24595179142597</v>
      </c>
      <c r="G20" s="731">
        <f t="shared" si="1"/>
        <v>0</v>
      </c>
      <c r="H20" s="731">
        <f t="shared" si="1"/>
        <v>107671.40392212206</v>
      </c>
      <c r="I20" s="731">
        <f t="shared" si="1"/>
        <v>22920.566851378633</v>
      </c>
      <c r="J20" s="731">
        <f t="shared" si="1"/>
        <v>0</v>
      </c>
      <c r="K20" s="731">
        <f t="shared" si="1"/>
        <v>0</v>
      </c>
      <c r="L20" s="731">
        <f t="shared" si="1"/>
        <v>0</v>
      </c>
      <c r="M20" s="731">
        <f t="shared" si="1"/>
        <v>0</v>
      </c>
      <c r="N20" s="731">
        <f t="shared" si="1"/>
        <v>6968.0003438598942</v>
      </c>
      <c r="O20" s="731">
        <f t="shared" si="1"/>
        <v>0</v>
      </c>
      <c r="P20" s="731">
        <f t="shared" si="1"/>
        <v>0</v>
      </c>
      <c r="Q20" s="732">
        <f t="shared" si="1"/>
        <v>0</v>
      </c>
      <c r="R20" s="733">
        <f t="shared" si="1"/>
        <v>138095.6792071432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9783.4557074118766</v>
      </c>
      <c r="D22" s="727">
        <f>+landbouw!C8</f>
        <v>268.07142857142856</v>
      </c>
      <c r="E22" s="727">
        <f>+landbouw!D8</f>
        <v>4568.4145076900004</v>
      </c>
      <c r="F22" s="727">
        <f>+landbouw!E8</f>
        <v>287.5656453636048</v>
      </c>
      <c r="G22" s="727">
        <f>+landbouw!F8</f>
        <v>40757.347806880112</v>
      </c>
      <c r="H22" s="727">
        <f>+landbouw!G8</f>
        <v>0</v>
      </c>
      <c r="I22" s="727">
        <f>+landbouw!H8</f>
        <v>0</v>
      </c>
      <c r="J22" s="727">
        <f>+landbouw!I8</f>
        <v>0</v>
      </c>
      <c r="K22" s="727">
        <f>+landbouw!J8</f>
        <v>1417.4126298876488</v>
      </c>
      <c r="L22" s="727">
        <f>+landbouw!K8</f>
        <v>0</v>
      </c>
      <c r="M22" s="727">
        <f>+landbouw!L8</f>
        <v>0</v>
      </c>
      <c r="N22" s="727">
        <f>+landbouw!M8</f>
        <v>0</v>
      </c>
      <c r="O22" s="727">
        <f>+landbouw!N8</f>
        <v>0</v>
      </c>
      <c r="P22" s="727">
        <f>+landbouw!O8</f>
        <v>0</v>
      </c>
      <c r="Q22" s="728">
        <f>+landbouw!P8</f>
        <v>0</v>
      </c>
      <c r="R22" s="729">
        <f>SUM(C22:Q22)</f>
        <v>57082.267725804675</v>
      </c>
      <c r="S22" s="67"/>
    </row>
    <row r="23" spans="1:19" s="474" customFormat="1" ht="17.25" thickTop="1" thickBot="1">
      <c r="A23" s="734" t="s">
        <v>116</v>
      </c>
      <c r="B23" s="864"/>
      <c r="C23" s="735">
        <f ca="1">C20+C15+C22</f>
        <v>88691.672260879335</v>
      </c>
      <c r="D23" s="735">
        <f t="shared" ref="D23:Q23" ca="1" si="2">D20+D15+D22</f>
        <v>268.07142857142856</v>
      </c>
      <c r="E23" s="735">
        <f t="shared" ca="1" si="2"/>
        <v>87065.554980239845</v>
      </c>
      <c r="F23" s="735">
        <f t="shared" si="2"/>
        <v>15212.198833254513</v>
      </c>
      <c r="G23" s="735">
        <f t="shared" ca="1" si="2"/>
        <v>67624.065853315769</v>
      </c>
      <c r="H23" s="735">
        <f t="shared" si="2"/>
        <v>107671.40392212206</v>
      </c>
      <c r="I23" s="735">
        <f t="shared" si="2"/>
        <v>22920.566851378633</v>
      </c>
      <c r="J23" s="735">
        <f t="shared" si="2"/>
        <v>0</v>
      </c>
      <c r="K23" s="735">
        <f t="shared" si="2"/>
        <v>5004.7994118489069</v>
      </c>
      <c r="L23" s="735">
        <f t="shared" si="2"/>
        <v>0</v>
      </c>
      <c r="M23" s="735">
        <f t="shared" ca="1" si="2"/>
        <v>0</v>
      </c>
      <c r="N23" s="735">
        <f t="shared" si="2"/>
        <v>6968.0003438598942</v>
      </c>
      <c r="O23" s="735">
        <f t="shared" ca="1" si="2"/>
        <v>43898.838429657342</v>
      </c>
      <c r="P23" s="735">
        <f t="shared" si="2"/>
        <v>359.56666666666666</v>
      </c>
      <c r="Q23" s="736">
        <f t="shared" si="2"/>
        <v>762.66666666666674</v>
      </c>
      <c r="R23" s="737">
        <f ca="1">R20+R15+R22</f>
        <v>446447.40564846108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5473.7721560536393</v>
      </c>
      <c r="D36" s="718">
        <f ca="1">tertiair!C20</f>
        <v>0</v>
      </c>
      <c r="E36" s="718">
        <f ca="1">tertiair!D20</f>
        <v>4245.3247792734683</v>
      </c>
      <c r="F36" s="718">
        <f>tertiair!E20</f>
        <v>89.349673375085544</v>
      </c>
      <c r="G36" s="718">
        <f ca="1">tertiair!F20</f>
        <v>1504.3655093594</v>
      </c>
      <c r="H36" s="718">
        <f>tertiair!G20</f>
        <v>0</v>
      </c>
      <c r="I36" s="718">
        <f>tertiair!H20</f>
        <v>0</v>
      </c>
      <c r="J36" s="718">
        <f>tertiair!I20</f>
        <v>0</v>
      </c>
      <c r="K36" s="718">
        <f>tertiair!J20</f>
        <v>7.2523864958833201E-2</v>
      </c>
      <c r="L36" s="718">
        <f>tertiair!K20</f>
        <v>0</v>
      </c>
      <c r="M36" s="718">
        <f ca="1">tertiair!L20</f>
        <v>0</v>
      </c>
      <c r="N36" s="718">
        <f>tertiair!M20</f>
        <v>0</v>
      </c>
      <c r="O36" s="718">
        <f ca="1">tertiair!N20</f>
        <v>0</v>
      </c>
      <c r="P36" s="718">
        <f>tertiair!O20</f>
        <v>0</v>
      </c>
      <c r="Q36" s="828">
        <f>tertiair!P20</f>
        <v>0</v>
      </c>
      <c r="R36" s="917">
        <f ca="1">SUM(C36:Q36)</f>
        <v>11312.884641926552</v>
      </c>
    </row>
    <row r="37" spans="1:18">
      <c r="A37" s="885" t="s">
        <v>225</v>
      </c>
      <c r="B37" s="892"/>
      <c r="C37" s="718">
        <f ca="1">huishoudens!B12</f>
        <v>5088.8304483001766</v>
      </c>
      <c r="D37" s="718">
        <f ca="1">huishoudens!C12</f>
        <v>0</v>
      </c>
      <c r="E37" s="718">
        <f>huishoudens!D12</f>
        <v>10779.649351924201</v>
      </c>
      <c r="F37" s="718">
        <f>huishoudens!E12</f>
        <v>2351.0880021454814</v>
      </c>
      <c r="G37" s="718">
        <f>huishoudens!F12</f>
        <v>2649.4357320057752</v>
      </c>
      <c r="H37" s="718">
        <f>huishoudens!G12</f>
        <v>0</v>
      </c>
      <c r="I37" s="718">
        <f>huishoudens!H12</f>
        <v>0</v>
      </c>
      <c r="J37" s="718">
        <f>huishoudens!I12</f>
        <v>0</v>
      </c>
      <c r="K37" s="718">
        <f>huishoudens!J12</f>
        <v>1269.4352394200657</v>
      </c>
      <c r="L37" s="718">
        <f>huishoudens!K12</f>
        <v>0</v>
      </c>
      <c r="M37" s="718">
        <f>huishoudens!L12</f>
        <v>0</v>
      </c>
      <c r="N37" s="718">
        <f>huishoudens!M12</f>
        <v>0</v>
      </c>
      <c r="O37" s="718">
        <f>huishoudens!N12</f>
        <v>0</v>
      </c>
      <c r="P37" s="718">
        <f>huishoudens!O12</f>
        <v>0</v>
      </c>
      <c r="Q37" s="828">
        <f>huishoudens!P12</f>
        <v>0</v>
      </c>
      <c r="R37" s="917">
        <f ca="1">SUM(C37:Q37)</f>
        <v>22138.438773795697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4319.8625876734732</v>
      </c>
      <c r="D39" s="718">
        <f ca="1">industrie!C22</f>
        <v>0</v>
      </c>
      <c r="E39" s="718">
        <f>industrie!D22</f>
        <v>1598.4820367076882</v>
      </c>
      <c r="F39" s="718">
        <f>industrie!E22</f>
        <v>885.65422707401524</v>
      </c>
      <c r="G39" s="718">
        <f>industrie!F22</f>
        <v>3019.6124770331448</v>
      </c>
      <c r="H39" s="718">
        <f>industrie!G22</f>
        <v>0</v>
      </c>
      <c r="I39" s="718">
        <f>industrie!H22</f>
        <v>0</v>
      </c>
      <c r="J39" s="718">
        <f>industrie!I22</f>
        <v>0</v>
      </c>
      <c r="K39" s="718">
        <f>industrie!J22</f>
        <v>0.42715752926075806</v>
      </c>
      <c r="L39" s="718">
        <f>industrie!K22</f>
        <v>0</v>
      </c>
      <c r="M39" s="718">
        <f>industrie!L22</f>
        <v>0</v>
      </c>
      <c r="N39" s="718">
        <f>industrie!M22</f>
        <v>0</v>
      </c>
      <c r="O39" s="718">
        <f>industrie!N22</f>
        <v>0</v>
      </c>
      <c r="P39" s="718">
        <f>industrie!O22</f>
        <v>0</v>
      </c>
      <c r="Q39" s="828">
        <f>industrie!P22</f>
        <v>0</v>
      </c>
      <c r="R39" s="918">
        <f ca="1">SUM(C39:Q39)</f>
        <v>9824.0384860175818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14882.465192027288</v>
      </c>
      <c r="D41" s="763">
        <f t="shared" ref="D41:R41" ca="1" si="4">SUM(D35:D40)</f>
        <v>0</v>
      </c>
      <c r="E41" s="763">
        <f t="shared" ca="1" si="4"/>
        <v>16623.456167905359</v>
      </c>
      <c r="F41" s="763">
        <f t="shared" si="4"/>
        <v>3326.0919025945818</v>
      </c>
      <c r="G41" s="763">
        <f t="shared" ca="1" si="4"/>
        <v>7173.4137183983203</v>
      </c>
      <c r="H41" s="763">
        <f t="shared" si="4"/>
        <v>0</v>
      </c>
      <c r="I41" s="763">
        <f t="shared" si="4"/>
        <v>0</v>
      </c>
      <c r="J41" s="763">
        <f t="shared" si="4"/>
        <v>0</v>
      </c>
      <c r="K41" s="763">
        <f t="shared" si="4"/>
        <v>1269.9349208142853</v>
      </c>
      <c r="L41" s="763">
        <f t="shared" si="4"/>
        <v>0</v>
      </c>
      <c r="M41" s="763">
        <f t="shared" ca="1" si="4"/>
        <v>0</v>
      </c>
      <c r="N41" s="763">
        <f t="shared" si="4"/>
        <v>0</v>
      </c>
      <c r="O41" s="763">
        <f t="shared" ca="1" si="4"/>
        <v>0</v>
      </c>
      <c r="P41" s="763">
        <f t="shared" si="4"/>
        <v>0</v>
      </c>
      <c r="Q41" s="764">
        <f t="shared" si="4"/>
        <v>0</v>
      </c>
      <c r="R41" s="765">
        <f t="shared" ca="1" si="4"/>
        <v>43275.361901739831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497.85595847113376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497.85595847113376</v>
      </c>
    </row>
    <row r="45" spans="1:18" ht="15" thickBot="1">
      <c r="A45" s="888" t="s">
        <v>307</v>
      </c>
      <c r="B45" s="898"/>
      <c r="C45" s="727">
        <f ca="1">transport!B18</f>
        <v>11.449402176298777</v>
      </c>
      <c r="D45" s="727">
        <f>transport!C18</f>
        <v>0</v>
      </c>
      <c r="E45" s="727">
        <f>transport!D18</f>
        <v>40.966207549711733</v>
      </c>
      <c r="F45" s="727">
        <f>transport!E18</f>
        <v>61.799831056653694</v>
      </c>
      <c r="G45" s="727">
        <f>transport!F18</f>
        <v>0</v>
      </c>
      <c r="H45" s="727">
        <f>transport!G18</f>
        <v>28250.408888735459</v>
      </c>
      <c r="I45" s="727">
        <f>transport!H18</f>
        <v>5707.2211459932796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34071.8454755114</v>
      </c>
    </row>
    <row r="46" spans="1:18" ht="15.75" thickBot="1">
      <c r="A46" s="886" t="s">
        <v>230</v>
      </c>
      <c r="B46" s="899"/>
      <c r="C46" s="763">
        <f t="shared" ref="C46:R46" ca="1" si="5">SUM(C43:C45)</f>
        <v>11.449402176298777</v>
      </c>
      <c r="D46" s="763">
        <f t="shared" ca="1" si="5"/>
        <v>0</v>
      </c>
      <c r="E46" s="763">
        <f t="shared" si="5"/>
        <v>40.966207549711733</v>
      </c>
      <c r="F46" s="763">
        <f t="shared" si="5"/>
        <v>61.799831056653694</v>
      </c>
      <c r="G46" s="763">
        <f t="shared" si="5"/>
        <v>0</v>
      </c>
      <c r="H46" s="763">
        <f t="shared" si="5"/>
        <v>28748.264847206592</v>
      </c>
      <c r="I46" s="763">
        <f t="shared" si="5"/>
        <v>5707.2211459932796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34569.701433982533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1846.6258661876075</v>
      </c>
      <c r="D48" s="718">
        <f ca="1">+landbouw!C12</f>
        <v>0</v>
      </c>
      <c r="E48" s="718">
        <f>+landbouw!D12</f>
        <v>922.81973055338017</v>
      </c>
      <c r="F48" s="718">
        <f>+landbouw!E12</f>
        <v>65.277401497538293</v>
      </c>
      <c r="G48" s="718">
        <f>+landbouw!F12</f>
        <v>10882.211864436991</v>
      </c>
      <c r="H48" s="718">
        <f>+landbouw!G12</f>
        <v>0</v>
      </c>
      <c r="I48" s="718">
        <f>+landbouw!H12</f>
        <v>0</v>
      </c>
      <c r="J48" s="718">
        <f>+landbouw!I12</f>
        <v>0</v>
      </c>
      <c r="K48" s="718">
        <f>+landbouw!J12</f>
        <v>501.76407098022764</v>
      </c>
      <c r="L48" s="718">
        <f>+landbouw!K12</f>
        <v>0</v>
      </c>
      <c r="M48" s="718">
        <f>+landbouw!L12</f>
        <v>0</v>
      </c>
      <c r="N48" s="718">
        <f>+landbouw!M12</f>
        <v>0</v>
      </c>
      <c r="O48" s="718">
        <f>+landbouw!N12</f>
        <v>0</v>
      </c>
      <c r="P48" s="718">
        <f>+landbouw!O12</f>
        <v>0</v>
      </c>
      <c r="Q48" s="719">
        <f>+landbouw!P12</f>
        <v>0</v>
      </c>
      <c r="R48" s="761">
        <f ca="1">SUM(C48:Q48)</f>
        <v>14218.698933655744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16740.540460391196</v>
      </c>
      <c r="D53" s="773">
        <f t="shared" ref="D53:Q53" ca="1" si="6">D41+D46+D48</f>
        <v>0</v>
      </c>
      <c r="E53" s="773">
        <f t="shared" ca="1" si="6"/>
        <v>17587.242106008449</v>
      </c>
      <c r="F53" s="773">
        <f t="shared" si="6"/>
        <v>3453.1691351487739</v>
      </c>
      <c r="G53" s="773">
        <f t="shared" ca="1" si="6"/>
        <v>18055.62558283531</v>
      </c>
      <c r="H53" s="773">
        <f t="shared" si="6"/>
        <v>28748.264847206592</v>
      </c>
      <c r="I53" s="773">
        <f t="shared" si="6"/>
        <v>5707.2211459932796</v>
      </c>
      <c r="J53" s="773">
        <f t="shared" si="6"/>
        <v>0</v>
      </c>
      <c r="K53" s="773">
        <f t="shared" si="6"/>
        <v>1771.6989917945129</v>
      </c>
      <c r="L53" s="773">
        <f t="shared" si="6"/>
        <v>0</v>
      </c>
      <c r="M53" s="773">
        <f t="shared" ca="1" si="6"/>
        <v>0</v>
      </c>
      <c r="N53" s="773">
        <f t="shared" si="6"/>
        <v>0</v>
      </c>
      <c r="O53" s="773">
        <f t="shared" ca="1" si="6"/>
        <v>0</v>
      </c>
      <c r="P53" s="773">
        <f>P41+P46+P48</f>
        <v>0</v>
      </c>
      <c r="Q53" s="774">
        <f t="shared" si="6"/>
        <v>0</v>
      </c>
      <c r="R53" s="775">
        <f ca="1">R41+R46+R48</f>
        <v>92063.762269378116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0.1887498570457693</v>
      </c>
      <c r="D55" s="836">
        <f t="shared" ca="1" si="7"/>
        <v>0</v>
      </c>
      <c r="E55" s="836">
        <f t="shared" ca="1" si="7"/>
        <v>0.20200000000000001</v>
      </c>
      <c r="F55" s="836">
        <f t="shared" si="7"/>
        <v>0.22699999999999995</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2755.7656745087966</v>
      </c>
      <c r="C64" s="795">
        <f>'lokale energieproductie'!B4</f>
        <v>2755.7656745087966</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8298.2047293968026</v>
      </c>
      <c r="C66" s="795">
        <f>'lokale energieproductie'!B6</f>
        <v>8298.2047293968026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187.64999999999998</v>
      </c>
      <c r="C67" s="794">
        <f>B67*IFERROR(SUM(J67:L67)/SUM(D67:M67),0)</f>
        <v>187.64999999999998</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220.76470588235293</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1701</v>
      </c>
      <c r="C68" s="794">
        <f>B68*IFERROR(SUM(J68:L68)/SUM(D68:M68),0)</f>
        <v>1701</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4860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12942.620403905599</v>
      </c>
      <c r="C69" s="803">
        <f>SUM(C64:C68)</f>
        <v>12942.620403905599</v>
      </c>
      <c r="D69" s="804">
        <f t="shared" ref="D69:M69" si="8">SUM(D67:D68)</f>
        <v>0</v>
      </c>
      <c r="E69" s="804">
        <f t="shared" si="8"/>
        <v>0</v>
      </c>
      <c r="F69" s="804">
        <f t="shared" si="8"/>
        <v>0</v>
      </c>
      <c r="G69" s="804">
        <f t="shared" si="8"/>
        <v>0</v>
      </c>
      <c r="H69" s="804">
        <f t="shared" si="8"/>
        <v>0</v>
      </c>
      <c r="I69" s="804">
        <f t="shared" si="8"/>
        <v>0</v>
      </c>
      <c r="J69" s="804">
        <f t="shared" si="8"/>
        <v>0</v>
      </c>
      <c r="K69" s="804">
        <f t="shared" si="8"/>
        <v>5080.7647058823532</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268.07142857142856</v>
      </c>
      <c r="C78" s="817">
        <f>B78*IFERROR(SUM(I78:L78)/SUM(D78:M78),0)</f>
        <v>268.07142857142856</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315.37815126050418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268.07142857142856</v>
      </c>
      <c r="C81" s="803">
        <f>SUM(C78:C80)</f>
        <v>268.07142857142856</v>
      </c>
      <c r="D81" s="803">
        <f t="shared" ref="D81:P81" si="9">SUM(D78:D80)</f>
        <v>0</v>
      </c>
      <c r="E81" s="803">
        <f t="shared" si="9"/>
        <v>0</v>
      </c>
      <c r="F81" s="803">
        <f t="shared" si="9"/>
        <v>0</v>
      </c>
      <c r="G81" s="803">
        <f t="shared" si="9"/>
        <v>0</v>
      </c>
      <c r="H81" s="803">
        <f t="shared" si="9"/>
        <v>0</v>
      </c>
      <c r="I81" s="803">
        <f t="shared" si="9"/>
        <v>0</v>
      </c>
      <c r="J81" s="803">
        <f t="shared" si="9"/>
        <v>0</v>
      </c>
      <c r="K81" s="803">
        <f t="shared" si="9"/>
        <v>315.37815126050418</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26960.711536148097</v>
      </c>
      <c r="C4" s="478">
        <f>huishoudens!C8</f>
        <v>0</v>
      </c>
      <c r="D4" s="478">
        <f>huishoudens!D8</f>
        <v>53364.600752099999</v>
      </c>
      <c r="E4" s="478">
        <f>huishoudens!E8</f>
        <v>10357.215868482297</v>
      </c>
      <c r="F4" s="478">
        <f>huishoudens!F8</f>
        <v>9922.9802696845509</v>
      </c>
      <c r="G4" s="478">
        <f>huishoudens!G8</f>
        <v>0</v>
      </c>
      <c r="H4" s="478">
        <f>huishoudens!H8</f>
        <v>0</v>
      </c>
      <c r="I4" s="478">
        <f>huishoudens!I8</f>
        <v>0</v>
      </c>
      <c r="J4" s="478">
        <f>huishoudens!J8</f>
        <v>3585.9752525990561</v>
      </c>
      <c r="K4" s="478">
        <f>huishoudens!K8</f>
        <v>0</v>
      </c>
      <c r="L4" s="478">
        <f>huishoudens!L8</f>
        <v>0</v>
      </c>
      <c r="M4" s="478">
        <f>huishoudens!M8</f>
        <v>0</v>
      </c>
      <c r="N4" s="478">
        <f>huishoudens!N8</f>
        <v>30159.732181808416</v>
      </c>
      <c r="O4" s="478">
        <f>huishoudens!O8</f>
        <v>356.44</v>
      </c>
      <c r="P4" s="479">
        <f>huishoudens!P8</f>
        <v>743.6</v>
      </c>
      <c r="Q4" s="480">
        <f>SUM(B4:P4)</f>
        <v>135451.25586082242</v>
      </c>
    </row>
    <row r="5" spans="1:17">
      <c r="A5" s="477" t="s">
        <v>156</v>
      </c>
      <c r="B5" s="478">
        <f ca="1">tertiair!B16</f>
        <v>28154.583347</v>
      </c>
      <c r="C5" s="478">
        <f ca="1">tertiair!C16</f>
        <v>0</v>
      </c>
      <c r="D5" s="478">
        <f ca="1">tertiair!D16</f>
        <v>21016.459303333999</v>
      </c>
      <c r="E5" s="478">
        <f>tertiair!E16</f>
        <v>393.61089592548694</v>
      </c>
      <c r="F5" s="478">
        <f ca="1">tertiair!F16</f>
        <v>5634.3277504097377</v>
      </c>
      <c r="G5" s="478">
        <f>tertiair!G16</f>
        <v>0</v>
      </c>
      <c r="H5" s="478">
        <f>tertiair!H16</f>
        <v>0</v>
      </c>
      <c r="I5" s="478">
        <f>tertiair!I16</f>
        <v>0</v>
      </c>
      <c r="J5" s="478">
        <f>tertiair!J16</f>
        <v>0.20486967502495257</v>
      </c>
      <c r="K5" s="478">
        <f>tertiair!K16</f>
        <v>0</v>
      </c>
      <c r="L5" s="478">
        <f ca="1">tertiair!L16</f>
        <v>0</v>
      </c>
      <c r="M5" s="478">
        <f>tertiair!M16</f>
        <v>0</v>
      </c>
      <c r="N5" s="478">
        <f ca="1">tertiair!N16</f>
        <v>8059.812319446024</v>
      </c>
      <c r="O5" s="478">
        <f>tertiair!O16</f>
        <v>3.1266666666666669</v>
      </c>
      <c r="P5" s="479">
        <f>tertiair!P16</f>
        <v>19.066666666666666</v>
      </c>
      <c r="Q5" s="477">
        <f t="shared" ref="Q5:Q13" ca="1" si="0">SUM(B5:P5)</f>
        <v>63281.191819123604</v>
      </c>
    </row>
    <row r="6" spans="1:17">
      <c r="A6" s="477" t="s">
        <v>194</v>
      </c>
      <c r="B6" s="478">
        <f>'openbare verlichting'!B8</f>
        <v>845.55600000000004</v>
      </c>
      <c r="C6" s="478"/>
      <c r="D6" s="478"/>
      <c r="E6" s="478"/>
      <c r="F6" s="478"/>
      <c r="G6" s="478"/>
      <c r="H6" s="478"/>
      <c r="I6" s="478"/>
      <c r="J6" s="478"/>
      <c r="K6" s="478"/>
      <c r="L6" s="478"/>
      <c r="M6" s="478"/>
      <c r="N6" s="478"/>
      <c r="O6" s="478"/>
      <c r="P6" s="479"/>
      <c r="Q6" s="477">
        <f t="shared" si="0"/>
        <v>845.55600000000004</v>
      </c>
    </row>
    <row r="7" spans="1:17">
      <c r="A7" s="477" t="s">
        <v>112</v>
      </c>
      <c r="B7" s="478">
        <f>landbouw!B8</f>
        <v>9783.4557074118766</v>
      </c>
      <c r="C7" s="478">
        <f>landbouw!C8</f>
        <v>268.07142857142856</v>
      </c>
      <c r="D7" s="478">
        <f>landbouw!D8</f>
        <v>4568.4145076900004</v>
      </c>
      <c r="E7" s="478">
        <f>landbouw!E8</f>
        <v>287.5656453636048</v>
      </c>
      <c r="F7" s="478">
        <f>landbouw!F8</f>
        <v>40757.347806880112</v>
      </c>
      <c r="G7" s="478">
        <f>landbouw!G8</f>
        <v>0</v>
      </c>
      <c r="H7" s="478">
        <f>landbouw!H8</f>
        <v>0</v>
      </c>
      <c r="I7" s="478">
        <f>landbouw!I8</f>
        <v>0</v>
      </c>
      <c r="J7" s="478">
        <f>landbouw!J8</f>
        <v>1417.4126298876488</v>
      </c>
      <c r="K7" s="478">
        <f>landbouw!K8</f>
        <v>0</v>
      </c>
      <c r="L7" s="478">
        <f>landbouw!L8</f>
        <v>0</v>
      </c>
      <c r="M7" s="478">
        <f>landbouw!M8</f>
        <v>0</v>
      </c>
      <c r="N7" s="478">
        <f>landbouw!N8</f>
        <v>0</v>
      </c>
      <c r="O7" s="478">
        <f>landbouw!O8</f>
        <v>0</v>
      </c>
      <c r="P7" s="479">
        <f>landbouw!P8</f>
        <v>0</v>
      </c>
      <c r="Q7" s="477">
        <f t="shared" si="0"/>
        <v>57082.267725804675</v>
      </c>
    </row>
    <row r="8" spans="1:17">
      <c r="A8" s="477" t="s">
        <v>635</v>
      </c>
      <c r="B8" s="478">
        <f>industrie!B18</f>
        <v>22886.706539999999</v>
      </c>
      <c r="C8" s="478">
        <f>industrie!C18</f>
        <v>0</v>
      </c>
      <c r="D8" s="478">
        <f>industrie!D18</f>
        <v>7913.2774094440001</v>
      </c>
      <c r="E8" s="478">
        <f>industrie!E18</f>
        <v>3901.5604716916969</v>
      </c>
      <c r="F8" s="478">
        <f>industrie!F18</f>
        <v>11309.410026341366</v>
      </c>
      <c r="G8" s="478">
        <f>industrie!G18</f>
        <v>0</v>
      </c>
      <c r="H8" s="478">
        <f>industrie!H18</f>
        <v>0</v>
      </c>
      <c r="I8" s="478">
        <f>industrie!I18</f>
        <v>0</v>
      </c>
      <c r="J8" s="478">
        <f>industrie!J18</f>
        <v>1.2066596871772828</v>
      </c>
      <c r="K8" s="478">
        <f>industrie!K18</f>
        <v>0</v>
      </c>
      <c r="L8" s="478">
        <f>industrie!L18</f>
        <v>0</v>
      </c>
      <c r="M8" s="478">
        <f>industrie!M18</f>
        <v>0</v>
      </c>
      <c r="N8" s="478">
        <f>industrie!N18</f>
        <v>5679.2939284029062</v>
      </c>
      <c r="O8" s="478">
        <f>industrie!O18</f>
        <v>0</v>
      </c>
      <c r="P8" s="479">
        <f>industrie!P18</f>
        <v>0</v>
      </c>
      <c r="Q8" s="477">
        <f t="shared" si="0"/>
        <v>51691.455035567138</v>
      </c>
    </row>
    <row r="9" spans="1:17" s="483" customFormat="1">
      <c r="A9" s="481" t="s">
        <v>561</v>
      </c>
      <c r="B9" s="482">
        <f>transport!B14</f>
        <v>60.659130319354105</v>
      </c>
      <c r="C9" s="482"/>
      <c r="D9" s="482">
        <f>transport!D14</f>
        <v>202.80300767184025</v>
      </c>
      <c r="E9" s="482">
        <f>transport!E14</f>
        <v>272.24595179142597</v>
      </c>
      <c r="F9" s="482"/>
      <c r="G9" s="482">
        <f>transport!G14</f>
        <v>105806.77486417774</v>
      </c>
      <c r="H9" s="482">
        <f>transport!H14</f>
        <v>22920.566851378633</v>
      </c>
      <c r="I9" s="482"/>
      <c r="J9" s="482"/>
      <c r="K9" s="482"/>
      <c r="L9" s="482"/>
      <c r="M9" s="482">
        <f>transport!M14</f>
        <v>6862.0976449160617</v>
      </c>
      <c r="N9" s="482"/>
      <c r="O9" s="482"/>
      <c r="P9" s="482"/>
      <c r="Q9" s="481">
        <f>SUM(B9:P9)</f>
        <v>136125.14745025506</v>
      </c>
    </row>
    <row r="10" spans="1:17">
      <c r="A10" s="477" t="s">
        <v>551</v>
      </c>
      <c r="B10" s="478">
        <f>transport!B54</f>
        <v>0</v>
      </c>
      <c r="C10" s="478"/>
      <c r="D10" s="478">
        <f>transport!D54</f>
        <v>0</v>
      </c>
      <c r="E10" s="478"/>
      <c r="F10" s="478"/>
      <c r="G10" s="478">
        <f>transport!G54</f>
        <v>1864.6290579443212</v>
      </c>
      <c r="H10" s="478"/>
      <c r="I10" s="478"/>
      <c r="J10" s="478"/>
      <c r="K10" s="478"/>
      <c r="L10" s="478"/>
      <c r="M10" s="478">
        <f>transport!M54</f>
        <v>105.90269894383226</v>
      </c>
      <c r="N10" s="478"/>
      <c r="O10" s="478"/>
      <c r="P10" s="479"/>
      <c r="Q10" s="477">
        <f t="shared" si="0"/>
        <v>1970.5317568881535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88691.672260879321</v>
      </c>
      <c r="C14" s="488">
        <f t="shared" ref="C14:Q14" ca="1" si="1">SUM(C4:C13)</f>
        <v>268.07142857142856</v>
      </c>
      <c r="D14" s="488">
        <f t="shared" ca="1" si="1"/>
        <v>87065.554980239845</v>
      </c>
      <c r="E14" s="488">
        <f t="shared" si="1"/>
        <v>15212.198833254513</v>
      </c>
      <c r="F14" s="488">
        <f t="shared" ca="1" si="1"/>
        <v>67624.065853315769</v>
      </c>
      <c r="G14" s="488">
        <f t="shared" si="1"/>
        <v>107671.40392212206</v>
      </c>
      <c r="H14" s="488">
        <f t="shared" si="1"/>
        <v>22920.566851378633</v>
      </c>
      <c r="I14" s="488">
        <f t="shared" si="1"/>
        <v>0</v>
      </c>
      <c r="J14" s="488">
        <f t="shared" si="1"/>
        <v>5004.7994118489069</v>
      </c>
      <c r="K14" s="488">
        <f t="shared" si="1"/>
        <v>0</v>
      </c>
      <c r="L14" s="488">
        <f t="shared" ca="1" si="1"/>
        <v>0</v>
      </c>
      <c r="M14" s="488">
        <f t="shared" si="1"/>
        <v>6968.0003438598942</v>
      </c>
      <c r="N14" s="488">
        <f t="shared" ca="1" si="1"/>
        <v>43898.838429657342</v>
      </c>
      <c r="O14" s="488">
        <f t="shared" si="1"/>
        <v>359.56666666666666</v>
      </c>
      <c r="P14" s="489">
        <f t="shared" si="1"/>
        <v>762.66666666666674</v>
      </c>
      <c r="Q14" s="489">
        <f t="shared" ca="1" si="1"/>
        <v>446447.40564846102</v>
      </c>
    </row>
    <row r="16" spans="1:17">
      <c r="A16" s="491" t="s">
        <v>556</v>
      </c>
      <c r="B16" s="841">
        <f ca="1">huishoudens!B10</f>
        <v>0.1887498570457693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5088.8304483001766</v>
      </c>
      <c r="C21" s="478">
        <f t="shared" ref="C21:C28" ca="1" si="3">C4*$C$16</f>
        <v>0</v>
      </c>
      <c r="D21" s="478">
        <f t="shared" ref="D21:D30" si="4">D4*$D$16</f>
        <v>10779.649351924201</v>
      </c>
      <c r="E21" s="478">
        <f t="shared" ref="E21:E30" si="5">E4*$E$16</f>
        <v>2351.0880021454814</v>
      </c>
      <c r="F21" s="478">
        <f t="shared" ref="F21:F28" si="6">F4*$F$16</f>
        <v>2649.4357320057752</v>
      </c>
      <c r="G21" s="478">
        <f t="shared" ref="G21:G30" si="7">G4*$G$16</f>
        <v>0</v>
      </c>
      <c r="H21" s="478">
        <f t="shared" ref="H21:H30" si="8">H4*$H$16</f>
        <v>0</v>
      </c>
      <c r="I21" s="478">
        <f t="shared" ref="I21:I28" si="9">I4*$I$16</f>
        <v>0</v>
      </c>
      <c r="J21" s="478">
        <f t="shared" ref="J21:J28" si="10">J4*$J$16</f>
        <v>1269.4352394200657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22138.438773795697</v>
      </c>
    </row>
    <row r="22" spans="1:17">
      <c r="A22" s="477" t="s">
        <v>156</v>
      </c>
      <c r="B22" s="478">
        <f t="shared" ca="1" si="2"/>
        <v>5314.1735819294472</v>
      </c>
      <c r="C22" s="478">
        <f t="shared" ca="1" si="3"/>
        <v>0</v>
      </c>
      <c r="D22" s="478">
        <f t="shared" ca="1" si="4"/>
        <v>4245.3247792734683</v>
      </c>
      <c r="E22" s="478">
        <f t="shared" si="5"/>
        <v>89.349673375085544</v>
      </c>
      <c r="F22" s="478">
        <f t="shared" ca="1" si="6"/>
        <v>1504.3655093594</v>
      </c>
      <c r="G22" s="478">
        <f t="shared" si="7"/>
        <v>0</v>
      </c>
      <c r="H22" s="478">
        <f t="shared" si="8"/>
        <v>0</v>
      </c>
      <c r="I22" s="478">
        <f t="shared" si="9"/>
        <v>0</v>
      </c>
      <c r="J22" s="478">
        <f t="shared" si="10"/>
        <v>7.2523864958833201E-2</v>
      </c>
      <c r="K22" s="478">
        <f t="shared" si="11"/>
        <v>0</v>
      </c>
      <c r="L22" s="478">
        <f t="shared" ca="1" si="12"/>
        <v>0</v>
      </c>
      <c r="M22" s="478">
        <f t="shared" si="13"/>
        <v>0</v>
      </c>
      <c r="N22" s="478">
        <f t="shared" ca="1" si="14"/>
        <v>0</v>
      </c>
      <c r="O22" s="478">
        <f t="shared" si="15"/>
        <v>0</v>
      </c>
      <c r="P22" s="479">
        <f t="shared" si="16"/>
        <v>0</v>
      </c>
      <c r="Q22" s="477">
        <f t="shared" ref="Q22:Q30" ca="1" si="17">SUM(B22:P22)</f>
        <v>11153.286067802361</v>
      </c>
    </row>
    <row r="23" spans="1:17">
      <c r="A23" s="477" t="s">
        <v>194</v>
      </c>
      <c r="B23" s="478">
        <f t="shared" ca="1" si="2"/>
        <v>159.59857412419251</v>
      </c>
      <c r="C23" s="478"/>
      <c r="D23" s="478"/>
      <c r="E23" s="478"/>
      <c r="F23" s="478"/>
      <c r="G23" s="478"/>
      <c r="H23" s="478"/>
      <c r="I23" s="478"/>
      <c r="J23" s="478"/>
      <c r="K23" s="478"/>
      <c r="L23" s="478"/>
      <c r="M23" s="478"/>
      <c r="N23" s="478"/>
      <c r="O23" s="478"/>
      <c r="P23" s="479"/>
      <c r="Q23" s="477">
        <f t="shared" ca="1" si="17"/>
        <v>159.59857412419251</v>
      </c>
    </row>
    <row r="24" spans="1:17">
      <c r="A24" s="477" t="s">
        <v>112</v>
      </c>
      <c r="B24" s="478">
        <f t="shared" ca="1" si="2"/>
        <v>1846.6258661876075</v>
      </c>
      <c r="C24" s="478">
        <f t="shared" ca="1" si="3"/>
        <v>0</v>
      </c>
      <c r="D24" s="478">
        <f t="shared" si="4"/>
        <v>922.81973055338017</v>
      </c>
      <c r="E24" s="478">
        <f t="shared" si="5"/>
        <v>65.277401497538293</v>
      </c>
      <c r="F24" s="478">
        <f t="shared" si="6"/>
        <v>10882.211864436991</v>
      </c>
      <c r="G24" s="478">
        <f t="shared" si="7"/>
        <v>0</v>
      </c>
      <c r="H24" s="478">
        <f t="shared" si="8"/>
        <v>0</v>
      </c>
      <c r="I24" s="478">
        <f t="shared" si="9"/>
        <v>0</v>
      </c>
      <c r="J24" s="478">
        <f t="shared" si="10"/>
        <v>501.76407098022764</v>
      </c>
      <c r="K24" s="478">
        <f t="shared" si="11"/>
        <v>0</v>
      </c>
      <c r="L24" s="478">
        <f t="shared" si="12"/>
        <v>0</v>
      </c>
      <c r="M24" s="478">
        <f t="shared" si="13"/>
        <v>0</v>
      </c>
      <c r="N24" s="478">
        <f t="shared" si="14"/>
        <v>0</v>
      </c>
      <c r="O24" s="478">
        <f t="shared" si="15"/>
        <v>0</v>
      </c>
      <c r="P24" s="479">
        <f t="shared" si="16"/>
        <v>0</v>
      </c>
      <c r="Q24" s="477">
        <f t="shared" ca="1" si="17"/>
        <v>14218.698933655744</v>
      </c>
    </row>
    <row r="25" spans="1:17">
      <c r="A25" s="477" t="s">
        <v>635</v>
      </c>
      <c r="B25" s="478">
        <f t="shared" ca="1" si="2"/>
        <v>4319.8625876734732</v>
      </c>
      <c r="C25" s="478">
        <f t="shared" ca="1" si="3"/>
        <v>0</v>
      </c>
      <c r="D25" s="478">
        <f t="shared" si="4"/>
        <v>1598.4820367076882</v>
      </c>
      <c r="E25" s="478">
        <f t="shared" si="5"/>
        <v>885.65422707401524</v>
      </c>
      <c r="F25" s="478">
        <f t="shared" si="6"/>
        <v>3019.6124770331448</v>
      </c>
      <c r="G25" s="478">
        <f t="shared" si="7"/>
        <v>0</v>
      </c>
      <c r="H25" s="478">
        <f t="shared" si="8"/>
        <v>0</v>
      </c>
      <c r="I25" s="478">
        <f t="shared" si="9"/>
        <v>0</v>
      </c>
      <c r="J25" s="478">
        <f t="shared" si="10"/>
        <v>0.42715752926075806</v>
      </c>
      <c r="K25" s="478">
        <f t="shared" si="11"/>
        <v>0</v>
      </c>
      <c r="L25" s="478">
        <f t="shared" si="12"/>
        <v>0</v>
      </c>
      <c r="M25" s="478">
        <f t="shared" si="13"/>
        <v>0</v>
      </c>
      <c r="N25" s="478">
        <f t="shared" si="14"/>
        <v>0</v>
      </c>
      <c r="O25" s="478">
        <f t="shared" si="15"/>
        <v>0</v>
      </c>
      <c r="P25" s="479">
        <f t="shared" si="16"/>
        <v>0</v>
      </c>
      <c r="Q25" s="477">
        <f t="shared" ca="1" si="17"/>
        <v>9824.0384860175818</v>
      </c>
    </row>
    <row r="26" spans="1:17" s="483" customFormat="1">
      <c r="A26" s="481" t="s">
        <v>561</v>
      </c>
      <c r="B26" s="835">
        <f t="shared" ca="1" si="2"/>
        <v>11.449402176298777</v>
      </c>
      <c r="C26" s="482"/>
      <c r="D26" s="482">
        <f t="shared" si="4"/>
        <v>40.966207549711733</v>
      </c>
      <c r="E26" s="482">
        <f t="shared" si="5"/>
        <v>61.799831056653694</v>
      </c>
      <c r="F26" s="482"/>
      <c r="G26" s="482">
        <f t="shared" si="7"/>
        <v>28250.408888735459</v>
      </c>
      <c r="H26" s="482">
        <f t="shared" si="8"/>
        <v>5707.2211459932796</v>
      </c>
      <c r="I26" s="482"/>
      <c r="J26" s="482"/>
      <c r="K26" s="482"/>
      <c r="L26" s="482"/>
      <c r="M26" s="482">
        <f t="shared" si="13"/>
        <v>0</v>
      </c>
      <c r="N26" s="482"/>
      <c r="O26" s="482"/>
      <c r="P26" s="493"/>
      <c r="Q26" s="481">
        <f t="shared" ca="1" si="17"/>
        <v>34071.8454755114</v>
      </c>
    </row>
    <row r="27" spans="1:17">
      <c r="A27" s="477" t="s">
        <v>551</v>
      </c>
      <c r="B27" s="478">
        <f t="shared" ca="1" si="2"/>
        <v>0</v>
      </c>
      <c r="C27" s="478"/>
      <c r="D27" s="482">
        <f t="shared" si="4"/>
        <v>0</v>
      </c>
      <c r="E27" s="478"/>
      <c r="F27" s="478"/>
      <c r="G27" s="478">
        <f t="shared" si="7"/>
        <v>497.85595847113376</v>
      </c>
      <c r="H27" s="478"/>
      <c r="I27" s="478"/>
      <c r="J27" s="478"/>
      <c r="K27" s="478"/>
      <c r="L27" s="478"/>
      <c r="M27" s="478">
        <f t="shared" si="13"/>
        <v>0</v>
      </c>
      <c r="N27" s="478"/>
      <c r="O27" s="478"/>
      <c r="P27" s="479"/>
      <c r="Q27" s="477">
        <f t="shared" ca="1" si="17"/>
        <v>497.85595847113376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16740.540460391196</v>
      </c>
      <c r="C31" s="488">
        <f t="shared" ca="1" si="18"/>
        <v>0</v>
      </c>
      <c r="D31" s="488">
        <f t="shared" ca="1" si="18"/>
        <v>17587.242106008445</v>
      </c>
      <c r="E31" s="488">
        <f t="shared" si="18"/>
        <v>3453.1691351487739</v>
      </c>
      <c r="F31" s="488">
        <f t="shared" ca="1" si="18"/>
        <v>18055.62558283531</v>
      </c>
      <c r="G31" s="488">
        <f t="shared" si="18"/>
        <v>28748.264847206592</v>
      </c>
      <c r="H31" s="488">
        <f t="shared" si="18"/>
        <v>5707.2211459932796</v>
      </c>
      <c r="I31" s="488">
        <f t="shared" si="18"/>
        <v>0</v>
      </c>
      <c r="J31" s="488">
        <f t="shared" si="18"/>
        <v>1771.6989917945129</v>
      </c>
      <c r="K31" s="488">
        <f t="shared" si="18"/>
        <v>0</v>
      </c>
      <c r="L31" s="488">
        <f t="shared" ca="1" si="18"/>
        <v>0</v>
      </c>
      <c r="M31" s="488">
        <f t="shared" si="18"/>
        <v>0</v>
      </c>
      <c r="N31" s="488">
        <f t="shared" ca="1" si="18"/>
        <v>0</v>
      </c>
      <c r="O31" s="488">
        <f t="shared" si="18"/>
        <v>0</v>
      </c>
      <c r="P31" s="489">
        <f t="shared" si="18"/>
        <v>0</v>
      </c>
      <c r="Q31" s="489">
        <f t="shared" ca="1" si="18"/>
        <v>92063.762269378116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0.1887498570457693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0.1887498570457693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0.1887498570457693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7072</v>
      </c>
      <c r="C9" s="342">
        <v>7181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12274.45</v>
      </c>
    </row>
    <row r="15" spans="1:6">
      <c r="A15" s="348" t="s">
        <v>184</v>
      </c>
      <c r="B15" s="334">
        <v>173</v>
      </c>
    </row>
    <row r="16" spans="1:6">
      <c r="A16" s="348" t="s">
        <v>6</v>
      </c>
      <c r="B16" s="334">
        <v>7246</v>
      </c>
    </row>
    <row r="17" spans="1:6">
      <c r="A17" s="348" t="s">
        <v>7</v>
      </c>
      <c r="B17" s="334">
        <v>3360</v>
      </c>
    </row>
    <row r="18" spans="1:6">
      <c r="A18" s="348" t="s">
        <v>8</v>
      </c>
      <c r="B18" s="334">
        <v>6112</v>
      </c>
    </row>
    <row r="19" spans="1:6">
      <c r="A19" s="348" t="s">
        <v>9</v>
      </c>
      <c r="B19" s="334">
        <v>6100</v>
      </c>
    </row>
    <row r="20" spans="1:6">
      <c r="A20" s="348" t="s">
        <v>10</v>
      </c>
      <c r="B20" s="334">
        <v>3906</v>
      </c>
    </row>
    <row r="21" spans="1:6">
      <c r="A21" s="348" t="s">
        <v>11</v>
      </c>
      <c r="B21" s="334">
        <v>58385</v>
      </c>
    </row>
    <row r="22" spans="1:6">
      <c r="A22" s="348" t="s">
        <v>12</v>
      </c>
      <c r="B22" s="334">
        <v>114288</v>
      </c>
    </row>
    <row r="23" spans="1:6">
      <c r="A23" s="348" t="s">
        <v>13</v>
      </c>
      <c r="B23" s="334">
        <v>1842</v>
      </c>
    </row>
    <row r="24" spans="1:6">
      <c r="A24" s="348" t="s">
        <v>14</v>
      </c>
      <c r="B24" s="334">
        <v>97</v>
      </c>
    </row>
    <row r="25" spans="1:6">
      <c r="A25" s="348" t="s">
        <v>15</v>
      </c>
      <c r="B25" s="334">
        <v>12318</v>
      </c>
    </row>
    <row r="26" spans="1:6">
      <c r="A26" s="348" t="s">
        <v>16</v>
      </c>
      <c r="B26" s="334">
        <v>1520</v>
      </c>
    </row>
    <row r="27" spans="1:6">
      <c r="A27" s="348" t="s">
        <v>17</v>
      </c>
      <c r="B27" s="334">
        <v>17</v>
      </c>
    </row>
    <row r="28" spans="1:6" s="356" customFormat="1">
      <c r="A28" s="355" t="s">
        <v>18</v>
      </c>
      <c r="B28" s="355">
        <v>408082</v>
      </c>
    </row>
    <row r="29" spans="1:6">
      <c r="A29" s="355" t="s">
        <v>744</v>
      </c>
      <c r="B29" s="355">
        <v>156</v>
      </c>
      <c r="C29" s="356"/>
      <c r="D29" s="356"/>
      <c r="E29" s="356"/>
      <c r="F29" s="356"/>
    </row>
    <row r="30" spans="1:6">
      <c r="A30" s="341" t="s">
        <v>745</v>
      </c>
      <c r="B30" s="341">
        <v>33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11</v>
      </c>
      <c r="F36" s="334">
        <v>74075</v>
      </c>
    </row>
    <row r="37" spans="1:6">
      <c r="A37" s="348" t="s">
        <v>25</v>
      </c>
      <c r="B37" s="348" t="s">
        <v>28</v>
      </c>
      <c r="C37" s="334">
        <v>0</v>
      </c>
      <c r="D37" s="334">
        <v>0</v>
      </c>
      <c r="E37" s="334">
        <v>0</v>
      </c>
      <c r="F37" s="334">
        <v>0</v>
      </c>
    </row>
    <row r="38" spans="1:6">
      <c r="A38" s="348" t="s">
        <v>25</v>
      </c>
      <c r="B38" s="348" t="s">
        <v>29</v>
      </c>
      <c r="C38" s="334">
        <v>1</v>
      </c>
      <c r="D38" s="334">
        <v>1143587.3330000001</v>
      </c>
      <c r="E38" s="334">
        <v>0</v>
      </c>
      <c r="F38" s="334">
        <v>0</v>
      </c>
    </row>
    <row r="39" spans="1:6">
      <c r="A39" s="348" t="s">
        <v>30</v>
      </c>
      <c r="B39" s="348" t="s">
        <v>31</v>
      </c>
      <c r="C39" s="334">
        <v>4364</v>
      </c>
      <c r="D39" s="334">
        <v>59162528.549999997</v>
      </c>
      <c r="E39" s="334">
        <v>6586</v>
      </c>
      <c r="F39" s="334">
        <v>23014166.966304604</v>
      </c>
    </row>
    <row r="40" spans="1:6">
      <c r="A40" s="348" t="s">
        <v>30</v>
      </c>
      <c r="B40" s="348" t="s">
        <v>29</v>
      </c>
      <c r="C40" s="334">
        <v>0</v>
      </c>
      <c r="D40" s="334">
        <v>0</v>
      </c>
      <c r="E40" s="334">
        <v>0</v>
      </c>
      <c r="F40" s="334">
        <v>0</v>
      </c>
    </row>
    <row r="41" spans="1:6">
      <c r="A41" s="348" t="s">
        <v>32</v>
      </c>
      <c r="B41" s="348" t="s">
        <v>33</v>
      </c>
      <c r="C41" s="334">
        <v>105</v>
      </c>
      <c r="D41" s="334">
        <v>5032657.2719999999</v>
      </c>
      <c r="E41" s="334">
        <v>252</v>
      </c>
      <c r="F41" s="334">
        <v>13117662.501</v>
      </c>
    </row>
    <row r="42" spans="1:6">
      <c r="A42" s="348" t="s">
        <v>32</v>
      </c>
      <c r="B42" s="348" t="s">
        <v>34</v>
      </c>
      <c r="C42" s="334">
        <v>0</v>
      </c>
      <c r="D42" s="334">
        <v>0</v>
      </c>
      <c r="E42" s="334">
        <v>3</v>
      </c>
      <c r="F42" s="334">
        <v>178138</v>
      </c>
    </row>
    <row r="43" spans="1:6">
      <c r="A43" s="348" t="s">
        <v>32</v>
      </c>
      <c r="B43" s="348" t="s">
        <v>35</v>
      </c>
      <c r="C43" s="334">
        <v>0</v>
      </c>
      <c r="D43" s="334">
        <v>0</v>
      </c>
      <c r="E43" s="334">
        <v>0</v>
      </c>
      <c r="F43" s="334">
        <v>0</v>
      </c>
    </row>
    <row r="44" spans="1:6">
      <c r="A44" s="348" t="s">
        <v>32</v>
      </c>
      <c r="B44" s="348" t="s">
        <v>36</v>
      </c>
      <c r="C44" s="334">
        <v>22</v>
      </c>
      <c r="D44" s="334">
        <v>1975503</v>
      </c>
      <c r="E44" s="334">
        <v>57</v>
      </c>
      <c r="F44" s="334">
        <v>4137543.3220000002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220038</v>
      </c>
      <c r="E47" s="334">
        <v>5</v>
      </c>
      <c r="F47" s="334">
        <v>301417</v>
      </c>
    </row>
    <row r="48" spans="1:6">
      <c r="A48" s="348" t="s">
        <v>32</v>
      </c>
      <c r="B48" s="348" t="s">
        <v>29</v>
      </c>
      <c r="C48" s="334">
        <v>2</v>
      </c>
      <c r="D48" s="334">
        <v>187414</v>
      </c>
      <c r="E48" s="334">
        <v>3</v>
      </c>
      <c r="F48" s="334">
        <v>324036</v>
      </c>
    </row>
    <row r="49" spans="1:6">
      <c r="A49" s="348" t="s">
        <v>32</v>
      </c>
      <c r="B49" s="348" t="s">
        <v>40</v>
      </c>
      <c r="C49" s="334">
        <v>0</v>
      </c>
      <c r="D49" s="334">
        <v>0</v>
      </c>
      <c r="E49" s="334">
        <v>0</v>
      </c>
      <c r="F49" s="334">
        <v>0</v>
      </c>
    </row>
    <row r="50" spans="1:6">
      <c r="A50" s="348" t="s">
        <v>32</v>
      </c>
      <c r="B50" s="348" t="s">
        <v>41</v>
      </c>
      <c r="C50" s="334">
        <v>18</v>
      </c>
      <c r="D50" s="334">
        <v>1357422.55</v>
      </c>
      <c r="E50" s="334">
        <v>38</v>
      </c>
      <c r="F50" s="334">
        <v>4827909.7170000002</v>
      </c>
    </row>
    <row r="51" spans="1:6">
      <c r="A51" s="348" t="s">
        <v>42</v>
      </c>
      <c r="B51" s="348" t="s">
        <v>43</v>
      </c>
      <c r="C51" s="334">
        <v>40</v>
      </c>
      <c r="D51" s="334">
        <v>1062655</v>
      </c>
      <c r="E51" s="334">
        <v>386</v>
      </c>
      <c r="F51" s="334">
        <v>9751462.9480000008</v>
      </c>
    </row>
    <row r="52" spans="1:6">
      <c r="A52" s="348" t="s">
        <v>42</v>
      </c>
      <c r="B52" s="348" t="s">
        <v>29</v>
      </c>
      <c r="C52" s="334">
        <v>0</v>
      </c>
      <c r="D52" s="334">
        <v>0</v>
      </c>
      <c r="E52" s="334">
        <v>1</v>
      </c>
      <c r="F52" s="334">
        <v>31992.7594118743</v>
      </c>
    </row>
    <row r="53" spans="1:6">
      <c r="A53" s="348" t="s">
        <v>44</v>
      </c>
      <c r="B53" s="348" t="s">
        <v>45</v>
      </c>
      <c r="C53" s="334">
        <v>85</v>
      </c>
      <c r="D53" s="334">
        <v>4002106.0950000002</v>
      </c>
      <c r="E53" s="334">
        <v>159</v>
      </c>
      <c r="F53" s="334">
        <v>787726.55</v>
      </c>
    </row>
    <row r="54" spans="1:6">
      <c r="A54" s="348" t="s">
        <v>46</v>
      </c>
      <c r="B54" s="348" t="s">
        <v>47</v>
      </c>
      <c r="C54" s="334">
        <v>0</v>
      </c>
      <c r="D54" s="334">
        <v>0</v>
      </c>
      <c r="E54" s="334">
        <v>1</v>
      </c>
      <c r="F54" s="334">
        <v>845556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56</v>
      </c>
      <c r="D57" s="334">
        <v>3990614.3670000001</v>
      </c>
      <c r="E57" s="334">
        <v>120</v>
      </c>
      <c r="F57" s="334">
        <v>9438354.3230000008</v>
      </c>
    </row>
    <row r="58" spans="1:6">
      <c r="A58" s="348" t="s">
        <v>49</v>
      </c>
      <c r="B58" s="348" t="s">
        <v>51</v>
      </c>
      <c r="C58" s="334">
        <v>53</v>
      </c>
      <c r="D58" s="334">
        <v>2116460.5499999998</v>
      </c>
      <c r="E58" s="334">
        <v>69</v>
      </c>
      <c r="F58" s="334">
        <v>1581351.274</v>
      </c>
    </row>
    <row r="59" spans="1:6">
      <c r="A59" s="348" t="s">
        <v>49</v>
      </c>
      <c r="B59" s="348" t="s">
        <v>52</v>
      </c>
      <c r="C59" s="334">
        <v>188</v>
      </c>
      <c r="D59" s="334">
        <v>5538383.5499999998</v>
      </c>
      <c r="E59" s="334">
        <v>360</v>
      </c>
      <c r="F59" s="334">
        <v>9161605.534</v>
      </c>
    </row>
    <row r="60" spans="1:6">
      <c r="A60" s="348" t="s">
        <v>49</v>
      </c>
      <c r="B60" s="348" t="s">
        <v>53</v>
      </c>
      <c r="C60" s="334">
        <v>70</v>
      </c>
      <c r="D60" s="334">
        <v>3492995</v>
      </c>
      <c r="E60" s="334">
        <v>105</v>
      </c>
      <c r="F60" s="334">
        <v>2439589.5079999999</v>
      </c>
    </row>
    <row r="61" spans="1:6">
      <c r="A61" s="348" t="s">
        <v>49</v>
      </c>
      <c r="B61" s="348" t="s">
        <v>54</v>
      </c>
      <c r="C61" s="334">
        <v>168</v>
      </c>
      <c r="D61" s="334">
        <v>7273458.5499999998</v>
      </c>
      <c r="E61" s="334">
        <v>375</v>
      </c>
      <c r="F61" s="334">
        <v>4538981.477</v>
      </c>
    </row>
    <row r="62" spans="1:6">
      <c r="A62" s="348" t="s">
        <v>49</v>
      </c>
      <c r="B62" s="348" t="s">
        <v>55</v>
      </c>
      <c r="C62" s="334">
        <v>10</v>
      </c>
      <c r="D62" s="334">
        <v>887932</v>
      </c>
      <c r="E62" s="334">
        <v>27</v>
      </c>
      <c r="F62" s="334">
        <v>994701.23100000003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23031</v>
      </c>
      <c r="E65" s="334">
        <v>0</v>
      </c>
      <c r="F65" s="334">
        <v>0</v>
      </c>
    </row>
    <row r="66" spans="1:6">
      <c r="A66" s="348" t="s">
        <v>56</v>
      </c>
      <c r="B66" s="348" t="s">
        <v>58</v>
      </c>
      <c r="C66" s="334">
        <v>0</v>
      </c>
      <c r="D66" s="334">
        <v>0</v>
      </c>
      <c r="E66" s="334">
        <v>24</v>
      </c>
      <c r="F66" s="334">
        <v>50562.603000000003</v>
      </c>
    </row>
    <row r="67" spans="1:6">
      <c r="A67" s="355" t="s">
        <v>56</v>
      </c>
      <c r="B67" s="355" t="s">
        <v>59</v>
      </c>
      <c r="C67" s="334">
        <v>0</v>
      </c>
      <c r="D67" s="334">
        <v>0</v>
      </c>
      <c r="E67" s="334">
        <v>0</v>
      </c>
      <c r="F67" s="334">
        <v>0</v>
      </c>
    </row>
    <row r="68" spans="1:6">
      <c r="A68" s="341" t="s">
        <v>56</v>
      </c>
      <c r="B68" s="341" t="s">
        <v>60</v>
      </c>
      <c r="C68" s="334">
        <v>11</v>
      </c>
      <c r="D68" s="334">
        <v>282786</v>
      </c>
      <c r="E68" s="334">
        <v>26</v>
      </c>
      <c r="F68" s="334">
        <v>492584.34299999999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131467925</v>
      </c>
      <c r="E73" s="476">
        <v>135485807.81049928</v>
      </c>
    </row>
    <row r="74" spans="1:6">
      <c r="A74" s="348" t="s">
        <v>64</v>
      </c>
      <c r="B74" s="348" t="s">
        <v>657</v>
      </c>
      <c r="C74" s="1272" t="s">
        <v>659</v>
      </c>
      <c r="D74" s="476">
        <v>13147773.427258084</v>
      </c>
      <c r="E74" s="476">
        <v>12984598.960014697</v>
      </c>
    </row>
    <row r="75" spans="1:6">
      <c r="A75" s="348" t="s">
        <v>65</v>
      </c>
      <c r="B75" s="348" t="s">
        <v>656</v>
      </c>
      <c r="C75" s="1272" t="s">
        <v>660</v>
      </c>
      <c r="D75" s="476">
        <v>22722770</v>
      </c>
      <c r="E75" s="476">
        <v>24100944.661640592</v>
      </c>
    </row>
    <row r="76" spans="1:6">
      <c r="A76" s="348" t="s">
        <v>65</v>
      </c>
      <c r="B76" s="348" t="s">
        <v>657</v>
      </c>
      <c r="C76" s="1272" t="s">
        <v>661</v>
      </c>
      <c r="D76" s="476">
        <v>660159.4272580843</v>
      </c>
      <c r="E76" s="476">
        <v>665465.54947109765</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534441.14548383129</v>
      </c>
      <c r="C83" s="476">
        <v>533993.85480109043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2755.7656745087966</v>
      </c>
    </row>
    <row r="91" spans="1:6">
      <c r="A91" s="348" t="s">
        <v>68</v>
      </c>
      <c r="B91" s="334">
        <v>3946.5445698434937</v>
      </c>
    </row>
    <row r="92" spans="1:6">
      <c r="A92" s="341" t="s">
        <v>69</v>
      </c>
      <c r="B92" s="342">
        <v>4351.6601595533093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2561</v>
      </c>
    </row>
    <row r="98" spans="1:6">
      <c r="A98" s="348" t="s">
        <v>72</v>
      </c>
      <c r="B98" s="334">
        <v>4</v>
      </c>
    </row>
    <row r="99" spans="1:6">
      <c r="A99" s="348" t="s">
        <v>73</v>
      </c>
      <c r="B99" s="334">
        <v>213</v>
      </c>
    </row>
    <row r="100" spans="1:6">
      <c r="A100" s="348" t="s">
        <v>74</v>
      </c>
      <c r="B100" s="334">
        <v>556</v>
      </c>
    </row>
    <row r="101" spans="1:6">
      <c r="A101" s="348" t="s">
        <v>75</v>
      </c>
      <c r="B101" s="334">
        <v>182</v>
      </c>
    </row>
    <row r="102" spans="1:6">
      <c r="A102" s="348" t="s">
        <v>76</v>
      </c>
      <c r="B102" s="334">
        <v>108</v>
      </c>
    </row>
    <row r="103" spans="1:6">
      <c r="A103" s="348" t="s">
        <v>77</v>
      </c>
      <c r="B103" s="334">
        <v>282</v>
      </c>
    </row>
    <row r="104" spans="1:6">
      <c r="A104" s="348" t="s">
        <v>78</v>
      </c>
      <c r="B104" s="334">
        <v>2006</v>
      </c>
    </row>
    <row r="105" spans="1:6">
      <c r="A105" s="341" t="s">
        <v>79</v>
      </c>
      <c r="B105" s="341">
        <v>12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39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188</v>
      </c>
    </row>
    <row r="130" spans="1:6">
      <c r="A130" s="348" t="s">
        <v>295</v>
      </c>
      <c r="B130" s="334">
        <v>2</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88691.672260879335</v>
      </c>
      <c r="C3" s="43" t="s">
        <v>170</v>
      </c>
      <c r="D3" s="43"/>
      <c r="E3" s="154"/>
      <c r="F3" s="43"/>
      <c r="G3" s="43"/>
      <c r="H3" s="43"/>
      <c r="I3" s="43"/>
      <c r="J3" s="43"/>
      <c r="K3" s="96"/>
    </row>
    <row r="4" spans="1:11">
      <c r="A4" s="383" t="s">
        <v>171</v>
      </c>
      <c r="B4" s="49">
        <f>IF(ISERROR('SEAP template'!B69),0,'SEAP template'!B69)</f>
        <v>12942.620403905599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0.1887498570457693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268.07142857142856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845.55600000000004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845.55600000000004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0.1887498570457693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159.59857412419251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23014.166966304605</v>
      </c>
      <c r="C5" s="17">
        <f>IF(ISERROR('Eigen informatie GS &amp; warmtenet'!B57),0,'Eigen informatie GS &amp; warmtenet'!B57)</f>
        <v>0</v>
      </c>
      <c r="D5" s="30">
        <f>(SUM(HH_hh_gas_kWh,HH_rest_gas_kWh)/1000)*0.902</f>
        <v>53364.600752099999</v>
      </c>
      <c r="E5" s="17">
        <f>B46*B57</f>
        <v>10357.215868482297</v>
      </c>
      <c r="F5" s="17">
        <f>B51*B62</f>
        <v>9922.9802696845509</v>
      </c>
      <c r="G5" s="18"/>
      <c r="H5" s="17"/>
      <c r="I5" s="17"/>
      <c r="J5" s="17">
        <f>B50*B61+C50*C61</f>
        <v>3585.9752525990561</v>
      </c>
      <c r="K5" s="17"/>
      <c r="L5" s="17"/>
      <c r="M5" s="17"/>
      <c r="N5" s="17">
        <f>B48*B59+C48*C59</f>
        <v>30159.732181808416</v>
      </c>
      <c r="O5" s="17">
        <f>B69*B70*B71</f>
        <v>356.44</v>
      </c>
      <c r="P5" s="17">
        <f>B77*B78*B79/1000-B77*B78*B79/1000/B80</f>
        <v>743.6</v>
      </c>
    </row>
    <row r="6" spans="1:16">
      <c r="A6" s="16" t="s">
        <v>621</v>
      </c>
      <c r="B6" s="843">
        <f>kWh_PV_kleiner_dan_10kW</f>
        <v>3946.5445698434937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26960.711536148097</v>
      </c>
      <c r="C8" s="21">
        <f>C5</f>
        <v>0</v>
      </c>
      <c r="D8" s="21">
        <f>D5</f>
        <v>53364.600752099999</v>
      </c>
      <c r="E8" s="21">
        <f>E5</f>
        <v>10357.215868482297</v>
      </c>
      <c r="F8" s="21">
        <f>F5</f>
        <v>9922.9802696845509</v>
      </c>
      <c r="G8" s="21"/>
      <c r="H8" s="21"/>
      <c r="I8" s="21"/>
      <c r="J8" s="21">
        <f>J5</f>
        <v>3585.9752525990561</v>
      </c>
      <c r="K8" s="21"/>
      <c r="L8" s="21">
        <f>L5</f>
        <v>0</v>
      </c>
      <c r="M8" s="21">
        <f>M5</f>
        <v>0</v>
      </c>
      <c r="N8" s="21">
        <f>N5</f>
        <v>30159.732181808416</v>
      </c>
      <c r="O8" s="21">
        <f>O5</f>
        <v>356.44</v>
      </c>
      <c r="P8" s="21">
        <f>P5</f>
        <v>743.6</v>
      </c>
    </row>
    <row r="9" spans="1:16">
      <c r="B9" s="19"/>
      <c r="C9" s="19"/>
      <c r="D9" s="258"/>
      <c r="E9" s="19"/>
      <c r="F9" s="19"/>
      <c r="G9" s="19"/>
      <c r="H9" s="19"/>
      <c r="I9" s="19"/>
      <c r="J9" s="19"/>
      <c r="K9" s="19"/>
      <c r="L9" s="19"/>
      <c r="M9" s="19"/>
      <c r="N9" s="19"/>
      <c r="O9" s="19"/>
      <c r="P9" s="19"/>
    </row>
    <row r="10" spans="1:16">
      <c r="A10" s="24" t="s">
        <v>214</v>
      </c>
      <c r="B10" s="25">
        <f ca="1">'EF ele_warmte'!B12</f>
        <v>0.1887498570457693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5088.8304483001766</v>
      </c>
      <c r="C12" s="23">
        <f ca="1">C10*C8</f>
        <v>0</v>
      </c>
      <c r="D12" s="23">
        <f>D8*D10</f>
        <v>10779.649351924201</v>
      </c>
      <c r="E12" s="23">
        <f>E10*E8</f>
        <v>2351.0880021454814</v>
      </c>
      <c r="F12" s="23">
        <f>F10*F8</f>
        <v>2649.4357320057752</v>
      </c>
      <c r="G12" s="23"/>
      <c r="H12" s="23"/>
      <c r="I12" s="23"/>
      <c r="J12" s="23">
        <f>J10*J8</f>
        <v>1269.4352394200657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2561</v>
      </c>
      <c r="C18" s="166" t="s">
        <v>111</v>
      </c>
      <c r="D18" s="228"/>
      <c r="E18" s="15"/>
    </row>
    <row r="19" spans="1:7">
      <c r="A19" s="171" t="s">
        <v>72</v>
      </c>
      <c r="B19" s="37">
        <f>aantalw2001_ander</f>
        <v>4</v>
      </c>
      <c r="C19" s="166" t="s">
        <v>111</v>
      </c>
      <c r="D19" s="229"/>
      <c r="E19" s="15"/>
    </row>
    <row r="20" spans="1:7">
      <c r="A20" s="171" t="s">
        <v>73</v>
      </c>
      <c r="B20" s="37">
        <f>aantalw2001_propaan</f>
        <v>213</v>
      </c>
      <c r="C20" s="167">
        <f>IF(ISERROR(B20/SUM($B$20,$B$21,$B$22)*100),0,B20/SUM($B$20,$B$21,$B$22)*100)</f>
        <v>22.397476340694006</v>
      </c>
      <c r="D20" s="229"/>
      <c r="E20" s="15"/>
    </row>
    <row r="21" spans="1:7">
      <c r="A21" s="171" t="s">
        <v>74</v>
      </c>
      <c r="B21" s="37">
        <f>aantalw2001_elektriciteit</f>
        <v>556</v>
      </c>
      <c r="C21" s="167">
        <f>IF(ISERROR(B21/SUM($B$20,$B$21,$B$22)*100),0,B21/SUM($B$20,$B$21,$B$22)*100)</f>
        <v>58.464773922187177</v>
      </c>
      <c r="D21" s="229"/>
      <c r="E21" s="15"/>
    </row>
    <row r="22" spans="1:7">
      <c r="A22" s="171" t="s">
        <v>75</v>
      </c>
      <c r="B22" s="37">
        <f>aantalw2001_hout</f>
        <v>182</v>
      </c>
      <c r="C22" s="167">
        <f>IF(ISERROR(B22/SUM($B$20,$B$21,$B$22)*100),0,B22/SUM($B$20,$B$21,$B$22)*100)</f>
        <v>19.137749737118824</v>
      </c>
      <c r="D22" s="229"/>
      <c r="E22" s="15"/>
    </row>
    <row r="23" spans="1:7">
      <c r="A23" s="171" t="s">
        <v>76</v>
      </c>
      <c r="B23" s="37">
        <f>aantalw2001_niet_gespec</f>
        <v>108</v>
      </c>
      <c r="C23" s="166" t="s">
        <v>111</v>
      </c>
      <c r="D23" s="228"/>
      <c r="E23" s="15"/>
    </row>
    <row r="24" spans="1:7">
      <c r="A24" s="171" t="s">
        <v>77</v>
      </c>
      <c r="B24" s="37">
        <f>aantalw2001_steenkool</f>
        <v>282</v>
      </c>
      <c r="C24" s="166" t="s">
        <v>111</v>
      </c>
      <c r="D24" s="229"/>
      <c r="E24" s="15"/>
    </row>
    <row r="25" spans="1:7">
      <c r="A25" s="171" t="s">
        <v>78</v>
      </c>
      <c r="B25" s="37">
        <f>aantalw2001_stookolie</f>
        <v>2006</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794</v>
      </c>
      <c r="B28" s="37">
        <f>aantalHuishoudens2011</f>
        <v>7072</v>
      </c>
      <c r="C28" s="36"/>
      <c r="D28" s="228"/>
    </row>
    <row r="29" spans="1:7" s="15" customFormat="1">
      <c r="A29" s="230" t="s">
        <v>795</v>
      </c>
      <c r="B29" s="37">
        <f>SUM(HH_hh_gas_aantal,HH_rest_gas_aantal)</f>
        <v>4364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4364</v>
      </c>
      <c r="C32" s="167">
        <f>IF(ISERROR(B32/SUM($B$32,$B$34,$B$35,$B$36,$B$38,$B$39)*100),0,B32/SUM($B$32,$B$34,$B$35,$B$36,$B$38,$B$39)*100)</f>
        <v>62.050334139058727</v>
      </c>
      <c r="D32" s="233"/>
      <c r="G32" s="15"/>
    </row>
    <row r="33" spans="1:7">
      <c r="A33" s="171" t="s">
        <v>72</v>
      </c>
      <c r="B33" s="34" t="s">
        <v>111</v>
      </c>
      <c r="C33" s="167"/>
      <c r="D33" s="233"/>
      <c r="G33" s="15"/>
    </row>
    <row r="34" spans="1:7">
      <c r="A34" s="171" t="s">
        <v>73</v>
      </c>
      <c r="B34" s="33">
        <f>IF((($B$28-$B$32-$B$39-$B$77-$B$38)*C20/100)&lt;0,0,($B$28-$B$32-$B$39-$B$77-$B$38)*C20/100)</f>
        <v>489.1608832807571</v>
      </c>
      <c r="C34" s="167">
        <f>IF(ISERROR(B34/SUM($B$32,$B$34,$B$35,$B$36,$B$38,$B$39)*100),0,B34/SUM($B$32,$B$34,$B$35,$B$36,$B$38,$B$39)*100)</f>
        <v>6.9552237065371409</v>
      </c>
      <c r="D34" s="233"/>
      <c r="G34" s="15"/>
    </row>
    <row r="35" spans="1:7">
      <c r="A35" s="171" t="s">
        <v>74</v>
      </c>
      <c r="B35" s="33">
        <f>IF((($B$28-$B$32-$B$39-$B$77-$B$38)*C21/100)&lt;0,0,($B$28-$B$32-$B$39-$B$77-$B$38)*C21/100)</f>
        <v>1276.8706624605679</v>
      </c>
      <c r="C35" s="167">
        <f>IF(ISERROR(B35/SUM($B$32,$B$34,$B$35,$B$36,$B$38,$B$39)*100),0,B35/SUM($B$32,$B$34,$B$35,$B$36,$B$38,$B$39)*100)</f>
        <v>18.155419628331693</v>
      </c>
      <c r="D35" s="233"/>
      <c r="G35" s="15"/>
    </row>
    <row r="36" spans="1:7">
      <c r="A36" s="171" t="s">
        <v>75</v>
      </c>
      <c r="B36" s="33">
        <f>IF((($B$28-$B$32-$B$39-$B$77-$B$38)*C22/100)&lt;0,0,($B$28-$B$32-$B$39-$B$77-$B$38)*C22/100)</f>
        <v>417.96845425867514</v>
      </c>
      <c r="C36" s="167">
        <f>IF(ISERROR(B36/SUM($B$32,$B$34,$B$35,$B$36,$B$38,$B$39)*100),0,B36/SUM($B$32,$B$34,$B$35,$B$36,$B$38,$B$39)*100)</f>
        <v>5.9429611013603747</v>
      </c>
      <c r="D36" s="233"/>
      <c r="G36" s="15"/>
    </row>
    <row r="37" spans="1:7">
      <c r="A37" s="171" t="s">
        <v>76</v>
      </c>
      <c r="B37" s="34" t="s">
        <v>111</v>
      </c>
      <c r="C37" s="167"/>
      <c r="D37" s="173"/>
      <c r="G37" s="15"/>
    </row>
    <row r="38" spans="1:7">
      <c r="A38" s="171" t="s">
        <v>77</v>
      </c>
      <c r="B38" s="33">
        <f>IF((B24-(B29-B18)*0.1)&lt;0,0,B24-(B29-B18)*0.1)</f>
        <v>101.69999999999999</v>
      </c>
      <c r="C38" s="167">
        <f>IF(ISERROR(B38/SUM($B$32,$B$34,$B$35,$B$36,$B$38,$B$39)*100),0,B38/SUM($B$32,$B$34,$B$35,$B$36,$B$38,$B$39)*100)</f>
        <v>1.4460400966870466</v>
      </c>
      <c r="D38" s="234"/>
      <c r="G38" s="15"/>
    </row>
    <row r="39" spans="1:7">
      <c r="A39" s="171" t="s">
        <v>78</v>
      </c>
      <c r="B39" s="33">
        <f>IF((B25-(B29-B18))&lt;0,0,B25-(B29-B18)*0.9)</f>
        <v>383.29999999999995</v>
      </c>
      <c r="C39" s="167">
        <f>IF(ISERROR(B39/SUM($B$32,$B$34,$B$35,$B$36,$B$38,$B$39)*100),0,B39/SUM($B$32,$B$34,$B$35,$B$36,$B$38,$B$39)*100)</f>
        <v>5.4500213280250245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4364</v>
      </c>
      <c r="C44" s="34" t="s">
        <v>111</v>
      </c>
      <c r="D44" s="174"/>
    </row>
    <row r="45" spans="1:7">
      <c r="A45" s="171" t="s">
        <v>72</v>
      </c>
      <c r="B45" s="33" t="str">
        <f t="shared" si="0"/>
        <v>-</v>
      </c>
      <c r="C45" s="34" t="s">
        <v>111</v>
      </c>
      <c r="D45" s="174"/>
    </row>
    <row r="46" spans="1:7">
      <c r="A46" s="171" t="s">
        <v>73</v>
      </c>
      <c r="B46" s="33">
        <f t="shared" si="0"/>
        <v>489.1608832807571</v>
      </c>
      <c r="C46" s="34" t="s">
        <v>111</v>
      </c>
      <c r="D46" s="174"/>
    </row>
    <row r="47" spans="1:7">
      <c r="A47" s="171" t="s">
        <v>74</v>
      </c>
      <c r="B47" s="33">
        <f t="shared" si="0"/>
        <v>1276.8706624605679</v>
      </c>
      <c r="C47" s="34" t="s">
        <v>111</v>
      </c>
      <c r="D47" s="174"/>
    </row>
    <row r="48" spans="1:7">
      <c r="A48" s="171" t="s">
        <v>75</v>
      </c>
      <c r="B48" s="33">
        <f t="shared" si="0"/>
        <v>417.96845425867514</v>
      </c>
      <c r="C48" s="33">
        <f>B48*10</f>
        <v>4179.6845425867514</v>
      </c>
      <c r="D48" s="234"/>
    </row>
    <row r="49" spans="1:6">
      <c r="A49" s="171" t="s">
        <v>76</v>
      </c>
      <c r="B49" s="33" t="str">
        <f t="shared" si="0"/>
        <v>-</v>
      </c>
      <c r="C49" s="34" t="s">
        <v>111</v>
      </c>
      <c r="D49" s="234"/>
    </row>
    <row r="50" spans="1:6">
      <c r="A50" s="171" t="s">
        <v>77</v>
      </c>
      <c r="B50" s="33">
        <f t="shared" si="0"/>
        <v>101.69999999999999</v>
      </c>
      <c r="C50" s="33">
        <f>B50*2</f>
        <v>203.39999999999998</v>
      </c>
      <c r="D50" s="234"/>
    </row>
    <row r="51" spans="1:6">
      <c r="A51" s="171" t="s">
        <v>78</v>
      </c>
      <c r="B51" s="33">
        <f t="shared" si="0"/>
        <v>383.29999999999995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28154.583347</v>
      </c>
      <c r="C5" s="17">
        <f>IF(ISERROR('Eigen informatie GS &amp; warmtenet'!B58),0,'Eigen informatie GS &amp; warmtenet'!B58)</f>
        <v>0</v>
      </c>
      <c r="D5" s="30">
        <f>SUM(D6:D12)</f>
        <v>21016.459303333999</v>
      </c>
      <c r="E5" s="17">
        <f>SUM(E6:E12)</f>
        <v>393.61089592548694</v>
      </c>
      <c r="F5" s="17">
        <f>SUM(F6:F12)</f>
        <v>5634.3277504097377</v>
      </c>
      <c r="G5" s="18"/>
      <c r="H5" s="17"/>
      <c r="I5" s="17"/>
      <c r="J5" s="17">
        <f>SUM(J6:J12)</f>
        <v>0.20486967502495257</v>
      </c>
      <c r="K5" s="17"/>
      <c r="L5" s="17"/>
      <c r="M5" s="17"/>
      <c r="N5" s="17">
        <f>SUM(N6:N12)</f>
        <v>8059.812319446024</v>
      </c>
      <c r="O5" s="17">
        <f>B38*B39*B40</f>
        <v>3.1266666666666669</v>
      </c>
      <c r="P5" s="17">
        <f>B46*B47*B48/1000-B46*B47*B48/1000/B49</f>
        <v>19.066666666666666</v>
      </c>
      <c r="R5" s="32"/>
    </row>
    <row r="6" spans="1:18">
      <c r="A6" s="32" t="s">
        <v>54</v>
      </c>
      <c r="B6" s="37">
        <f>B26</f>
        <v>4538.9814770000003</v>
      </c>
      <c r="C6" s="33"/>
      <c r="D6" s="37">
        <f>IF(ISERROR(TER_kantoor_gas_kWh/1000),0,TER_kantoor_gas_kWh/1000)*0.902</f>
        <v>6560.6596120999993</v>
      </c>
      <c r="E6" s="33">
        <f>$C$26*'E Balans VL '!I12/100/3.6*1000000</f>
        <v>2.8448826256247419E-2</v>
      </c>
      <c r="F6" s="33">
        <f>$C$26*('E Balans VL '!L12+'E Balans VL '!N12)/100/3.6*1000000</f>
        <v>682.08208475426022</v>
      </c>
      <c r="G6" s="34"/>
      <c r="H6" s="33"/>
      <c r="I6" s="33"/>
      <c r="J6" s="33">
        <f>$C$26*('E Balans VL '!D12+'E Balans VL '!E12)/100/3.6*1000000</f>
        <v>0</v>
      </c>
      <c r="K6" s="33"/>
      <c r="L6" s="33"/>
      <c r="M6" s="33"/>
      <c r="N6" s="33">
        <f>$C$26*'E Balans VL '!Y12/100/3.6*1000000</f>
        <v>4.3408628048911417</v>
      </c>
      <c r="O6" s="33"/>
      <c r="P6" s="33"/>
      <c r="R6" s="32"/>
    </row>
    <row r="7" spans="1:18">
      <c r="A7" s="32" t="s">
        <v>53</v>
      </c>
      <c r="B7" s="37">
        <f t="shared" ref="B7:B12" si="0">B27</f>
        <v>2439.589508</v>
      </c>
      <c r="C7" s="33"/>
      <c r="D7" s="37">
        <f>IF(ISERROR(TER_horeca_gas_kWh/1000),0,TER_horeca_gas_kWh/1000)*0.902</f>
        <v>3150.6814899999999</v>
      </c>
      <c r="E7" s="33">
        <f>$C$27*'E Balans VL '!I9/100/3.6*1000000</f>
        <v>34.934515396520943</v>
      </c>
      <c r="F7" s="33">
        <f>$C$27*('E Balans VL '!L9+'E Balans VL '!N9)/100/3.6*1000000</f>
        <v>308.9324924745942</v>
      </c>
      <c r="G7" s="34"/>
      <c r="H7" s="33"/>
      <c r="I7" s="33"/>
      <c r="J7" s="33">
        <f>$C$27*('E Balans VL '!D9+'E Balans VL '!E9)/100/3.6*1000000</f>
        <v>0</v>
      </c>
      <c r="K7" s="33"/>
      <c r="L7" s="33"/>
      <c r="M7" s="33"/>
      <c r="N7" s="33">
        <f>$C$27*'E Balans VL '!Y9/100/3.6*1000000</f>
        <v>0.70132819521852086</v>
      </c>
      <c r="O7" s="33"/>
      <c r="P7" s="33"/>
      <c r="R7" s="32"/>
    </row>
    <row r="8" spans="1:18">
      <c r="A8" s="6" t="s">
        <v>52</v>
      </c>
      <c r="B8" s="37">
        <f t="shared" si="0"/>
        <v>9161.6055340000003</v>
      </c>
      <c r="C8" s="33"/>
      <c r="D8" s="37">
        <f>IF(ISERROR(TER_handel_gas_kWh/1000),0,TER_handel_gas_kWh/1000)*0.902</f>
        <v>4995.6219621</v>
      </c>
      <c r="E8" s="33">
        <f>$C$28*'E Balans VL '!I13/100/3.6*1000000</f>
        <v>332.29030295960058</v>
      </c>
      <c r="F8" s="33">
        <f>$C$28*('E Balans VL '!L13+'E Balans VL '!N13)/100/3.6*1000000</f>
        <v>1764.6179930023839</v>
      </c>
      <c r="G8" s="34"/>
      <c r="H8" s="33"/>
      <c r="I8" s="33"/>
      <c r="J8" s="33">
        <f>$C$28*('E Balans VL '!D13+'E Balans VL '!E13)/100/3.6*1000000</f>
        <v>0</v>
      </c>
      <c r="K8" s="33"/>
      <c r="L8" s="33"/>
      <c r="M8" s="33"/>
      <c r="N8" s="33">
        <f>$C$28*'E Balans VL '!Y13/100/3.6*1000000</f>
        <v>12.690931656009775</v>
      </c>
      <c r="O8" s="33"/>
      <c r="P8" s="33"/>
      <c r="R8" s="32"/>
    </row>
    <row r="9" spans="1:18">
      <c r="A9" s="32" t="s">
        <v>51</v>
      </c>
      <c r="B9" s="37">
        <f t="shared" si="0"/>
        <v>1581.3512739999999</v>
      </c>
      <c r="C9" s="33"/>
      <c r="D9" s="37">
        <f>IF(ISERROR(TER_gezond_gas_kWh/1000),0,TER_gezond_gas_kWh/1000)*0.902</f>
        <v>1909.0474161</v>
      </c>
      <c r="E9" s="33">
        <f>$C$29*'E Balans VL '!I10/100/3.6*1000000</f>
        <v>9.9008202775575024E-2</v>
      </c>
      <c r="F9" s="33">
        <f>$C$29*('E Balans VL '!L10+'E Balans VL '!N10)/100/3.6*1000000</f>
        <v>234.91454650879624</v>
      </c>
      <c r="G9" s="34"/>
      <c r="H9" s="33"/>
      <c r="I9" s="33"/>
      <c r="J9" s="33">
        <f>$C$29*('E Balans VL '!D10+'E Balans VL '!E10)/100/3.6*1000000</f>
        <v>0</v>
      </c>
      <c r="K9" s="33"/>
      <c r="L9" s="33"/>
      <c r="M9" s="33"/>
      <c r="N9" s="33">
        <f>$C$29*'E Balans VL '!Y10/100/3.6*1000000</f>
        <v>24.460494093586746</v>
      </c>
      <c r="O9" s="33"/>
      <c r="P9" s="33"/>
      <c r="R9" s="32"/>
    </row>
    <row r="10" spans="1:18">
      <c r="A10" s="32" t="s">
        <v>50</v>
      </c>
      <c r="B10" s="37">
        <f t="shared" si="0"/>
        <v>9438.3543230000014</v>
      </c>
      <c r="C10" s="33"/>
      <c r="D10" s="37">
        <f>IF(ISERROR(TER_ander_gas_kWh/1000),0,TER_ander_gas_kWh/1000)*0.902</f>
        <v>3599.5341590340004</v>
      </c>
      <c r="E10" s="33">
        <f>$C$30*'E Balans VL '!I14/100/3.6*1000000</f>
        <v>11.250181083221079</v>
      </c>
      <c r="F10" s="33">
        <f>$C$30*('E Balans VL '!L14+'E Balans VL '!N14)/100/3.6*1000000</f>
        <v>2469.493087173591</v>
      </c>
      <c r="G10" s="34"/>
      <c r="H10" s="33"/>
      <c r="I10" s="33"/>
      <c r="J10" s="33">
        <f>$C$30*('E Balans VL '!D14+'E Balans VL '!E14)/100/3.6*1000000</f>
        <v>0.20486967502495257</v>
      </c>
      <c r="K10" s="33"/>
      <c r="L10" s="33"/>
      <c r="M10" s="33"/>
      <c r="N10" s="33">
        <f>$C$30*'E Balans VL '!Y14/100/3.6*1000000</f>
        <v>8014.8195378122164</v>
      </c>
      <c r="O10" s="33"/>
      <c r="P10" s="33"/>
      <c r="R10" s="32"/>
    </row>
    <row r="11" spans="1:18">
      <c r="A11" s="32" t="s">
        <v>55</v>
      </c>
      <c r="B11" s="37">
        <f t="shared" si="0"/>
        <v>994.70123100000001</v>
      </c>
      <c r="C11" s="33"/>
      <c r="D11" s="37">
        <f>IF(ISERROR(TER_onderwijs_gas_kWh/1000),0,TER_onderwijs_gas_kWh/1000)*0.902</f>
        <v>800.91466400000002</v>
      </c>
      <c r="E11" s="33">
        <f>$C$31*'E Balans VL '!I11/100/3.6*1000000</f>
        <v>15.008439457112498</v>
      </c>
      <c r="F11" s="33">
        <f>$C$31*('E Balans VL '!L11+'E Balans VL '!N11)/100/3.6*1000000</f>
        <v>174.28754649611193</v>
      </c>
      <c r="G11" s="34"/>
      <c r="H11" s="33"/>
      <c r="I11" s="33"/>
      <c r="J11" s="33">
        <f>$C$31*('E Balans VL '!D11+'E Balans VL '!E11)/100/3.6*1000000</f>
        <v>0</v>
      </c>
      <c r="K11" s="33"/>
      <c r="L11" s="33"/>
      <c r="M11" s="33"/>
      <c r="N11" s="33">
        <f>$C$31*'E Balans VL '!Y11/100/3.6*1000000</f>
        <v>2.7991648841013341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28154.583347</v>
      </c>
      <c r="C16" s="21">
        <f t="shared" ca="1" si="1"/>
        <v>0</v>
      </c>
      <c r="D16" s="21">
        <f t="shared" ca="1" si="1"/>
        <v>21016.459303333999</v>
      </c>
      <c r="E16" s="21">
        <f t="shared" si="1"/>
        <v>393.61089592548694</v>
      </c>
      <c r="F16" s="21">
        <f t="shared" ca="1" si="1"/>
        <v>5634.3277504097377</v>
      </c>
      <c r="G16" s="21">
        <f t="shared" si="1"/>
        <v>0</v>
      </c>
      <c r="H16" s="21">
        <f t="shared" si="1"/>
        <v>0</v>
      </c>
      <c r="I16" s="21">
        <f t="shared" si="1"/>
        <v>0</v>
      </c>
      <c r="J16" s="21">
        <f t="shared" si="1"/>
        <v>0.20486967502495257</v>
      </c>
      <c r="K16" s="21">
        <f t="shared" si="1"/>
        <v>0</v>
      </c>
      <c r="L16" s="21">
        <f t="shared" ca="1" si="1"/>
        <v>0</v>
      </c>
      <c r="M16" s="21">
        <f t="shared" si="1"/>
        <v>0</v>
      </c>
      <c r="N16" s="21">
        <f t="shared" ca="1" si="1"/>
        <v>8059.812319446024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0.1887498570457693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5314.1735819294472</v>
      </c>
      <c r="C20" s="23">
        <f t="shared" ref="C20:P20" ca="1" si="2">C16*C18</f>
        <v>0</v>
      </c>
      <c r="D20" s="23">
        <f t="shared" ca="1" si="2"/>
        <v>4245.3247792734683</v>
      </c>
      <c r="E20" s="23">
        <f t="shared" si="2"/>
        <v>89.349673375085544</v>
      </c>
      <c r="F20" s="23">
        <f t="shared" ca="1" si="2"/>
        <v>1504.3655093594</v>
      </c>
      <c r="G20" s="23">
        <f t="shared" si="2"/>
        <v>0</v>
      </c>
      <c r="H20" s="23">
        <f t="shared" si="2"/>
        <v>0</v>
      </c>
      <c r="I20" s="23">
        <f t="shared" si="2"/>
        <v>0</v>
      </c>
      <c r="J20" s="23">
        <f t="shared" si="2"/>
        <v>7.2523864958833201E-2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4538.9814770000003</v>
      </c>
      <c r="C26" s="39">
        <f>IF(ISERROR(B26*3.6/1000000/'E Balans VL '!Z12*100),0,B26*3.6/1000000/'E Balans VL '!Z12*100)</f>
        <v>9.5946878096321242E-2</v>
      </c>
      <c r="D26" s="237" t="s">
        <v>754</v>
      </c>
      <c r="F26" s="6"/>
    </row>
    <row r="27" spans="1:18">
      <c r="A27" s="231" t="s">
        <v>53</v>
      </c>
      <c r="B27" s="33">
        <f>IF(ISERROR(TER_horeca_ele_kWh/1000),0,TER_horeca_ele_kWh/1000)</f>
        <v>2439.589508</v>
      </c>
      <c r="C27" s="39">
        <f>IF(ISERROR(B27*3.6/1000000/'E Balans VL '!Z9*100),0,B27*3.6/1000000/'E Balans VL '!Z9*100)</f>
        <v>0.19231193163420987</v>
      </c>
      <c r="D27" s="237" t="s">
        <v>754</v>
      </c>
      <c r="F27" s="6"/>
    </row>
    <row r="28" spans="1:18">
      <c r="A28" s="171" t="s">
        <v>52</v>
      </c>
      <c r="B28" s="33">
        <f>IF(ISERROR(TER_handel_ele_kWh/1000),0,TER_handel_ele_kWh/1000)</f>
        <v>9161.6055340000003</v>
      </c>
      <c r="C28" s="39">
        <f>IF(ISERROR(B28*3.6/1000000/'E Balans VL '!Z13*100),0,B28*3.6/1000000/'E Balans VL '!Z13*100)</f>
        <v>0.26590680963102209</v>
      </c>
      <c r="D28" s="237" t="s">
        <v>754</v>
      </c>
      <c r="F28" s="6"/>
    </row>
    <row r="29" spans="1:18">
      <c r="A29" s="231" t="s">
        <v>51</v>
      </c>
      <c r="B29" s="33">
        <f>IF(ISERROR(TER_gezond_ele_kWh/1000),0,TER_gezond_ele_kWh/1000)</f>
        <v>1581.3512739999999</v>
      </c>
      <c r="C29" s="39">
        <f>IF(ISERROR(B29*3.6/1000000/'E Balans VL '!Z10*100),0,B29*3.6/1000000/'E Balans VL '!Z10*100)</f>
        <v>0.16654225562553363</v>
      </c>
      <c r="D29" s="237" t="s">
        <v>754</v>
      </c>
      <c r="F29" s="6"/>
    </row>
    <row r="30" spans="1:18">
      <c r="A30" s="231" t="s">
        <v>50</v>
      </c>
      <c r="B30" s="33">
        <f>IF(ISERROR(TER_ander_ele_kWh/1000),0,TER_ander_ele_kWh/1000)</f>
        <v>9438.3543230000014</v>
      </c>
      <c r="C30" s="39">
        <f>IF(ISERROR(B30*3.6/1000000/'E Balans VL '!Z14*100),0,B30*3.6/1000000/'E Balans VL '!Z14*100)</f>
        <v>0.6961750648648416</v>
      </c>
      <c r="D30" s="237" t="s">
        <v>754</v>
      </c>
      <c r="F30" s="6"/>
    </row>
    <row r="31" spans="1:18">
      <c r="A31" s="231" t="s">
        <v>55</v>
      </c>
      <c r="B31" s="33">
        <f>IF(ISERROR(TER_onderwijs_ele_kWh/1000),0,TER_onderwijs_ele_kWh/1000)</f>
        <v>994.70123100000001</v>
      </c>
      <c r="C31" s="39">
        <f>IF(ISERROR(B31*3.6/1000000/'E Balans VL '!Z11*100),0,B31*3.6/1000000/'E Balans VL '!Z11*100)</f>
        <v>0.24703091020700901</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22886.706539999999</v>
      </c>
      <c r="C5" s="17">
        <f>IF(ISERROR('Eigen informatie GS &amp; warmtenet'!B59),0,'Eigen informatie GS &amp; warmtenet'!B59)</f>
        <v>0</v>
      </c>
      <c r="D5" s="30">
        <f>SUM(D6:D15)</f>
        <v>7913.2774094440001</v>
      </c>
      <c r="E5" s="17">
        <f>SUM(E6:E15)</f>
        <v>3901.5604716916969</v>
      </c>
      <c r="F5" s="17">
        <f>SUM(F6:F15)</f>
        <v>11309.410026341366</v>
      </c>
      <c r="G5" s="18"/>
      <c r="H5" s="17"/>
      <c r="I5" s="17"/>
      <c r="J5" s="17">
        <f>SUM(J6:J15)</f>
        <v>1.2066596871772828</v>
      </c>
      <c r="K5" s="17"/>
      <c r="L5" s="17"/>
      <c r="M5" s="17"/>
      <c r="N5" s="17">
        <f>SUM(N6:N15)</f>
        <v>5679.2939284029062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4137.5433220000004</v>
      </c>
      <c r="C8" s="33"/>
      <c r="D8" s="37">
        <f>IF( ISERROR(IND_metaal_Gas_kWH/1000),0,IND_metaal_Gas_kWH/1000)*0.902</f>
        <v>1781.9037060000001</v>
      </c>
      <c r="E8" s="33">
        <f>C30*'E Balans VL '!I18/100/3.6*1000000</f>
        <v>38.040714768446804</v>
      </c>
      <c r="F8" s="33">
        <f>C30*'E Balans VL '!L18/100/3.6*1000000+C30*'E Balans VL '!N18/100/3.6*1000000</f>
        <v>387.96381084244462</v>
      </c>
      <c r="G8" s="34"/>
      <c r="H8" s="33"/>
      <c r="I8" s="33"/>
      <c r="J8" s="40">
        <f>C30*'E Balans VL '!D18/100/3.6*1000000+C30*'E Balans VL '!E18/100/3.6*1000000</f>
        <v>0</v>
      </c>
      <c r="K8" s="33"/>
      <c r="L8" s="33"/>
      <c r="M8" s="33"/>
      <c r="N8" s="33">
        <f>C30*'E Balans VL '!Y18/100/3.6*1000000</f>
        <v>59.028893066607196</v>
      </c>
      <c r="O8" s="33"/>
      <c r="P8" s="33"/>
      <c r="R8" s="32"/>
    </row>
    <row r="9" spans="1:18">
      <c r="A9" s="6" t="s">
        <v>33</v>
      </c>
      <c r="B9" s="37">
        <f t="shared" si="0"/>
        <v>13117.662501000001</v>
      </c>
      <c r="C9" s="33"/>
      <c r="D9" s="37">
        <f>IF( ISERROR(IND_andere_gas_kWh/1000),0,IND_andere_gas_kWh/1000)*0.902</f>
        <v>4539.4568593439999</v>
      </c>
      <c r="E9" s="33">
        <f>C31*'E Balans VL '!I19/100/3.6*1000000</f>
        <v>3834.5481198103867</v>
      </c>
      <c r="F9" s="33">
        <f>C31*'E Balans VL '!L19/100/3.6*1000000+C31*'E Balans VL '!N19/100/3.6*1000000</f>
        <v>10541.034735369842</v>
      </c>
      <c r="G9" s="34"/>
      <c r="H9" s="33"/>
      <c r="I9" s="33"/>
      <c r="J9" s="40">
        <f>C31*'E Balans VL '!D19/100/3.6*1000000+C31*'E Balans VL '!E19/100/3.6*1000000</f>
        <v>0</v>
      </c>
      <c r="K9" s="33"/>
      <c r="L9" s="33"/>
      <c r="M9" s="33"/>
      <c r="N9" s="33">
        <f>C31*'E Balans VL '!Y19/100/3.6*1000000</f>
        <v>4334.2791308518454</v>
      </c>
      <c r="O9" s="33"/>
      <c r="P9" s="33"/>
      <c r="R9" s="32"/>
    </row>
    <row r="10" spans="1:18">
      <c r="A10" s="6" t="s">
        <v>41</v>
      </c>
      <c r="B10" s="37">
        <f t="shared" si="0"/>
        <v>4827.9097170000005</v>
      </c>
      <c r="C10" s="33"/>
      <c r="D10" s="37">
        <f>IF( ISERROR(IND_voed_gas_kWh/1000),0,IND_voed_gas_kWh/1000)*0.902</f>
        <v>1224.3951400999999</v>
      </c>
      <c r="E10" s="33">
        <f>C32*'E Balans VL '!I20/100/3.6*1000000</f>
        <v>10.213517863940265</v>
      </c>
      <c r="F10" s="33">
        <f>C32*'E Balans VL '!L20/100/3.6*1000000+C32*'E Balans VL '!N20/100/3.6*1000000</f>
        <v>306.96343137201995</v>
      </c>
      <c r="G10" s="34"/>
      <c r="H10" s="33"/>
      <c r="I10" s="33"/>
      <c r="J10" s="40">
        <f>C32*'E Balans VL '!D20/100/3.6*1000000+C32*'E Balans VL '!E20/100/3.6*1000000</f>
        <v>0</v>
      </c>
      <c r="K10" s="33"/>
      <c r="L10" s="33"/>
      <c r="M10" s="33"/>
      <c r="N10" s="33">
        <f>C32*'E Balans VL '!Y20/100/3.6*1000000</f>
        <v>333.17341345022351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301.41699999999997</v>
      </c>
      <c r="C13" s="33"/>
      <c r="D13" s="37">
        <f>IF( ISERROR(IND_papier_gas_kWh/1000),0,IND_papier_gas_kWh/1000)*0.902</f>
        <v>198.474276</v>
      </c>
      <c r="E13" s="33">
        <f>C35*'E Balans VL '!I23/100/3.6*1000000</f>
        <v>0.42764178946722953</v>
      </c>
      <c r="F13" s="33">
        <f>C35*'E Balans VL '!L23/100/3.6*1000000+C35*'E Balans VL '!N23/100/3.6*1000000</f>
        <v>7.3587223709953582</v>
      </c>
      <c r="G13" s="34"/>
      <c r="H13" s="33"/>
      <c r="I13" s="33"/>
      <c r="J13" s="40">
        <f>C35*'E Balans VL '!D23/100/3.6*1000000+C35*'E Balans VL '!E23/100/3.6*1000000</f>
        <v>4.6616968925241378E-2</v>
      </c>
      <c r="K13" s="33"/>
      <c r="L13" s="33"/>
      <c r="M13" s="33"/>
      <c r="N13" s="33">
        <f>C35*'E Balans VL '!Y23/100/3.6*1000000</f>
        <v>876.1478686952928</v>
      </c>
      <c r="O13" s="33"/>
      <c r="P13" s="33"/>
      <c r="R13" s="32"/>
    </row>
    <row r="14" spans="1:18">
      <c r="A14" s="6" t="s">
        <v>34</v>
      </c>
      <c r="B14" s="37">
        <f t="shared" si="0"/>
        <v>178.13800000000001</v>
      </c>
      <c r="C14" s="33"/>
      <c r="D14" s="37">
        <f>IF( ISERROR(IND_chemie_gas_kWh/1000),0,IND_chemie_gas_kWh/1000)*0.902</f>
        <v>0</v>
      </c>
      <c r="E14" s="33">
        <f>C36*'E Balans VL '!I24/100/3.6*1000000</f>
        <v>0.43852471611294502</v>
      </c>
      <c r="F14" s="33">
        <f>C36*'E Balans VL '!L24/100/3.6*1000000+C36*'E Balans VL '!N24/100/3.6*1000000</f>
        <v>1.9074933491698884</v>
      </c>
      <c r="G14" s="34"/>
      <c r="H14" s="33"/>
      <c r="I14" s="33"/>
      <c r="J14" s="40">
        <f>C36*'E Balans VL '!D24/100/3.6*1000000+C36*'E Balans VL '!E24/100/3.6*1000000</f>
        <v>0</v>
      </c>
      <c r="K14" s="33"/>
      <c r="L14" s="33"/>
      <c r="M14" s="33"/>
      <c r="N14" s="33">
        <f>C36*'E Balans VL '!Y24/100/3.6*1000000</f>
        <v>3.9782612777888722</v>
      </c>
      <c r="O14" s="33"/>
      <c r="P14" s="33"/>
      <c r="R14" s="32"/>
    </row>
    <row r="15" spans="1:18">
      <c r="A15" s="6" t="s">
        <v>270</v>
      </c>
      <c r="B15" s="37">
        <f t="shared" si="0"/>
        <v>324.036</v>
      </c>
      <c r="C15" s="33"/>
      <c r="D15" s="37">
        <f>IF( ISERROR(IND_rest_gas_kWh/1000),0,IND_rest_gas_kWh/1000)*0.902</f>
        <v>169.047428</v>
      </c>
      <c r="E15" s="33">
        <f>C37*'E Balans VL '!I15/100/3.6*1000000</f>
        <v>17.891952743343303</v>
      </c>
      <c r="F15" s="33">
        <f>C37*'E Balans VL '!L15/100/3.6*1000000+C37*'E Balans VL '!N15/100/3.6*1000000</f>
        <v>64.181833036895853</v>
      </c>
      <c r="G15" s="34"/>
      <c r="H15" s="33"/>
      <c r="I15" s="33"/>
      <c r="J15" s="40">
        <f>C37*'E Balans VL '!D15/100/3.6*1000000+C37*'E Balans VL '!E15/100/3.6*1000000</f>
        <v>1.1600427182520414</v>
      </c>
      <c r="K15" s="33"/>
      <c r="L15" s="33"/>
      <c r="M15" s="33"/>
      <c r="N15" s="33">
        <f>C37*'E Balans VL '!Y15/100/3.6*1000000</f>
        <v>72.686361061148347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22886.706539999999</v>
      </c>
      <c r="C18" s="21">
        <f>C5+C16</f>
        <v>0</v>
      </c>
      <c r="D18" s="21">
        <f>MAX((D5+D16),0)</f>
        <v>7913.2774094440001</v>
      </c>
      <c r="E18" s="21">
        <f>MAX((E5+E16),0)</f>
        <v>3901.5604716916969</v>
      </c>
      <c r="F18" s="21">
        <f>MAX((F5+F16),0)</f>
        <v>11309.410026341366</v>
      </c>
      <c r="G18" s="21"/>
      <c r="H18" s="21"/>
      <c r="I18" s="21"/>
      <c r="J18" s="21">
        <f>MAX((J5+J16),0)</f>
        <v>1.2066596871772828</v>
      </c>
      <c r="K18" s="21"/>
      <c r="L18" s="21">
        <f>MAX((L5+L16),0)</f>
        <v>0</v>
      </c>
      <c r="M18" s="21"/>
      <c r="N18" s="21">
        <f>MAX((N5+N16),0)</f>
        <v>5679.2939284029062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0.1887498570457693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4319.8625876734732</v>
      </c>
      <c r="C22" s="23">
        <f ca="1">C18*C20</f>
        <v>0</v>
      </c>
      <c r="D22" s="23">
        <f>D18*D20</f>
        <v>1598.4820367076882</v>
      </c>
      <c r="E22" s="23">
        <f>E18*E20</f>
        <v>885.65422707401524</v>
      </c>
      <c r="F22" s="23">
        <f>F18*F20</f>
        <v>3019.6124770331448</v>
      </c>
      <c r="G22" s="23"/>
      <c r="H22" s="23"/>
      <c r="I22" s="23"/>
      <c r="J22" s="23">
        <f>J18*J20</f>
        <v>0.42715752926075806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4137.5433220000004</v>
      </c>
      <c r="C30" s="39">
        <f>IF(ISERROR(B30*3.6/1000000/'E Balans VL '!Z18*100),0,B30*3.6/1000000/'E Balans VL '!Z18*100)</f>
        <v>0.23448518941272078</v>
      </c>
      <c r="D30" s="237" t="s">
        <v>754</v>
      </c>
    </row>
    <row r="31" spans="1:18">
      <c r="A31" s="6" t="s">
        <v>33</v>
      </c>
      <c r="B31" s="37">
        <f>IF( ISERROR(IND_ander_ele_kWh/1000),0,IND_ander_ele_kWh/1000)</f>
        <v>13117.662501000001</v>
      </c>
      <c r="C31" s="39">
        <f>IF(ISERROR(B31*3.6/1000000/'E Balans VL '!Z19*100),0,B31*3.6/1000000/'E Balans VL '!Z19*100)</f>
        <v>0.5949625500493676</v>
      </c>
      <c r="D31" s="237" t="s">
        <v>754</v>
      </c>
    </row>
    <row r="32" spans="1:18">
      <c r="A32" s="171" t="s">
        <v>41</v>
      </c>
      <c r="B32" s="37">
        <f>IF( ISERROR(IND_voed_ele_kWh/1000),0,IND_voed_ele_kWh/1000)</f>
        <v>4827.9097170000005</v>
      </c>
      <c r="C32" s="39">
        <f>IF(ISERROR(B32*3.6/1000000/'E Balans VL '!Z20*100),0,B32*3.6/1000000/'E Balans VL '!Z20*100)</f>
        <v>0.14934916440636431</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301.41699999999997</v>
      </c>
      <c r="C35" s="39">
        <f>IF(ISERROR(B35*3.6/1000000/'E Balans VL '!Z22*100),0,B35*3.6/1000000/'E Balans VL '!Z22*100)</f>
        <v>5.4215514197906239E-2</v>
      </c>
      <c r="D35" s="237" t="s">
        <v>754</v>
      </c>
    </row>
    <row r="36" spans="1:5">
      <c r="A36" s="171" t="s">
        <v>34</v>
      </c>
      <c r="B36" s="37">
        <f>IF( ISERROR(IND_chemie_ele_kWh/1000),0,IND_chemie_ele_kWh/1000)</f>
        <v>178.13800000000001</v>
      </c>
      <c r="C36" s="39">
        <f>IF(ISERROR(B36*3.6/1000000/'E Balans VL '!Z24*100),0,B36*3.6/1000000/'E Balans VL '!Z24*100)</f>
        <v>5.4321446019085827E-3</v>
      </c>
      <c r="D36" s="237" t="s">
        <v>754</v>
      </c>
    </row>
    <row r="37" spans="1:5">
      <c r="A37" s="171" t="s">
        <v>270</v>
      </c>
      <c r="B37" s="37">
        <f>IF( ISERROR(IND_rest_ele_kWh/1000),0,IND_rest_ele_kWh/1000)</f>
        <v>324.036</v>
      </c>
      <c r="C37" s="39">
        <f>IF(ISERROR(B37*3.6/1000000/'E Balans VL '!Z15*100),0,B37*3.6/1000000/'E Balans VL '!Z15*100)</f>
        <v>2.5683832540553462E-3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9783.4557074118766</v>
      </c>
      <c r="C5" s="17">
        <f>'Eigen informatie GS &amp; warmtenet'!B60</f>
        <v>0</v>
      </c>
      <c r="D5" s="30">
        <f>IF(ISERROR(SUM(LB_lb_gas_kWh,LB_rest_gas_kWh,onbekend_gas_kWh)/1000),0,SUM(LB_lb_gas_kWh,LB_rest_gas_kWh,onbekend_gas_kWh)/1000)*0.902</f>
        <v>4568.4145076900004</v>
      </c>
      <c r="E5" s="17">
        <f>B17*'E Balans VL '!I25/3.6*1000000/100</f>
        <v>287.5656453636048</v>
      </c>
      <c r="F5" s="17">
        <f>B17*('E Balans VL '!L25/3.6*1000000+'E Balans VL '!N25/3.6*1000000)/100</f>
        <v>40757.347806880112</v>
      </c>
      <c r="G5" s="18"/>
      <c r="H5" s="17"/>
      <c r="I5" s="17"/>
      <c r="J5" s="17">
        <f>('E Balans VL '!D25+'E Balans VL '!E25)/3.6*1000000*landbouw!B17/100</f>
        <v>1417.4126298876488</v>
      </c>
      <c r="K5" s="17"/>
      <c r="L5" s="17">
        <f>L6*(-1)</f>
        <v>0</v>
      </c>
      <c r="M5" s="17"/>
      <c r="N5" s="17">
        <f>N6*(-1)</f>
        <v>5396.1428571428569</v>
      </c>
      <c r="O5" s="17"/>
      <c r="P5" s="17"/>
      <c r="R5" s="32"/>
    </row>
    <row r="6" spans="1:18">
      <c r="A6" s="16" t="s">
        <v>488</v>
      </c>
      <c r="B6" s="17" t="s">
        <v>211</v>
      </c>
      <c r="C6" s="17">
        <f>'lokale energieproductie'!O91+'lokale energieproductie'!O60</f>
        <v>268.07142857142856</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-5396.1428571428569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9783.4557074118766</v>
      </c>
      <c r="C8" s="21">
        <f>C5+C6</f>
        <v>268.07142857142856</v>
      </c>
      <c r="D8" s="21">
        <f>MAX((D5+D6),0)</f>
        <v>4568.4145076900004</v>
      </c>
      <c r="E8" s="21">
        <f>MAX((E5+E6),0)</f>
        <v>287.5656453636048</v>
      </c>
      <c r="F8" s="21">
        <f>MAX((F5+F6),0)</f>
        <v>40757.347806880112</v>
      </c>
      <c r="G8" s="21"/>
      <c r="H8" s="21"/>
      <c r="I8" s="21"/>
      <c r="J8" s="21">
        <f>MAX((J5+J6),0)</f>
        <v>1417.4126298876488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0.1887498570457693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1846.6258661876075</v>
      </c>
      <c r="C12" s="23">
        <f ca="1">C8*C10</f>
        <v>0</v>
      </c>
      <c r="D12" s="23">
        <f>D8*D10</f>
        <v>922.81973055338017</v>
      </c>
      <c r="E12" s="23">
        <f>E8*E10</f>
        <v>65.277401497538293</v>
      </c>
      <c r="F12" s="23">
        <f>F8*F10</f>
        <v>10882.211864436991</v>
      </c>
      <c r="G12" s="23"/>
      <c r="H12" s="23"/>
      <c r="I12" s="23"/>
      <c r="J12" s="23">
        <f>J8*J10</f>
        <v>501.76407098022764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1.3883030595379355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2367.0277262250429</v>
      </c>
      <c r="C26" s="247">
        <f>B26*'GWP N2O_CH4'!B5</f>
        <v>49707.5822507259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1150.5742900993685</v>
      </c>
      <c r="C27" s="247">
        <f>B27*'GWP N2O_CH4'!B5</f>
        <v>24162.060092086736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30.306616526979845</v>
      </c>
      <c r="C28" s="247">
        <f>B28*'GWP N2O_CH4'!B4</f>
        <v>9395.0511233637517</v>
      </c>
      <c r="D28" s="50"/>
    </row>
    <row r="29" spans="1:4">
      <c r="A29" s="41" t="s">
        <v>277</v>
      </c>
      <c r="B29" s="247">
        <f>B34*'ha_N2O bodem landbouw'!B4</f>
        <v>79.86052229389955</v>
      </c>
      <c r="C29" s="247">
        <f>B29*'GWP N2O_CH4'!B4</f>
        <v>24756.761911108861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1.8223895975864692E-2</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2.1837286914967477E-4</v>
      </c>
      <c r="C5" s="463" t="s">
        <v>211</v>
      </c>
      <c r="D5" s="448">
        <f>SUM(D6:D11)</f>
        <v>7.3009082761862486E-4</v>
      </c>
      <c r="E5" s="448">
        <f>SUM(E6:E11)</f>
        <v>9.800854264491335E-4</v>
      </c>
      <c r="F5" s="461" t="s">
        <v>211</v>
      </c>
      <c r="G5" s="448">
        <f>SUM(G6:G11)</f>
        <v>0.38090438951103983</v>
      </c>
      <c r="H5" s="448">
        <f>SUM(H6:H11)</f>
        <v>8.2514040664963081E-2</v>
      </c>
      <c r="I5" s="463" t="s">
        <v>211</v>
      </c>
      <c r="J5" s="463" t="s">
        <v>211</v>
      </c>
      <c r="K5" s="463" t="s">
        <v>211</v>
      </c>
      <c r="L5" s="463" t="s">
        <v>211</v>
      </c>
      <c r="M5" s="448">
        <f>SUM(M6:M11)</f>
        <v>2.4703551521697825E-2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1.8619170231643523E-4</v>
      </c>
      <c r="C6" s="449"/>
      <c r="D6" s="962">
        <f>vkm_2011_GW_PW*SUMIFS(TableVerdeelsleutelVkm[CNG],TableVerdeelsleutelVkm[Voertuigtype],"Lichte voertuigen")*SUMIFS(TableECFTransport[EnergieConsumptieFactor (PJ per km)],TableECFTransport[Index],CONCATENATE($A6,"_CNG_CNG"))</f>
        <v>5.5846824263265974E-4</v>
      </c>
      <c r="E6" s="962">
        <f>vkm_2011_GW_PW*SUMIFS(TableVerdeelsleutelVkm[LPG],TableVerdeelsleutelVkm[Voertuigtype],"Lichte voertuigen")*SUMIFS(TableECFTransport[EnergieConsumptieFactor (PJ per km)],TableECFTransport[Index],CONCATENATE($A6,"_LPG_LPG"))</f>
        <v>7.6294783944584436E-4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0.19726333720814415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6.3508226631914064E-2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1.3409932353033699E-2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0.12337935123382984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3.7596942082163986E-5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7.2098796048941632E-3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3.2181166833239554E-5</v>
      </c>
      <c r="C8" s="449"/>
      <c r="D8" s="451">
        <f>vkm_2011_NGW_PW*SUMIFS(TableVerdeelsleutelVkm[CNG],TableVerdeelsleutelVkm[Voertuigtype],"Lichte voertuigen")*SUMIFS(TableECFTransport[EnergieConsumptieFactor (PJ per km)],TableECFTransport[Index],CONCATENATE($A8,"_CNG_CNG"))</f>
        <v>1.7162258498596515E-4</v>
      </c>
      <c r="E8" s="451">
        <f>vkm_2011_NGW_PW*SUMIFS(TableVerdeelsleutelVkm[LPG],TableVerdeelsleutelVkm[Voertuigtype],"Lichte voertuigen")*SUMIFS(TableECFTransport[EnergieConsumptieFactor (PJ per km)],TableECFTransport[Index],CONCATENATE($A8,"_LPG_LPG"))</f>
        <v>2.1713758700328913E-4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5.2318241783483731E-2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1.8965938322680155E-2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3.6195543870084605E-3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7.943459285582169E-3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2.2787682866885764E-6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4.6418517676149882E-4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60.659130319354105</v>
      </c>
      <c r="C14" s="21"/>
      <c r="D14" s="21">
        <f t="shared" ref="D14:M14" si="0">((D5)*10^9/3600)+D12</f>
        <v>202.80300767184025</v>
      </c>
      <c r="E14" s="21">
        <f t="shared" si="0"/>
        <v>272.24595179142597</v>
      </c>
      <c r="F14" s="21"/>
      <c r="G14" s="21">
        <f t="shared" si="0"/>
        <v>105806.77486417774</v>
      </c>
      <c r="H14" s="21">
        <f t="shared" si="0"/>
        <v>22920.566851378633</v>
      </c>
      <c r="I14" s="21"/>
      <c r="J14" s="21"/>
      <c r="K14" s="21"/>
      <c r="L14" s="21"/>
      <c r="M14" s="21">
        <f t="shared" si="0"/>
        <v>6862.0976449160617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0.1887498570457693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11.449402176298777</v>
      </c>
      <c r="C18" s="23"/>
      <c r="D18" s="23">
        <f t="shared" ref="D18:M18" si="1">D14*D16</f>
        <v>40.966207549711733</v>
      </c>
      <c r="E18" s="23">
        <f t="shared" si="1"/>
        <v>61.799831056653694</v>
      </c>
      <c r="F18" s="23"/>
      <c r="G18" s="23">
        <f t="shared" si="1"/>
        <v>28250.408888735459</v>
      </c>
      <c r="H18" s="23">
        <f t="shared" si="1"/>
        <v>5707.2211459932796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6.7126646085995563E-3</v>
      </c>
      <c r="H50" s="321">
        <f t="shared" si="2"/>
        <v>0</v>
      </c>
      <c r="I50" s="321">
        <f t="shared" si="2"/>
        <v>0</v>
      </c>
      <c r="J50" s="321">
        <f t="shared" si="2"/>
        <v>0</v>
      </c>
      <c r="K50" s="321">
        <f t="shared" si="2"/>
        <v>0</v>
      </c>
      <c r="L50" s="321">
        <f t="shared" si="2"/>
        <v>0</v>
      </c>
      <c r="M50" s="321">
        <f t="shared" si="2"/>
        <v>3.8124971619779617E-4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6.7126646085995563E-3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3.8124971619779617E-4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1864.6290579443212</v>
      </c>
      <c r="H54" s="21">
        <f t="shared" si="3"/>
        <v>0</v>
      </c>
      <c r="I54" s="21">
        <f t="shared" si="3"/>
        <v>0</v>
      </c>
      <c r="J54" s="21">
        <f t="shared" si="3"/>
        <v>0</v>
      </c>
      <c r="K54" s="21">
        <f t="shared" si="3"/>
        <v>0</v>
      </c>
      <c r="L54" s="21">
        <f t="shared" si="3"/>
        <v>0</v>
      </c>
      <c r="M54" s="21">
        <f t="shared" si="3"/>
        <v>105.90269894383226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0.1887498570457693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497.85595847113376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2755.7656745087966</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8298.2047293968026</v>
      </c>
      <c r="C6" s="1263"/>
      <c r="D6" s="1248"/>
      <c r="E6" s="1248"/>
      <c r="F6" s="1266"/>
      <c r="G6" s="1269"/>
      <c r="H6" s="1260"/>
      <c r="I6" s="1248"/>
      <c r="J6" s="1248"/>
      <c r="K6" s="1248"/>
      <c r="L6" s="1252"/>
      <c r="M6" s="575"/>
      <c r="N6" s="1226"/>
      <c r="O6" s="1227"/>
      <c r="Q6" s="573"/>
      <c r="R6" s="1214"/>
      <c r="S6" s="1214"/>
    </row>
    <row r="7" spans="1:19" s="563" customFormat="1">
      <c r="A7" s="576" t="s">
        <v>252</v>
      </c>
      <c r="B7" s="577">
        <f>N57</f>
        <v>187.64999999999998</v>
      </c>
      <c r="C7" s="578">
        <f>B100</f>
        <v>0</v>
      </c>
      <c r="D7" s="579"/>
      <c r="E7" s="579">
        <f>E100</f>
        <v>0</v>
      </c>
      <c r="F7" s="580"/>
      <c r="G7" s="581"/>
      <c r="H7" s="579">
        <f>I100</f>
        <v>0</v>
      </c>
      <c r="I7" s="579">
        <f>G100+F100</f>
        <v>0</v>
      </c>
      <c r="J7" s="579">
        <f>H100+D100+C100</f>
        <v>220.76470588235293</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1701</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12942.620403905599</v>
      </c>
      <c r="C9" s="594">
        <f t="shared" ref="C9:L9" si="0">SUM(C7:C8)</f>
        <v>0</v>
      </c>
      <c r="D9" s="594">
        <f t="shared" si="0"/>
        <v>0</v>
      </c>
      <c r="E9" s="594">
        <f t="shared" si="0"/>
        <v>0</v>
      </c>
      <c r="F9" s="594">
        <f t="shared" si="0"/>
        <v>0</v>
      </c>
      <c r="G9" s="594">
        <f t="shared" si="0"/>
        <v>0</v>
      </c>
      <c r="H9" s="594">
        <f t="shared" si="0"/>
        <v>0</v>
      </c>
      <c r="I9" s="594">
        <f t="shared" si="0"/>
        <v>0</v>
      </c>
      <c r="J9" s="594">
        <f t="shared" si="0"/>
        <v>5080.7647058823532</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268.07142857142856</v>
      </c>
      <c r="C16" s="610">
        <f>B101</f>
        <v>0</v>
      </c>
      <c r="D16" s="611"/>
      <c r="E16" s="611">
        <f>E101</f>
        <v>0</v>
      </c>
      <c r="F16" s="612"/>
      <c r="G16" s="613"/>
      <c r="H16" s="610">
        <f>I101</f>
        <v>0</v>
      </c>
      <c r="I16" s="611">
        <f>G101+F101</f>
        <v>0</v>
      </c>
      <c r="J16" s="611">
        <f>H101+D101+C101</f>
        <v>315.37815126050418</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268.07142857142856</v>
      </c>
      <c r="C19" s="593">
        <f>SUM(C16:C18)</f>
        <v>0</v>
      </c>
      <c r="D19" s="593">
        <f t="shared" ref="D19:M19" si="1">SUM(D16:D18)</f>
        <v>0</v>
      </c>
      <c r="E19" s="593">
        <f t="shared" si="1"/>
        <v>0</v>
      </c>
      <c r="F19" s="593">
        <f t="shared" si="1"/>
        <v>0</v>
      </c>
      <c r="G19" s="593">
        <f t="shared" si="1"/>
        <v>0</v>
      </c>
      <c r="H19" s="593">
        <f t="shared" si="1"/>
        <v>0</v>
      </c>
      <c r="I19" s="593">
        <f t="shared" si="1"/>
        <v>0</v>
      </c>
      <c r="J19" s="593">
        <f t="shared" si="1"/>
        <v>315.37815126050418</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32003</v>
      </c>
      <c r="C27" s="851">
        <v>8600</v>
      </c>
      <c r="D27" s="672" t="s">
        <v>844</v>
      </c>
      <c r="E27" s="671" t="s">
        <v>845</v>
      </c>
      <c r="F27" s="671" t="s">
        <v>846</v>
      </c>
      <c r="G27" s="671" t="s">
        <v>847</v>
      </c>
      <c r="H27" s="671" t="s">
        <v>848</v>
      </c>
      <c r="I27" s="671" t="s">
        <v>849</v>
      </c>
      <c r="J27" s="850">
        <v>41117</v>
      </c>
      <c r="K27" s="850">
        <v>41244</v>
      </c>
      <c r="L27" s="671" t="s">
        <v>850</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25.5">
      <c r="A28" s="624"/>
      <c r="B28" s="851">
        <v>32003</v>
      </c>
      <c r="C28" s="851">
        <v>8600</v>
      </c>
      <c r="D28" s="672"/>
      <c r="E28" s="671"/>
      <c r="F28" s="671" t="s">
        <v>851</v>
      </c>
      <c r="G28" s="671" t="s">
        <v>847</v>
      </c>
      <c r="H28" s="671" t="s">
        <v>848</v>
      </c>
      <c r="I28" s="671" t="s">
        <v>852</v>
      </c>
      <c r="J28" s="850">
        <v>40882</v>
      </c>
      <c r="K28" s="850">
        <v>41250</v>
      </c>
      <c r="L28" s="671" t="s">
        <v>853</v>
      </c>
      <c r="M28" s="671">
        <v>32</v>
      </c>
      <c r="N28" s="671">
        <v>144</v>
      </c>
      <c r="O28" s="671">
        <v>205.71428571428572</v>
      </c>
      <c r="P28" s="671">
        <v>0</v>
      </c>
      <c r="Q28" s="671">
        <v>0</v>
      </c>
      <c r="R28" s="671">
        <v>0</v>
      </c>
      <c r="S28" s="671">
        <v>0</v>
      </c>
      <c r="T28" s="671">
        <v>0</v>
      </c>
      <c r="U28" s="671">
        <v>0</v>
      </c>
      <c r="V28" s="671">
        <v>411.42857142857144</v>
      </c>
      <c r="W28" s="671">
        <v>0</v>
      </c>
      <c r="X28" s="671">
        <v>10</v>
      </c>
      <c r="Y28" s="671" t="s">
        <v>854</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41.7</v>
      </c>
      <c r="N57" s="629">
        <f>SUM(N27:N56)</f>
        <v>187.64999999999998</v>
      </c>
      <c r="O57" s="629">
        <f t="shared" ref="O57:W57" si="2">SUM(O27:O56)</f>
        <v>268.07142857142856</v>
      </c>
      <c r="P57" s="629">
        <f t="shared" si="2"/>
        <v>0</v>
      </c>
      <c r="Q57" s="629">
        <f t="shared" si="2"/>
        <v>124.71428571428569</v>
      </c>
      <c r="R57" s="629">
        <f t="shared" si="2"/>
        <v>0</v>
      </c>
      <c r="S57" s="629">
        <f t="shared" si="2"/>
        <v>0</v>
      </c>
      <c r="T57" s="629">
        <f t="shared" si="2"/>
        <v>0</v>
      </c>
      <c r="U57" s="629">
        <f t="shared" si="2"/>
        <v>0</v>
      </c>
      <c r="V57" s="629">
        <f t="shared" si="2"/>
        <v>411.42857142857144</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41.7</v>
      </c>
      <c r="N60" s="634">
        <f t="shared" ref="N60:W60" si="4">SUMIF($Z$27:$Z$56,"landbouw",N27:N56)</f>
        <v>187.64999999999998</v>
      </c>
      <c r="O60" s="634">
        <f t="shared" si="4"/>
        <v>268.07142857142856</v>
      </c>
      <c r="P60" s="634">
        <f t="shared" si="4"/>
        <v>0</v>
      </c>
      <c r="Q60" s="634">
        <f t="shared" si="4"/>
        <v>124.71428571428569</v>
      </c>
      <c r="R60" s="634">
        <f t="shared" si="4"/>
        <v>0</v>
      </c>
      <c r="S60" s="634">
        <f t="shared" si="4"/>
        <v>0</v>
      </c>
      <c r="T60" s="634">
        <f t="shared" si="4"/>
        <v>0</v>
      </c>
      <c r="U60" s="634">
        <f t="shared" si="4"/>
        <v>0</v>
      </c>
      <c r="V60" s="634">
        <f t="shared" si="4"/>
        <v>411.42857142857144</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38.25">
      <c r="A63" s="626"/>
      <c r="B63" s="851">
        <v>32003</v>
      </c>
      <c r="C63" s="851">
        <v>8600</v>
      </c>
      <c r="D63" s="674" t="s">
        <v>855</v>
      </c>
      <c r="E63" s="674" t="s">
        <v>856</v>
      </c>
      <c r="F63" s="674" t="s">
        <v>857</v>
      </c>
      <c r="G63" s="674" t="s">
        <v>858</v>
      </c>
      <c r="H63" s="674" t="s">
        <v>859</v>
      </c>
      <c r="I63" s="674" t="s">
        <v>860</v>
      </c>
      <c r="J63" s="850">
        <v>39340</v>
      </c>
      <c r="K63" s="850">
        <v>40704</v>
      </c>
      <c r="L63" s="674" t="s">
        <v>850</v>
      </c>
      <c r="M63" s="674">
        <v>378</v>
      </c>
      <c r="N63" s="674">
        <v>1701</v>
      </c>
      <c r="O63" s="674">
        <v>0</v>
      </c>
      <c r="P63" s="674">
        <v>0</v>
      </c>
      <c r="Q63" s="674">
        <v>0</v>
      </c>
      <c r="R63" s="674">
        <v>0</v>
      </c>
      <c r="S63" s="674">
        <v>0</v>
      </c>
      <c r="T63" s="674">
        <v>0</v>
      </c>
      <c r="U63" s="674">
        <v>0</v>
      </c>
      <c r="V63" s="674">
        <v>4860</v>
      </c>
      <c r="W63" s="674">
        <v>0</v>
      </c>
      <c r="X63" s="674">
        <v>10</v>
      </c>
      <c r="Y63" s="674" t="s">
        <v>112</v>
      </c>
      <c r="Z63" s="675" t="s">
        <v>112</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378</v>
      </c>
      <c r="N88" s="629">
        <f t="shared" ref="N88:W88" si="5">SUM(N63:N87)</f>
        <v>1701</v>
      </c>
      <c r="O88" s="629">
        <f t="shared" si="5"/>
        <v>0</v>
      </c>
      <c r="P88" s="629">
        <f t="shared" si="5"/>
        <v>0</v>
      </c>
      <c r="Q88" s="629">
        <f t="shared" si="5"/>
        <v>0</v>
      </c>
      <c r="R88" s="629">
        <f t="shared" si="5"/>
        <v>0</v>
      </c>
      <c r="S88" s="629">
        <f t="shared" si="5"/>
        <v>0</v>
      </c>
      <c r="T88" s="629">
        <f t="shared" si="5"/>
        <v>0</v>
      </c>
      <c r="U88" s="629">
        <f t="shared" si="5"/>
        <v>0</v>
      </c>
      <c r="V88" s="629">
        <f t="shared" si="5"/>
        <v>4860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378</v>
      </c>
      <c r="N91" s="634">
        <f t="shared" si="8"/>
        <v>1701</v>
      </c>
      <c r="O91" s="634">
        <f t="shared" si="8"/>
        <v>0</v>
      </c>
      <c r="P91" s="634">
        <f t="shared" si="8"/>
        <v>0</v>
      </c>
      <c r="Q91" s="634">
        <f t="shared" si="8"/>
        <v>0</v>
      </c>
      <c r="R91" s="634">
        <f t="shared" si="8"/>
        <v>0</v>
      </c>
      <c r="S91" s="634">
        <f t="shared" si="8"/>
        <v>0</v>
      </c>
      <c r="T91" s="634">
        <f t="shared" si="8"/>
        <v>0</v>
      </c>
      <c r="U91" s="634">
        <f t="shared" si="8"/>
        <v>0</v>
      </c>
      <c r="V91" s="634">
        <f t="shared" si="8"/>
        <v>4860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169.41176470588235</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242.0168067226891</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2019-01-01T21:19:15Z</dcterms:modified>
</cp:coreProperties>
</file>