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C16" i="15"/>
  <c r="D10" i="14"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D28" i="48" l="1"/>
  <c r="D30"/>
  <c r="I28"/>
  <c r="I31" s="1"/>
  <c r="I24"/>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<sst xmlns="http://schemas.openxmlformats.org/spreadsheetml/2006/main" count="2099" uniqueCount="844">
  <si>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</si>
  <si>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</si>
  <si>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</si>
  <si>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</si>
  <si>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</si>
  <si>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</si>
  <si>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</si>
  <si>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</si>
  <si>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</si>
  <si>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</si>
  <si>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</si>
  <si>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</si>
  <si>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</si>
  <si>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</si>
  <si>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</si>
  <si>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</si>
  <si>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</si>
  <si>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</si>
  <si>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</si>
  <si>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</si>
  <si>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</si>
  <si>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</si>
  <si>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</si>
  <si>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</si>
  <si>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</si>
  <si>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</si>
  <si>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</si>
  <si>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</si>
  <si>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</si>
  <si>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</si>
  <si>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</si>
  <si>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</si>
  <si>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</si>
  <si>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</si>
  <si>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</si>
  <si>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</si>
  <si>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</si>
  <si>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</si>
  <si>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</si>
  <si>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</si>
  <si>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</si>
  <si>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</si>
  <si>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</si>
  <si>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</si>
  <si>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</si>
  <si>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</si>
  <si>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</si>
  <si>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</si>
  <si>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</si>
  <si>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</si>
  <si>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</si>
  <si>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</si>
  <si>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</si>
  <si>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</si>
  <si>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</si>
  <si>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</si>
  <si>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</si>
  <si>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</si>
  <si>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</si>
  <si>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</si>
  <si>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</si>
  <si>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</si>
  <si>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</si>
  <si>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</si>
  <si>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</si>
  <si>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</si>
  <si>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</si>
  <si>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</si>
  <si>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</si>
  <si>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</si>
  <si>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</si>
  <si>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</si>
  <si>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</si>
  <si>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</si>
  <si>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</si>
  <si>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</si>
  <si>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</si>
  <si>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</si>
  <si>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</si>
  <si>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</si>
  <si>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</si>
  <si>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</si>
  <si>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</si>
  <si>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</si>
  <si>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</si>
  <si>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</si>
  <si>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</si>
  <si>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</si>
  <si>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</si>
  <si>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</si>
  <si>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</si>
  <si>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</si>
  <si>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</si>
  <si>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</si>
  <si>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</si>
  <si>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</si>
  <si>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</si>
  <si>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</si>
  <si>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</si>
  <si>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</si>
  <si>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</si>
  <si>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</si>
  <si>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</si>
  <si>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</si>
  <si>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</si>
  <si>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</si>
  <si>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</si>
  <si>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</si>
  <si>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</si>
  <si>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</si>
  <si>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</si>
  <si>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</si>
  <si>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</si>
  <si>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</si>
  <si>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</si>
  <si>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</si>
  <si>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</si>
  <si>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</si>
  <si>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</si>
  <si>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</si>
  <si>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</si>
  <si>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</si>
  <si>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</si>
  <si>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</si>
  <si>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</si>
  <si>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</si>
  <si>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</si>
  <si>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</si>
  <si>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</si>
  <si>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</si>
  <si>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</si>
  <si>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</si>
  <si>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</si>
  <si>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</si>
  <si>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</si>
  <si>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</si>
  <si>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</si>
  <si>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</si>
  <si>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</si>
  <si>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</si>
  <si>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</si>
  <si>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</si>
  <si>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</si>
  <si>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</si>
  <si>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</si>
  <si>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</si>
  <si>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</si>
  <si>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</si>
  <si>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</si>
  <si>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</si>
  <si>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</si>
  <si>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</si>
  <si>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</si>
  <si>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</si>
  <si>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</si>
  <si>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</si>
  <si>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</si>
  <si>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</si>
  <si>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</si>
  <si>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</si>
  <si>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</si>
  <si>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</si>
  <si>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</si>
  <si>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</si>
  <si>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</si>
  <si>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</si>
  <si>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</si>
  <si>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</si>
  <si>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</si>
  <si>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</si>
  <si>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</si>
  <si>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</si>
  <si>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</si>
  <si>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</si>
  <si>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</si>
  <si>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</si>
  <si>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</si>
  <si>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</si>
  <si>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</si>
  <si>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</si>
  <si>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</si>
  <si>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</si>
  <si>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</si>
  <si>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</si>
  <si>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</si>
  <si>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</si>
  <si>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</si>
  <si>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</si>
  <si>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</si>
  <si>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</si>
  <si>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</si>
  <si>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</si>
  <si>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</si>
  <si>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</si>
  <si>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</si>
  <si>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</si>
  <si>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</si>
  <si>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</si>
  <si>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</si>
  <si>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</si>
  <si>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</si>
  <si>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</si>
  <si>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</si>
  <si>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</si>
  <si>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</si>
  <si>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</si>
  <si>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</si>
  <si>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</si>
  <si>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</si>
  <si>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</si>
  <si>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</si>
  <si>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</si>
  <si>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</si>
  <si>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</si>
  <si>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</si>
  <si>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</si>
  <si>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</si>
  <si>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</si>
  <si>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</si>
  <si>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</si>
  <si>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</si>
  <si>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</si>
  <si>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</si>
  <si>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</si>
  <si>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</si>
  <si>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</si>
  <si>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</si>
  <si>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</si>
  <si>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</si>
  <si>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</si>
  <si>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</si>
  <si>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</si>
  <si>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</si>
  <si>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</si>
  <si>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</si>
  <si>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</si>
  <si>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</si>
  <si>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</si>
  <si>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</si>
  <si>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</si>
  <si>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</si>
  <si>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</si>
  <si>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</si>
  <si>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</si>
  <si>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</si>
  <si>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</si>
  <si>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</si>
  <si>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</si>
  <si>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</si>
  <si>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</si>
  <si>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</si>
  <si>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</si>
  <si>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</si>
  <si>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</si>
  <si>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</si>
  <si>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</si>
  <si>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</si>
  <si>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</si>
  <si>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</si>
  <si>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</si>
  <si>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</si>
  <si>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</si>
  <si>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</si>
  <si>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</si>
  <si>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</si>
  <si>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</si>
  <si>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</si>
  <si>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</si>
  <si>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</si>
  <si>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</si>
  <si>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</si>
  <si>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</si>
  <si>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</si>
  <si>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</si>
  <si>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</si>
  <si>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</si>
  <si>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</si>
  <si>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</si>
  <si>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</si>
  <si>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</si>
  <si>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</si>
  <si>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</si>
  <si>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</si>
  <si>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</si>
  <si>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</si>
  <si>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</si>
  <si>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</si>
  <si>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</si>
  <si>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</si>
  <si>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</si>
  <si>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</si>
  <si>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</si>
  <si>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</si>
  <si>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</si>
  <si>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</si>
  <si>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</si>
  <si>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</si>
  <si>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</si>
  <si>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</si>
  <si>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</si>
  <si>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</si>
  <si>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</si>
  <si>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</si>
  <si>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</si>
  <si>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</si>
  <si>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</si>
  <si>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</si>
  <si>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</si>
  <si>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</si>
  <si>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</si>
  <si>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</si>
  <si>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</si>
  <si>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</si>
  <si>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</si>
  <si>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</si>
  <si>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</si>
  <si>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</si>
  <si>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</si>
  <si>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</si>
  <si>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</si>
  <si>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</si>
  <si>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</si>
  <si>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</si>
  <si>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</si>
  <si>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</si>
  <si>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</si>
  <si>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</si>
  <si>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</si>
  <si>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</si>
  <si>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</si>
  <si>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</si>
  <si>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</si>
  <si>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</si>
  <si>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</si>
  <si>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</si>
  <si>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</si>
  <si>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</si>
  <si>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</si>
  <si>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</si>
  <si>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</si>
  <si>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</si>
  <si>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</si>
  <si>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</si>
  <si>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</si>
  <si>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</si>
  <si>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</si>
  <si>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</si>
  <si>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</si>
  <si>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</si>
  <si>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</si>
  <si>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</si>
  <si>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</si>
  <si>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</si>
  <si>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</si>
  <si>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</si>
  <si>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</si>
  <si>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</si>
  <si>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</si>
  <si>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</si>
  <si>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</si>
  <si>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</si>
  <si>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</si>
  <si>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</si>
  <si>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</si>
  <si>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</si>
  <si>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</si>
  <si>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</si>
  <si>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</si>
  <si>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</si>
  <si>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</si>
  <si>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</si>
  <si>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</si>
  <si>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</si>
  <si>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</si>
  <si>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</si>
  <si>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</si>
  <si>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</si>
  <si>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</si>
  <si>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</si>
  <si>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</si>
  <si>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</si>
  <si>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</si>
  <si>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</si>
  <si>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</si>
  <si>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</si>
  <si>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</si>
  <si>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</si>
  <si>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</si>
  <si>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</si>
  <si>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</si>
  <si>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</si>
  <si>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</si>
  <si>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</si>
  <si>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</si>
  <si>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</si>
  <si>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</si>
  <si>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</si>
  <si>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</si>
  <si>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</si>
  <si>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</si>
  <si>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</si>
  <si>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</si>
  <si>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</si>
  <si>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</si>
  <si>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</si>
  <si>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</si>
  <si>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</si>
  <si>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</si>
  <si>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</si>
  <si>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</si>
  <si>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</si>
  <si>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</si>
  <si>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</si>
  <si>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</si>
  <si>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</si>
  <si>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</si>
  <si>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</si>
  <si>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</si>
  <si>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</si>
  <si>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</si>
  <si>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</si>
  <si>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</si>
  <si>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</si>
  <si>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</si>
  <si>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</si>
  <si>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</si>
  <si>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</si>
  <si>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</si>
  <si>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</si>
  <si>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</si>
  <si>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</si>
  <si>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</si>
  <si>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</si>
  <si>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</si>
  <si>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</si>
  <si>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</si>
  <si>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</si>
  <si>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</si>
  <si>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</si>
  <si>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</si>
  <si>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</si>
  <si>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</si>
  <si>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</si>
  <si>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</si>
  <si>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</si>
  <si>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</si>
  <si>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</si>
  <si>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</si>
  <si>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</si>
  <si>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</si>
  <si>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</si>
  <si>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</si>
  <si>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</si>
  <si>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</si>
  <si>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</si>
  <si>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</si>
  <si>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</si>
  <si>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</si>
  <si>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</si>
  <si>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</si>
  <si>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</si>
  <si>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</si>
  <si>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</si>
  <si>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</si>
  <si>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</si>
  <si>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</si>
  <si>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</si>
  <si>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</si>
  <si>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</si>
  <si>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</si>
  <si>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</si>
  <si>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</si>
  <si>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</si>
  <si>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</si>
  <si>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</si>
  <si>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</si>
  <si>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</si>
  <si>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</si>
  <si>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</si>
  <si>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</si>
  <si>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</si>
  <si>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</si>
  <si>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</si>
  <si>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</si>
  <si>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</si>
  <si>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</si>
  <si>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</si>
  <si>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</si>
  <si>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</si>
  <si>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</si>
  <si>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</si>
  <si>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</si>
  <si>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</si>
  <si>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</si>
  <si>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</si>
  <si>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</si>
  <si>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</si>
  <si>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</si>
  <si>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</si>
  <si>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</si>
  <si>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</si>
  <si>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</si>
  <si>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</si>
  <si>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</si>
  <si>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</si>
  <si>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</si>
  <si>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</si>
  <si>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</si>
  <si>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</si>
  <si>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</si>
  <si>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</si>
  <si>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</si>
  <si>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</si>
  <si>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</si>
  <si>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</si>
  <si>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</si>
  <si>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</si>
  <si>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</si>
  <si>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</si>
  <si>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</si>
  <si>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</si>
  <si>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</si>
  <si>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</si>
  <si>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</si>
  <si>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</si>
  <si>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</si>
  <si>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</si>
  <si>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</si>
  <si>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</si>
  <si>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</si>
  <si>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</si>
  <si>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</si>
  <si>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</si>
  <si>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</si>
  <si>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</si>
  <si>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</si>
  <si>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</si>
  <si>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</si>
  <si>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</si>
  <si>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</si>
  <si>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</si>
  <si>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</si>
  <si>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</si>
  <si>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</si>
  <si>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</si>
  <si>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</si>
  <si>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</si>
  <si>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</si>
  <si>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</si>
  <si>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</si>
  <si>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</si>
  <si>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</si>
  <si>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</si>
  <si>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</si>
  <si>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</si>
  <si>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</si>
  <si>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</si>
  <si>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</si>
  <si>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</si>
  <si>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</si>
  <si>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</si>
  <si>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</si>
  <si>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</si>
  <si>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</si>
  <si>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</si>
  <si>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</si>
  <si>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</si>
  <si>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</si>
  <si>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</si>
  <si>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</si>
  <si>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</si>
  <si>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</si>
  <si>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</si>
  <si>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</si>
  <si>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</si>
  <si>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</si>
  <si>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</si>
  <si>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</si>
  <si>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</si>
  <si>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</si>
  <si>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</si>
  <si>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</si>
  <si>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</si>
  <si>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</si>
  <si>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</si>
  <si>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</si>
  <si>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</si>
  <si>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</si>
  <si>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</si>
  <si>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</si>
  <si>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</si>
  <si>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</si>
  <si>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</si>
  <si>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</si>
  <si>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</si>
  <si>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</si>
  <si>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</si>
  <si>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</si>
  <si>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</si>
  <si>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</si>
  <si>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</si>
  <si>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</si>
  <si>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</si>
  <si>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</si>
  <si>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</si>
  <si>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</si>
  <si>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</si>
  <si>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</si>
  <si>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</si>
  <si>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</si>
  <si>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</si>
  <si>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</si>
  <si>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</si>
  <si>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</si>
  <si>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</si>
  <si>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</si>
  <si>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</si>
  <si>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</si>
  <si>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</si>
  <si>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</si>
  <si>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</si>
  <si>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</si>
  <si>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</si>
  <si>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</si>
  <si>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</si>
  <si>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</si>
  <si>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</si>
  <si>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</si>
  <si>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</si>
  <si>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</si>
  <si>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</si>
  <si>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</si>
  <si>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</si>
  <si>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</si>
  <si>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</si>
  <si>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</si>
  <si>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</si>
  <si>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</si>
  <si>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</si>
  <si>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</si>
  <si>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</si>
  <si>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</si>
  <si>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</si>
  <si>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</si>
  <si>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</si>
  <si>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</si>
  <si>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</si>
  <si>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</si>
  <si>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</si>
  <si>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</si>
  <si>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</si>
  <si>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</si>
  <si>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</si>
  <si>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</si>
  <si>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</si>
  <si>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</si>
  <si>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</si>
  <si>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</si>
  <si>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</si>
  <si>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</si>
  <si>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</si>
  <si>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</si>
  <si>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</si>
  <si>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</si>
  <si>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</si>
  <si>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</si>
  <si>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</si>
  <si>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</si>
  <si>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</si>
  <si>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</si>
  <si>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</si>
  <si>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</si>
  <si>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</si>
  <si>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</si>
  <si>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</si>
  <si>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</si>
  <si>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</si>
  <si>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</si>
  <si>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</si>
  <si>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</si>
  <si>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</si>
  <si>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</si>
  <si>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</si>
  <si>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</si>
  <si>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</si>
  <si>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</si>
  <si>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</si>
  <si>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</si>
  <si>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</si>
  <si>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</si>
  <si>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</si>
  <si>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</si>
  <si>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</si>
  <si>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</si>
  <si>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</si>
  <si>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</si>
  <si>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</si>
  <si>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</si>
  <si>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</si>
  <si>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</si>
  <si>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</si>
  <si>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</si>
  <si>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</si>
  <si>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</si>
  <si>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</si>
  <si>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</si>
  <si>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</si>
  <si>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</si>
  <si>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</si>
  <si>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</si>
  <si>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</si>
  <si>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</si>
  <si>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</si>
  <si>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</si>
  <si>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</si>
  <si>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</si>
  <si>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</si>
  <si>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</si>
  <si>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</si>
  <si>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</si>
  <si>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</si>
  <si>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</si>
  <si>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</si>
  <si>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</si>
  <si>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</si>
  <si>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</si>
  <si>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</si>
  <si>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</si>
  <si>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</si>
  <si>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</si>
  <si>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</si>
  <si>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</si>
  <si>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</si>
  <si>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</si>
  <si>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</si>
  <si>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</si>
  <si>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</si>
  <si>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</si>
  <si>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</si>
  <si>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</si>
  <si>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</si>
  <si>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</si>
  <si>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</si>
  <si>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</si>
  <si>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</si>
  <si>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</si>
  <si>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</si>
  <si>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</si>
  <si>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</si>
  <si>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</si>
  <si>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</si>
  <si>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</si>
  <si>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</si>
  <si>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</si>
  <si>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</si>
  <si>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</si>
  <si>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</si>
  <si>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</si>
  <si>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</si>
  <si>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</si>
  <si>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</si>
  <si>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</si>
  <si>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</si>
  <si>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</si>
  <si>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</si>
  <si>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</si>
  <si>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</si>
  <si>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</si>
  <si>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</si>
  <si>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</si>
  <si>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</si>
  <si>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</si>
  <si>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</si>
  <si>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</si>
  <si>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</si>
  <si>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</si>
  <si>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</si>
  <si>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</si>
  <si>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</si>
  <si>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</si>
  <si>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</si>
  <si>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</si>
  <si>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</si>
  <si>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</si>
  <si>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</si>
  <si>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</si>
  <si>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</si>
  <si>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</si>
  <si>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</si>
  <si>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</si>
  <si>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</si>
  <si>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</si>
  <si>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</si>
  <si>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</si>
  <si>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</si>
  <si>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</si>
  <si>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</si>
  <si>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</si>
  <si>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</si>
  <si>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</si>
  <si>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</si>
  <si>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</si>
  <si>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</si>
  <si>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</si>
  <si>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</si>
  <si>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</si>
  <si>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</si>
  <si>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</si>
  <si>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</si>
  <si>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</si>
  <si>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</si>
  <si>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</si>
  <si>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</si>
  <si>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</si>
  <si>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</si>
  <si>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</si>
  <si>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</si>
  <si>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</si>
  <si>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</si>
  <si>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</si>
  <si>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</si>
  <si>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</si>
  <si>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</si>
  <si>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</si>
  <si>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</si>
  <si>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</si>
  <si>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</si>
  <si>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</si>
  <si>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</si>
  <si>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</si>
  <si>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</si>
  <si>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</si>
  <si>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</si>
  <si>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</si>
  <si>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</si>
  <si>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</si>
  <si>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31004</t>
  </si>
  <si>
    <t>BLANKENBERGE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</si>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</sst>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134530.16766923774</c:v>
                </c:pt>
                <c:pt idx="1">
                  <c:v>117649.76551603567</c:v>
                </c:pt>
                <c:pt idx="2">
                  <c:v>1783.2148016992601</c:v>
                </c:pt>
                <c:pt idx="3">
                  <c:v>10737.654871699284</c:v>
                </c:pt>
                <c:pt idx="4">
                  <c:v>5414.7105054548138</c:v>
                </c:pt>
                <c:pt idx="5">
                  <c:v>31301.437299024943</c:v>
                </c:pt>
                <c:pt idx="6">
                  <c:v>1165.7756614341095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08506240"/>
        <c:axId val="183760000"/>
      </c:barChart>
      <c:catAx>
        <c:axId val="208506240"/>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2085062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134530.16766923774</c:v>
                </c:pt>
                <c:pt idx="1">
                  <c:v>117649.76551603567</c:v>
                </c:pt>
                <c:pt idx="2">
                  <c:v>1783.2148016992601</c:v>
                </c:pt>
                <c:pt idx="3">
                  <c:v>10737.654871699284</c:v>
                </c:pt>
                <c:pt idx="4">
                  <c:v>5414.7105054548138</c:v>
                </c:pt>
                <c:pt idx="5">
                  <c:v>31301.437299024943</c:v>
                </c:pt>
                <c:pt idx="6">
                  <c:v>1165.7756614341095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27329.301388373704</c:v>
                </c:pt>
                <c:pt idx="1">
                  <c:v>23592.097365734193</c:v>
                </c:pt>
                <c:pt idx="2">
                  <c:v>380.51628544239583</c:v>
                </c:pt>
                <c:pt idx="3">
                  <c:v>2279.5512079217801</c:v>
                </c:pt>
                <c:pt idx="4">
                  <c:v>1075.4850799263736</c:v>
                </c:pt>
                <c:pt idx="5">
                  <c:v>7836.9977597021125</c:v>
                </c:pt>
                <c:pt idx="6">
                  <c:v>262.3511844022679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27329.301388373704</c:v>
                </c:pt>
                <c:pt idx="1">
                  <c:v>23592.097365734193</c:v>
                </c:pt>
                <c:pt idx="2">
                  <c:v>380.51628544239583</c:v>
                </c:pt>
                <c:pt idx="3">
                  <c:v>2279.5512079217801</c:v>
                </c:pt>
                <c:pt idx="4">
                  <c:v>1075.4850799263736</c:v>
                </c:pt>
                <c:pt idx="5">
                  <c:v>7836.9977597021125</c:v>
                </c:pt>
                <c:pt idx="6">
                  <c:v>262.3511844022679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31004</v>
      </c>
      <c r="B6" s="415"/>
      <c r="C6" s="416"/>
    </row>
    <row r="7" spans="1:7" s="413" customFormat="1" ht="15.75" customHeight="1">
      <c r="A7" s="417" t="str">
        <f>txtMunicipality</f>
        <v>BLANKENBERGE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10341</v>
      </c>
      <c r="C9" s="342">
        <v>10266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1035.17</v>
      </c>
    </row>
    <row r="15" spans="1:6">
      <c r="A15" s="348" t="s">
        <v>184</v>
      </c>
      <c r="B15" s="334">
        <v>4</v>
      </c>
    </row>
    <row r="16" spans="1:6">
      <c r="A16" s="348" t="s">
        <v>6</v>
      </c>
      <c r="B16" s="334">
        <v>128</v>
      </c>
    </row>
    <row r="17" spans="1:6">
      <c r="A17" s="348" t="s">
        <v>7</v>
      </c>
      <c r="B17" s="334">
        <v>117</v>
      </c>
    </row>
    <row r="18" spans="1:6">
      <c r="A18" s="348" t="s">
        <v>8</v>
      </c>
      <c r="B18" s="334">
        <v>171</v>
      </c>
    </row>
    <row r="19" spans="1:6">
      <c r="A19" s="348" t="s">
        <v>9</v>
      </c>
      <c r="B19" s="334">
        <v>200</v>
      </c>
    </row>
    <row r="20" spans="1:6">
      <c r="A20" s="348" t="s">
        <v>10</v>
      </c>
      <c r="B20" s="334">
        <v>219</v>
      </c>
    </row>
    <row r="21" spans="1:6">
      <c r="A21" s="348" t="s">
        <v>11</v>
      </c>
      <c r="B21" s="334">
        <v>1535</v>
      </c>
    </row>
    <row r="22" spans="1:6">
      <c r="A22" s="348" t="s">
        <v>12</v>
      </c>
      <c r="B22" s="334">
        <v>4372</v>
      </c>
    </row>
    <row r="23" spans="1:6">
      <c r="A23" s="348" t="s">
        <v>13</v>
      </c>
      <c r="B23" s="334">
        <v>38</v>
      </c>
    </row>
    <row r="24" spans="1:6">
      <c r="A24" s="348" t="s">
        <v>14</v>
      </c>
      <c r="B24" s="334">
        <v>5</v>
      </c>
    </row>
    <row r="25" spans="1:6">
      <c r="A25" s="348" t="s">
        <v>15</v>
      </c>
      <c r="B25" s="334">
        <v>490</v>
      </c>
    </row>
    <row r="26" spans="1:6">
      <c r="A26" s="348" t="s">
        <v>16</v>
      </c>
      <c r="B26" s="334">
        <v>6</v>
      </c>
    </row>
    <row r="27" spans="1:6">
      <c r="A27" s="348" t="s">
        <v>17</v>
      </c>
      <c r="B27" s="334">
        <v>0</v>
      </c>
    </row>
    <row r="28" spans="1:6" s="356" customFormat="1">
      <c r="A28" s="355" t="s">
        <v>18</v>
      </c>
      <c r="B28" s="355">
        <v>0</v>
      </c>
    </row>
    <row r="29" spans="1:6">
      <c r="A29" s="355" t="s">
        <v>744</v>
      </c>
      <c r="B29" s="355">
        <v>61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16281.270714967101</v>
      </c>
    </row>
    <row r="37" spans="1:6">
      <c r="A37" s="348" t="s">
        <v>25</v>
      </c>
      <c r="B37" s="348" t="s">
        <v>28</v>
      </c>
      <c r="C37" s="334">
        <v>0</v>
      </c>
      <c r="D37" s="334">
        <v>0</v>
      </c>
      <c r="E37" s="334">
        <v>0</v>
      </c>
      <c r="F37" s="334">
        <v>0</v>
      </c>
    </row>
    <row r="38" spans="1:6">
      <c r="A38" s="348" t="s">
        <v>25</v>
      </c>
      <c r="B38" s="348" t="s">
        <v>29</v>
      </c>
      <c r="C38" s="334">
        <v>1</v>
      </c>
      <c r="D38" s="334">
        <v>6075.5414749447</v>
      </c>
      <c r="E38" s="334">
        <v>1</v>
      </c>
      <c r="F38" s="334">
        <v>968.83028273720004</v>
      </c>
    </row>
    <row r="39" spans="1:6">
      <c r="A39" s="348" t="s">
        <v>30</v>
      </c>
      <c r="B39" s="348" t="s">
        <v>31</v>
      </c>
      <c r="C39" s="334">
        <v>9857</v>
      </c>
      <c r="D39" s="334">
        <v>107882377.876404</v>
      </c>
      <c r="E39" s="334">
        <v>13894</v>
      </c>
      <c r="F39" s="334">
        <v>33701745.0957506</v>
      </c>
    </row>
    <row r="40" spans="1:6">
      <c r="A40" s="348" t="s">
        <v>30</v>
      </c>
      <c r="B40" s="348" t="s">
        <v>29</v>
      </c>
      <c r="C40" s="334">
        <v>0</v>
      </c>
      <c r="D40" s="334">
        <v>0</v>
      </c>
      <c r="E40" s="334">
        <v>0</v>
      </c>
      <c r="F40" s="334">
        <v>0</v>
      </c>
    </row>
    <row r="41" spans="1:6">
      <c r="A41" s="348" t="s">
        <v>32</v>
      </c>
      <c r="B41" s="348" t="s">
        <v>33</v>
      </c>
      <c r="C41" s="334">
        <v>111</v>
      </c>
      <c r="D41" s="334">
        <v>1098946.5330764099</v>
      </c>
      <c r="E41" s="334">
        <v>239</v>
      </c>
      <c r="F41" s="334">
        <v>918532.93658418197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190087.12443354001</v>
      </c>
    </row>
    <row r="45" spans="1:6">
      <c r="A45" s="348" t="s">
        <v>32</v>
      </c>
      <c r="B45" s="348" t="s">
        <v>37</v>
      </c>
      <c r="C45" s="334">
        <v>6</v>
      </c>
      <c r="D45" s="334">
        <v>10882.438702195001</v>
      </c>
      <c r="E45" s="334">
        <v>8</v>
      </c>
      <c r="F45" s="334">
        <v>2196.5201295827001</v>
      </c>
    </row>
    <row r="46" spans="1:6">
      <c r="A46" s="348" t="s">
        <v>32</v>
      </c>
      <c r="B46" s="348" t="s">
        <v>38</v>
      </c>
      <c r="C46" s="334">
        <v>0</v>
      </c>
      <c r="D46" s="334">
        <v>0</v>
      </c>
      <c r="E46" s="334">
        <v>0</v>
      </c>
      <c r="F46" s="334">
        <v>0</v>
      </c>
    </row>
    <row r="47" spans="1:6">
      <c r="A47" s="348" t="s">
        <v>32</v>
      </c>
      <c r="B47" s="348" t="s">
        <v>39</v>
      </c>
      <c r="C47" s="334">
        <v>0</v>
      </c>
      <c r="D47" s="334">
        <v>0</v>
      </c>
      <c r="E47" s="334">
        <v>4</v>
      </c>
      <c r="F47" s="334">
        <v>40206.351428481401</v>
      </c>
    </row>
    <row r="48" spans="1:6">
      <c r="A48" s="348" t="s">
        <v>32</v>
      </c>
      <c r="B48" s="348" t="s">
        <v>29</v>
      </c>
      <c r="C48" s="334">
        <v>40</v>
      </c>
      <c r="D48" s="334">
        <v>703662.86175383301</v>
      </c>
      <c r="E48" s="334">
        <v>34</v>
      </c>
      <c r="F48" s="334">
        <v>138904.40447546</v>
      </c>
    </row>
    <row r="49" spans="1:6">
      <c r="A49" s="348" t="s">
        <v>32</v>
      </c>
      <c r="B49" s="348" t="s">
        <v>40</v>
      </c>
      <c r="C49" s="334">
        <v>0</v>
      </c>
      <c r="D49" s="334">
        <v>0</v>
      </c>
      <c r="E49" s="334">
        <v>3</v>
      </c>
      <c r="F49" s="334">
        <v>3635.4648959814999</v>
      </c>
    </row>
    <row r="50" spans="1:6">
      <c r="A50" s="348" t="s">
        <v>32</v>
      </c>
      <c r="B50" s="348" t="s">
        <v>41</v>
      </c>
      <c r="C50" s="334">
        <v>12</v>
      </c>
      <c r="D50" s="334">
        <v>465082.03634752397</v>
      </c>
      <c r="E50" s="334">
        <v>21</v>
      </c>
      <c r="F50" s="334">
        <v>481923.75189799501</v>
      </c>
    </row>
    <row r="51" spans="1:6">
      <c r="A51" s="348" t="s">
        <v>42</v>
      </c>
      <c r="B51" s="348" t="s">
        <v>43</v>
      </c>
      <c r="C51" s="334">
        <v>9</v>
      </c>
      <c r="D51" s="334">
        <v>137704.62508416499</v>
      </c>
      <c r="E51" s="334">
        <v>26</v>
      </c>
      <c r="F51" s="334">
        <v>333647.73081492801</v>
      </c>
    </row>
    <row r="52" spans="1:6">
      <c r="A52" s="348" t="s">
        <v>42</v>
      </c>
      <c r="B52" s="348" t="s">
        <v>29</v>
      </c>
      <c r="C52" s="334">
        <v>5</v>
      </c>
      <c r="D52" s="334">
        <v>71408.843419822297</v>
      </c>
      <c r="E52" s="334">
        <v>11</v>
      </c>
      <c r="F52" s="334">
        <v>28877.071275558901</v>
      </c>
    </row>
    <row r="53" spans="1:6">
      <c r="A53" s="348" t="s">
        <v>44</v>
      </c>
      <c r="B53" s="348" t="s">
        <v>45</v>
      </c>
      <c r="C53" s="334">
        <v>1453</v>
      </c>
      <c r="D53" s="334">
        <v>9548861.6580883097</v>
      </c>
      <c r="E53" s="334">
        <v>3204</v>
      </c>
      <c r="F53" s="334">
        <v>5839722.35918965</v>
      </c>
    </row>
    <row r="54" spans="1:6">
      <c r="A54" s="348" t="s">
        <v>46</v>
      </c>
      <c r="B54" s="348" t="s">
        <v>47</v>
      </c>
      <c r="C54" s="334">
        <v>0</v>
      </c>
      <c r="D54" s="334">
        <v>0</v>
      </c>
      <c r="E54" s="334">
        <v>4</v>
      </c>
      <c r="F54" s="334">
        <v>1783214.80169926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101</v>
      </c>
      <c r="D57" s="334">
        <v>9074111.6427155491</v>
      </c>
      <c r="E57" s="334">
        <v>235</v>
      </c>
      <c r="F57" s="334">
        <v>6183747.8507616399</v>
      </c>
    </row>
    <row r="58" spans="1:6">
      <c r="A58" s="348" t="s">
        <v>49</v>
      </c>
      <c r="B58" s="348" t="s">
        <v>51</v>
      </c>
      <c r="C58" s="334">
        <v>47</v>
      </c>
      <c r="D58" s="334">
        <v>4530760.7214265196</v>
      </c>
      <c r="E58" s="334">
        <v>66</v>
      </c>
      <c r="F58" s="334">
        <v>2985196.9611530802</v>
      </c>
    </row>
    <row r="59" spans="1:6">
      <c r="A59" s="348" t="s">
        <v>49</v>
      </c>
      <c r="B59" s="348" t="s">
        <v>52</v>
      </c>
      <c r="C59" s="334">
        <v>249</v>
      </c>
      <c r="D59" s="334">
        <v>10693641.853957601</v>
      </c>
      <c r="E59" s="334">
        <v>464</v>
      </c>
      <c r="F59" s="334">
        <v>10539768.276285101</v>
      </c>
    </row>
    <row r="60" spans="1:6">
      <c r="A60" s="348" t="s">
        <v>49</v>
      </c>
      <c r="B60" s="348" t="s">
        <v>53</v>
      </c>
      <c r="C60" s="334">
        <v>266</v>
      </c>
      <c r="D60" s="334">
        <v>18683821.504058801</v>
      </c>
      <c r="E60" s="334">
        <v>412</v>
      </c>
      <c r="F60" s="334">
        <v>13327012.250617599</v>
      </c>
    </row>
    <row r="61" spans="1:6">
      <c r="A61" s="348" t="s">
        <v>49</v>
      </c>
      <c r="B61" s="348" t="s">
        <v>54</v>
      </c>
      <c r="C61" s="334">
        <v>343</v>
      </c>
      <c r="D61" s="334">
        <v>18611009.092749301</v>
      </c>
      <c r="E61" s="334">
        <v>1167</v>
      </c>
      <c r="F61" s="334">
        <v>5875267.4052260797</v>
      </c>
    </row>
    <row r="62" spans="1:6">
      <c r="A62" s="348" t="s">
        <v>49</v>
      </c>
      <c r="B62" s="348" t="s">
        <v>55</v>
      </c>
      <c r="C62" s="334">
        <v>12</v>
      </c>
      <c r="D62" s="334">
        <v>1656830.74573449</v>
      </c>
      <c r="E62" s="334">
        <v>10</v>
      </c>
      <c r="F62" s="334">
        <v>386947.97417847399</v>
      </c>
    </row>
    <row r="63" spans="1:6">
      <c r="A63" s="348" t="s">
        <v>49</v>
      </c>
      <c r="B63" s="348" t="s">
        <v>29</v>
      </c>
      <c r="C63" s="334">
        <v>115</v>
      </c>
      <c r="D63" s="334">
        <v>5069363.7957312297</v>
      </c>
      <c r="E63" s="334">
        <v>104</v>
      </c>
      <c r="F63" s="334">
        <v>3156710.7464739899</v>
      </c>
    </row>
    <row r="64" spans="1:6">
      <c r="A64" s="348" t="s">
        <v>56</v>
      </c>
      <c r="B64" s="348" t="s">
        <v>57</v>
      </c>
      <c r="C64" s="334">
        <v>0</v>
      </c>
      <c r="D64" s="334">
        <v>0</v>
      </c>
      <c r="E64" s="334">
        <v>0</v>
      </c>
      <c r="F64" s="334">
        <v>0</v>
      </c>
    </row>
    <row r="65" spans="1:6">
      <c r="A65" s="348" t="s">
        <v>56</v>
      </c>
      <c r="B65" s="348" t="s">
        <v>29</v>
      </c>
      <c r="C65" s="334">
        <v>4</v>
      </c>
      <c r="D65" s="334">
        <v>224376.12572265201</v>
      </c>
      <c r="E65" s="334">
        <v>5</v>
      </c>
      <c r="F65" s="334">
        <v>19281.252688070399</v>
      </c>
    </row>
    <row r="66" spans="1:6">
      <c r="A66" s="348" t="s">
        <v>56</v>
      </c>
      <c r="B66" s="348" t="s">
        <v>58</v>
      </c>
      <c r="C66" s="334">
        <v>0</v>
      </c>
      <c r="D66" s="334">
        <v>0</v>
      </c>
      <c r="E66" s="334">
        <v>17</v>
      </c>
      <c r="F66" s="334">
        <v>451313.85069128498</v>
      </c>
    </row>
    <row r="67" spans="1:6">
      <c r="A67" s="355" t="s">
        <v>56</v>
      </c>
      <c r="B67" s="355" t="s">
        <v>59</v>
      </c>
      <c r="C67" s="334">
        <v>0</v>
      </c>
      <c r="D67" s="334">
        <v>0</v>
      </c>
      <c r="E67" s="334">
        <v>0</v>
      </c>
      <c r="F67" s="334">
        <v>0</v>
      </c>
    </row>
    <row r="68" spans="1:6">
      <c r="A68" s="341" t="s">
        <v>56</v>
      </c>
      <c r="B68" s="341" t="s">
        <v>60</v>
      </c>
      <c r="C68" s="334">
        <v>8</v>
      </c>
      <c r="D68" s="334">
        <v>164028.865591029</v>
      </c>
      <c r="E68" s="334">
        <v>20</v>
      </c>
      <c r="F68" s="334">
        <v>1568663.7550757399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30859883</v>
      </c>
      <c r="E73" s="476">
        <v>32682016.793456338</v>
      </c>
    </row>
    <row r="74" spans="1:6">
      <c r="A74" s="348" t="s">
        <v>64</v>
      </c>
      <c r="B74" s="348" t="s">
        <v>657</v>
      </c>
      <c r="C74" s="1272" t="s">
        <v>659</v>
      </c>
      <c r="D74" s="476">
        <v>2734561.8186464841</v>
      </c>
      <c r="E74" s="476">
        <v>2703703.1123822075</v>
      </c>
    </row>
    <row r="75" spans="1:6">
      <c r="A75" s="348" t="s">
        <v>65</v>
      </c>
      <c r="B75" s="348" t="s">
        <v>656</v>
      </c>
      <c r="C75" s="1272" t="s">
        <v>660</v>
      </c>
      <c r="D75" s="476">
        <v>4123826</v>
      </c>
      <c r="E75" s="476">
        <v>4191559.1006153799</v>
      </c>
    </row>
    <row r="76" spans="1:6">
      <c r="A76" s="348" t="s">
        <v>65</v>
      </c>
      <c r="B76" s="348" t="s">
        <v>657</v>
      </c>
      <c r="C76" s="1272" t="s">
        <v>661</v>
      </c>
      <c r="D76" s="476">
        <v>559916.81864648394</v>
      </c>
      <c r="E76" s="476">
        <v>564811.34522573266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93868.362707032065</v>
      </c>
      <c r="C83" s="476">
        <v>93789.801308087044</v>
      </c>
    </row>
    <row r="84" spans="1:6">
      <c r="A84" s="341" t="s">
        <v>337</v>
      </c>
      <c r="B84" s="1273">
        <v>232531.83222928841</v>
      </c>
      <c r="C84" s="1273">
        <v>231794.81043736063</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2032.4331010880812</v>
      </c>
    </row>
    <row r="92" spans="1:6">
      <c r="A92" s="341" t="s">
        <v>69</v>
      </c>
      <c r="B92" s="342">
        <v>824.50068664461196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32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82943.493234815949</v>
      </c>
      <c r="C3" s="43" t="s">
        <v>170</v>
      </c>
      <c r="D3" s="43"/>
      <c r="E3" s="154"/>
      <c r="F3" s="43"/>
      <c r="G3" s="43"/>
      <c r="H3" s="43"/>
      <c r="I3" s="43"/>
      <c r="J3" s="43"/>
      <c r="K3" s="96"/>
    </row>
    <row r="4" spans="1:11">
      <c r="A4" s="383" t="s">
        <v>171</v>
      </c>
      <c r="B4" s="49">
        <f>IF(ISERROR('SEAP template'!B69),0,'SEAP template'!B69)</f>
        <v>2856.9337877326934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0.21338780111055294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1783.2148016992601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1783.2148016992601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0.21338780111055294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380.51628544239583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33701.745095750601</v>
      </c>
      <c r="C5" s="17">
        <f>IF(ISERROR('Eigen informatie GS &amp; warmtenet'!B57),0,'Eigen informatie GS &amp; warmtenet'!B57)</f>
        <v>0</v>
      </c>
      <c r="D5" s="30">
        <f>(SUM(HH_hh_gas_kWh,HH_rest_gas_kWh)/1000)*0.902</f>
        <v>97309.904844516408</v>
      </c>
      <c r="E5" s="17">
        <f>B46*B57</f>
        <v>209.08766460493902</v>
      </c>
      <c r="F5" s="17">
        <f>B51*B62</f>
        <v>0</v>
      </c>
      <c r="G5" s="18"/>
      <c r="H5" s="17"/>
      <c r="I5" s="17"/>
      <c r="J5" s="17">
        <f>B50*B61+C50*C61</f>
        <v>0</v>
      </c>
      <c r="K5" s="17"/>
      <c r="L5" s="17"/>
      <c r="M5" s="17"/>
      <c r="N5" s="17">
        <f>B48*B59+C48*C59</f>
        <v>867.46362994439801</v>
      </c>
      <c r="O5" s="17">
        <f>B69*B70*B71</f>
        <v>218.86666666666667</v>
      </c>
      <c r="P5" s="17">
        <f>B77*B78*B79/1000-B77*B78*B79/1000/B80</f>
        <v>190.66666666666669</v>
      </c>
    </row>
    <row r="6" spans="1:16">
      <c r="A6" s="16" t="s">
        <v>621</v>
      </c>
      <c r="B6" s="843">
        <f>kWh_PV_kleiner_dan_10kW</f>
        <v>2032.4331010880812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35734.178196838679</v>
      </c>
      <c r="C8" s="21">
        <f>C5</f>
        <v>0</v>
      </c>
      <c r="D8" s="21">
        <f>D5</f>
        <v>97309.904844516408</v>
      </c>
      <c r="E8" s="21">
        <f>E5</f>
        <v>209.08766460493902</v>
      </c>
      <c r="F8" s="21">
        <f>F5</f>
        <v>0</v>
      </c>
      <c r="G8" s="21"/>
      <c r="H8" s="21"/>
      <c r="I8" s="21"/>
      <c r="J8" s="21">
        <f>J5</f>
        <v>0</v>
      </c>
      <c r="K8" s="21"/>
      <c r="L8" s="21">
        <f>L5</f>
        <v>0</v>
      </c>
      <c r="M8" s="21">
        <f>M5</f>
        <v>0</v>
      </c>
      <c r="N8" s="21">
        <f>N5</f>
        <v>867.46362994439801</v>
      </c>
      <c r="O8" s="21">
        <f>O5</f>
        <v>218.86666666666667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0.21338780111055294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7625.2377099160694</v>
      </c>
      <c r="C12" s="23">
        <f ca="1">C10*C8</f>
        <v>0</v>
      </c>
      <c r="D12" s="23">
        <f>D8*D10</f>
        <v>19656.600778592314</v>
      </c>
      <c r="E12" s="23">
        <f>E10*E8</f>
        <v>47.462899865321162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10341</v>
      </c>
      <c r="C28" s="36"/>
      <c r="D28" s="228"/>
    </row>
    <row r="29" spans="1:7" s="15" customFormat="1">
      <c r="A29" s="230" t="s">
        <v>795</v>
      </c>
      <c r="B29" s="37">
        <f>SUM(HH_hh_gas_aantal,HH_rest_gas_aantal)</f>
        <v>9857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9857</v>
      </c>
      <c r="C32" s="167">
        <f>IF(ISERROR(B32/SUM($B$32,$B$34,$B$35,$B$36,$B$38,$B$39)*100),0,B32/SUM($B$32,$B$34,$B$35,$B$36,$B$38,$B$39)*100)</f>
        <v>95.411867195818417</v>
      </c>
      <c r="D32" s="233"/>
      <c r="G32" s="15"/>
    </row>
    <row r="33" spans="1:7">
      <c r="A33" s="171" t="s">
        <v>72</v>
      </c>
      <c r="B33" s="34" t="s">
        <v>111</v>
      </c>
      <c r="C33" s="167"/>
      <c r="D33" s="233"/>
      <c r="G33" s="15"/>
    </row>
    <row r="34" spans="1:7">
      <c r="A34" s="171" t="s">
        <v>73</v>
      </c>
      <c r="B34" s="33">
        <f>IF((($B$28-$B$32-$B$39-$B$77-$B$38)*C20/100)&lt;0,0,($B$28-$B$32-$B$39-$B$77-$B$38)*C20/100)</f>
        <v>9.8749999999999982</v>
      </c>
      <c r="C34" s="167">
        <f>IF(ISERROR(B34/SUM($B$32,$B$34,$B$35,$B$36,$B$38,$B$39)*100),0,B34/SUM($B$32,$B$34,$B$35,$B$36,$B$38,$B$39)*100)</f>
        <v>9.5586100087116432E-2</v>
      </c>
      <c r="D34" s="233"/>
      <c r="G34" s="15"/>
    </row>
    <row r="35" spans="1:7">
      <c r="A35" s="171" t="s">
        <v>74</v>
      </c>
      <c r="B35" s="33">
        <f>IF((($B$28-$B$32-$B$39-$B$77-$B$38)*C21/100)&lt;0,0,($B$28-$B$32-$B$39-$B$77-$B$38)*C21/100)</f>
        <v>452.10326086956519</v>
      </c>
      <c r="C35" s="167">
        <f>IF(ISERROR(B35/SUM($B$32,$B$34,$B$35,$B$36,$B$38,$B$39)*100),0,B35/SUM($B$32,$B$34,$B$35,$B$36,$B$38,$B$39)*100)</f>
        <v>4.3761810170318958</v>
      </c>
      <c r="D35" s="233"/>
      <c r="G35" s="15"/>
    </row>
    <row r="36" spans="1:7">
      <c r="A36" s="171" t="s">
        <v>75</v>
      </c>
      <c r="B36" s="33">
        <f>IF((($B$28-$B$32-$B$39-$B$77-$B$38)*C22/100)&lt;0,0,($B$28-$B$32-$B$39-$B$77-$B$38)*C22/100)</f>
        <v>12.021739130434783</v>
      </c>
      <c r="C36" s="167">
        <f>IF(ISERROR(B36/SUM($B$32,$B$34,$B$35,$B$36,$B$38,$B$39)*100),0,B36/SUM($B$32,$B$34,$B$35,$B$36,$B$38,$B$39)*100)</f>
        <v>0.11636568706257654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9857</v>
      </c>
      <c r="C44" s="34" t="s">
        <v>111</v>
      </c>
      <c r="D44" s="174"/>
    </row>
    <row r="45" spans="1:7">
      <c r="A45" s="171" t="s">
        <v>72</v>
      </c>
      <c r="B45" s="33" t="str">
        <f t="shared" si="0"/>
        <v>-</v>
      </c>
      <c r="C45" s="34" t="s">
        <v>111</v>
      </c>
      <c r="D45" s="174"/>
    </row>
    <row r="46" spans="1:7">
      <c r="A46" s="171" t="s">
        <v>73</v>
      </c>
      <c r="B46" s="33">
        <f t="shared" si="0"/>
        <v>9.8749999999999982</v>
      </c>
      <c r="C46" s="34" t="s">
        <v>111</v>
      </c>
      <c r="D46" s="174"/>
    </row>
    <row r="47" spans="1:7">
      <c r="A47" s="171" t="s">
        <v>74</v>
      </c>
      <c r="B47" s="33">
        <f t="shared" si="0"/>
        <v>452.10326086956519</v>
      </c>
      <c r="C47" s="34" t="s">
        <v>111</v>
      </c>
      <c r="D47" s="174"/>
    </row>
    <row r="48" spans="1:7">
      <c r="A48" s="171" t="s">
        <v>75</v>
      </c>
      <c r="B48" s="33">
        <f t="shared" si="0"/>
        <v>12.021739130434783</v>
      </c>
      <c r="C48" s="33">
        <f>B48*10</f>
        <v>120.21739130434783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42454.651464695962</v>
      </c>
      <c r="C5" s="17">
        <f>IF(ISERROR('Eigen informatie GS &amp; warmtenet'!B58),0,'Eigen informatie GS &amp; warmtenet'!B58)</f>
        <v>0</v>
      </c>
      <c r="D5" s="30">
        <f>SUM(D6:D12)</f>
        <v>61624.224499448886</v>
      </c>
      <c r="E5" s="17">
        <f>SUM(E6:E12)</f>
        <v>625.74962480764816</v>
      </c>
      <c r="F5" s="17">
        <f>SUM(F6:F12)</f>
        <v>7275.6700652754043</v>
      </c>
      <c r="G5" s="18"/>
      <c r="H5" s="17"/>
      <c r="I5" s="17"/>
      <c r="J5" s="17">
        <f>SUM(J6:J12)</f>
        <v>0.14186898095473846</v>
      </c>
      <c r="K5" s="17"/>
      <c r="L5" s="17"/>
      <c r="M5" s="17"/>
      <c r="N5" s="17">
        <f>SUM(N6:N12)</f>
        <v>5628.0679928268137</v>
      </c>
      <c r="O5" s="17">
        <f>B38*B39*B40</f>
        <v>3.1266666666666669</v>
      </c>
      <c r="P5" s="17">
        <f>B46*B47*B48/1000-B46*B47*B48/1000/B49</f>
        <v>38.133333333333333</v>
      </c>
      <c r="R5" s="32"/>
    </row>
    <row r="6" spans="1:18">
      <c r="A6" s="32" t="s">
        <v>54</v>
      </c>
      <c r="B6" s="37">
        <f>B26</f>
        <v>5875.26740522608</v>
      </c>
      <c r="C6" s="33"/>
      <c r="D6" s="37">
        <f>IF(ISERROR(TER_kantoor_gas_kWh/1000),0,TER_kantoor_gas_kWh/1000)*0.902</f>
        <v>16787.130201659867</v>
      </c>
      <c r="E6" s="33">
        <f>$C$26*'E Balans VL '!I12/100/3.6*1000000</f>
        <v>3.6824222012631559E-2</v>
      </c>
      <c r="F6" s="33">
        <f>$C$26*('E Balans VL '!L12+'E Balans VL '!N12)/100/3.6*1000000</f>
        <v>882.88852037660729</v>
      </c>
      <c r="G6" s="34"/>
      <c r="H6" s="33"/>
      <c r="I6" s="33"/>
      <c r="J6" s="33">
        <f>$C$26*('E Balans VL '!D12+'E Balans VL '!E12)/100/3.6*1000000</f>
        <v>0</v>
      </c>
      <c r="K6" s="33"/>
      <c r="L6" s="33"/>
      <c r="M6" s="33"/>
      <c r="N6" s="33">
        <f>$C$26*'E Balans VL '!Y12/100/3.6*1000000</f>
        <v>5.6188221691073394</v>
      </c>
      <c r="O6" s="33"/>
      <c r="P6" s="33"/>
      <c r="R6" s="32"/>
    </row>
    <row r="7" spans="1:18">
      <c r="A7" s="32" t="s">
        <v>53</v>
      </c>
      <c r="B7" s="37">
        <f t="shared" ref="B7:B12" si="0">B27</f>
        <v>13327.012250617599</v>
      </c>
      <c r="C7" s="33"/>
      <c r="D7" s="37">
        <f>IF(ISERROR(TER_horeca_gas_kWh/1000),0,TER_horeca_gas_kWh/1000)*0.902</f>
        <v>16852.806996661038</v>
      </c>
      <c r="E7" s="33">
        <f>$C$27*'E Balans VL '!I9/100/3.6*1000000</f>
        <v>190.84059557236947</v>
      </c>
      <c r="F7" s="33">
        <f>$C$27*('E Balans VL '!L9+'E Balans VL '!N9)/100/3.6*1000000</f>
        <v>1687.6392927259415</v>
      </c>
      <c r="G7" s="34"/>
      <c r="H7" s="33"/>
      <c r="I7" s="33"/>
      <c r="J7" s="33">
        <f>$C$27*('E Balans VL '!D9+'E Balans VL '!E9)/100/3.6*1000000</f>
        <v>0</v>
      </c>
      <c r="K7" s="33"/>
      <c r="L7" s="33"/>
      <c r="M7" s="33"/>
      <c r="N7" s="33">
        <f>$C$27*'E Balans VL '!Y9/100/3.6*1000000</f>
        <v>3.8312221866551668</v>
      </c>
      <c r="O7" s="33"/>
      <c r="P7" s="33"/>
      <c r="R7" s="32"/>
    </row>
    <row r="8" spans="1:18">
      <c r="A8" s="6" t="s">
        <v>52</v>
      </c>
      <c r="B8" s="37">
        <f t="shared" si="0"/>
        <v>10539.7682762851</v>
      </c>
      <c r="C8" s="33"/>
      <c r="D8" s="37">
        <f>IF(ISERROR(TER_handel_gas_kWh/1000),0,TER_handel_gas_kWh/1000)*0.902</f>
        <v>9645.6649522697553</v>
      </c>
      <c r="E8" s="33">
        <f>$C$28*'E Balans VL '!I13/100/3.6*1000000</f>
        <v>382.27609567486553</v>
      </c>
      <c r="F8" s="33">
        <f>$C$28*('E Balans VL '!L13+'E Balans VL '!N13)/100/3.6*1000000</f>
        <v>2030.0660919514764</v>
      </c>
      <c r="G8" s="34"/>
      <c r="H8" s="33"/>
      <c r="I8" s="33"/>
      <c r="J8" s="33">
        <f>$C$28*('E Balans VL '!D13+'E Balans VL '!E13)/100/3.6*1000000</f>
        <v>0</v>
      </c>
      <c r="K8" s="33"/>
      <c r="L8" s="33"/>
      <c r="M8" s="33"/>
      <c r="N8" s="33">
        <f>$C$28*'E Balans VL '!Y13/100/3.6*1000000</f>
        <v>14.60000415517935</v>
      </c>
      <c r="O8" s="33"/>
      <c r="P8" s="33"/>
      <c r="R8" s="32"/>
    </row>
    <row r="9" spans="1:18">
      <c r="A9" s="32" t="s">
        <v>51</v>
      </c>
      <c r="B9" s="37">
        <f t="shared" si="0"/>
        <v>2985.1969611530803</v>
      </c>
      <c r="C9" s="33"/>
      <c r="D9" s="37">
        <f>IF(ISERROR(TER_gezond_gas_kWh/1000),0,TER_gezond_gas_kWh/1000)*0.902</f>
        <v>4086.7461707267212</v>
      </c>
      <c r="E9" s="33">
        <f>$C$29*'E Balans VL '!I10/100/3.6*1000000</f>
        <v>0.18690280326347938</v>
      </c>
      <c r="F9" s="33">
        <f>$C$29*('E Balans VL '!L10+'E Balans VL '!N10)/100/3.6*1000000</f>
        <v>443.46009763844052</v>
      </c>
      <c r="G9" s="34"/>
      <c r="H9" s="33"/>
      <c r="I9" s="33"/>
      <c r="J9" s="33">
        <f>$C$29*('E Balans VL '!D10+'E Balans VL '!E10)/100/3.6*1000000</f>
        <v>0</v>
      </c>
      <c r="K9" s="33"/>
      <c r="L9" s="33"/>
      <c r="M9" s="33"/>
      <c r="N9" s="33">
        <f>$C$29*'E Balans VL '!Y10/100/3.6*1000000</f>
        <v>46.175314642000295</v>
      </c>
      <c r="O9" s="33"/>
      <c r="P9" s="33"/>
      <c r="R9" s="32"/>
    </row>
    <row r="10" spans="1:18">
      <c r="A10" s="32" t="s">
        <v>50</v>
      </c>
      <c r="B10" s="37">
        <f t="shared" si="0"/>
        <v>6183.7478507616397</v>
      </c>
      <c r="C10" s="33"/>
      <c r="D10" s="37">
        <f>IF(ISERROR(TER_ander_gas_kWh/1000),0,TER_ander_gas_kWh/1000)*0.902</f>
        <v>8184.8487017294246</v>
      </c>
      <c r="E10" s="33">
        <f>$C$30*'E Balans VL '!I14/100/3.6*1000000</f>
        <v>7.370806468297026</v>
      </c>
      <c r="F10" s="33">
        <f>$C$30*('E Balans VL '!L14+'E Balans VL '!N14)/100/3.6*1000000</f>
        <v>1617.9433455965645</v>
      </c>
      <c r="G10" s="34"/>
      <c r="H10" s="33"/>
      <c r="I10" s="33"/>
      <c r="J10" s="33">
        <f>$C$30*('E Balans VL '!D14+'E Balans VL '!E14)/100/3.6*1000000</f>
        <v>0.13422492621776369</v>
      </c>
      <c r="K10" s="33"/>
      <c r="L10" s="33"/>
      <c r="M10" s="33"/>
      <c r="N10" s="33">
        <f>$C$30*'E Balans VL '!Y14/100/3.6*1000000</f>
        <v>5251.0873606867754</v>
      </c>
      <c r="O10" s="33"/>
      <c r="P10" s="33"/>
      <c r="R10" s="32"/>
    </row>
    <row r="11" spans="1:18">
      <c r="A11" s="32" t="s">
        <v>55</v>
      </c>
      <c r="B11" s="37">
        <f t="shared" si="0"/>
        <v>386.947974178474</v>
      </c>
      <c r="C11" s="33"/>
      <c r="D11" s="37">
        <f>IF(ISERROR(TER_onderwijs_gas_kWh/1000),0,TER_onderwijs_gas_kWh/1000)*0.902</f>
        <v>1494.46133265251</v>
      </c>
      <c r="E11" s="33">
        <f>$C$31*'E Balans VL '!I11/100/3.6*1000000</f>
        <v>5.8384216913771541</v>
      </c>
      <c r="F11" s="33">
        <f>$C$31*('E Balans VL '!L11+'E Balans VL '!N11)/100/3.6*1000000</f>
        <v>67.799466753858979</v>
      </c>
      <c r="G11" s="34"/>
      <c r="H11" s="33"/>
      <c r="I11" s="33"/>
      <c r="J11" s="33">
        <f>$C$31*('E Balans VL '!D11+'E Balans VL '!E11)/100/3.6*1000000</f>
        <v>0</v>
      </c>
      <c r="K11" s="33"/>
      <c r="L11" s="33"/>
      <c r="M11" s="33"/>
      <c r="N11" s="33">
        <f>$C$31*'E Balans VL '!Y11/100/3.6*1000000</f>
        <v>1.0889010162434736</v>
      </c>
      <c r="O11" s="33"/>
      <c r="P11" s="33"/>
      <c r="R11" s="32"/>
    </row>
    <row r="12" spans="1:18">
      <c r="A12" s="32" t="s">
        <v>260</v>
      </c>
      <c r="B12" s="37">
        <f t="shared" si="0"/>
        <v>3156.7107464739897</v>
      </c>
      <c r="C12" s="33"/>
      <c r="D12" s="37">
        <f>IF(ISERROR(TER_rest_gas_kWh/1000),0,TER_rest_gas_kWh/1000)*0.902</f>
        <v>4572.5661437495692</v>
      </c>
      <c r="E12" s="33">
        <f>$C$32*'E Balans VL '!I8/100/3.6*1000000</f>
        <v>39.199978375462976</v>
      </c>
      <c r="F12" s="33">
        <f>$C$32*('E Balans VL '!L8+'E Balans VL '!N8)/100/3.6*1000000</f>
        <v>545.87325023251481</v>
      </c>
      <c r="G12" s="34"/>
      <c r="H12" s="33"/>
      <c r="I12" s="33"/>
      <c r="J12" s="33">
        <f>$C$32*('E Balans VL '!D8+'E Balans VL '!E8)/100/3.6*1000000</f>
        <v>7.6440547369747598E-3</v>
      </c>
      <c r="K12" s="33"/>
      <c r="L12" s="33"/>
      <c r="M12" s="33"/>
      <c r="N12" s="33">
        <f>$C$32*'E Balans VL '!Y8/100/3.6*1000000</f>
        <v>305.66636797085272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42454.651464695962</v>
      </c>
      <c r="C16" s="21">
        <f t="shared" ca="1" si="1"/>
        <v>0</v>
      </c>
      <c r="D16" s="21">
        <f t="shared" ca="1" si="1"/>
        <v>61624.224499448886</v>
      </c>
      <c r="E16" s="21">
        <f t="shared" si="1"/>
        <v>625.74962480764816</v>
      </c>
      <c r="F16" s="21">
        <f t="shared" ca="1" si="1"/>
        <v>7275.6700652754043</v>
      </c>
      <c r="G16" s="21">
        <f t="shared" si="1"/>
        <v>0</v>
      </c>
      <c r="H16" s="21">
        <f t="shared" si="1"/>
        <v>0</v>
      </c>
      <c r="I16" s="21">
        <f t="shared" si="1"/>
        <v>0</v>
      </c>
      <c r="J16" s="21">
        <f t="shared" si="1"/>
        <v>0.14186898095473846</v>
      </c>
      <c r="K16" s="21">
        <f t="shared" si="1"/>
        <v>0</v>
      </c>
      <c r="L16" s="21">
        <f t="shared" ca="1" si="1"/>
        <v>0</v>
      </c>
      <c r="M16" s="21">
        <f t="shared" si="1"/>
        <v>0</v>
      </c>
      <c r="N16" s="21">
        <f t="shared" ca="1" si="1"/>
        <v>5628.0679928268137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0.21338780111055294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9059.304722966388</v>
      </c>
      <c r="C20" s="23">
        <f t="shared" ref="C20:P20" ca="1" si="2">C16*C18</f>
        <v>0</v>
      </c>
      <c r="D20" s="23">
        <f t="shared" ca="1" si="2"/>
        <v>12448.093348888677</v>
      </c>
      <c r="E20" s="23">
        <f t="shared" si="2"/>
        <v>142.04516483133614</v>
      </c>
      <c r="F20" s="23">
        <f t="shared" ca="1" si="2"/>
        <v>1942.6039074285331</v>
      </c>
      <c r="G20" s="23">
        <f t="shared" si="2"/>
        <v>0</v>
      </c>
      <c r="H20" s="23">
        <f t="shared" si="2"/>
        <v>0</v>
      </c>
      <c r="I20" s="23">
        <f t="shared" si="2"/>
        <v>0</v>
      </c>
      <c r="J20" s="23">
        <f t="shared" si="2"/>
        <v>5.0221619257977412E-2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5875.26740522608</v>
      </c>
      <c r="C26" s="39">
        <f>IF(ISERROR(B26*3.6/1000000/'E Balans VL '!Z12*100),0,B26*3.6/1000000/'E Balans VL '!Z12*100)</f>
        <v>0.12419384577112172</v>
      </c>
      <c r="D26" s="237" t="s">
        <v>754</v>
      </c>
      <c r="F26" s="6"/>
    </row>
    <row r="27" spans="1:18">
      <c r="A27" s="231" t="s">
        <v>53</v>
      </c>
      <c r="B27" s="33">
        <f>IF(ISERROR(TER_horeca_ele_kWh/1000),0,TER_horeca_ele_kWh/1000)</f>
        <v>13327.012250617599</v>
      </c>
      <c r="C27" s="39">
        <f>IF(ISERROR(B27*3.6/1000000/'E Balans VL '!Z9*100),0,B27*3.6/1000000/'E Balans VL '!Z9*100)</f>
        <v>1.0505634084851334</v>
      </c>
      <c r="D27" s="237" t="s">
        <v>754</v>
      </c>
      <c r="F27" s="6"/>
    </row>
    <row r="28" spans="1:18">
      <c r="A28" s="171" t="s">
        <v>52</v>
      </c>
      <c r="B28" s="33">
        <f>IF(ISERROR(TER_handel_ele_kWh/1000),0,TER_handel_ele_kWh/1000)</f>
        <v>10539.7682762851</v>
      </c>
      <c r="C28" s="39">
        <f>IF(ISERROR(B28*3.6/1000000/'E Balans VL '!Z13*100),0,B28*3.6/1000000/'E Balans VL '!Z13*100)</f>
        <v>0.30590666081358781</v>
      </c>
      <c r="D28" s="237" t="s">
        <v>754</v>
      </c>
      <c r="F28" s="6"/>
    </row>
    <row r="29" spans="1:18">
      <c r="A29" s="231" t="s">
        <v>51</v>
      </c>
      <c r="B29" s="33">
        <f>IF(ISERROR(TER_gezond_ele_kWh/1000),0,TER_gezond_ele_kWh/1000)</f>
        <v>2985.1969611530803</v>
      </c>
      <c r="C29" s="39">
        <f>IF(ISERROR(B29*3.6/1000000/'E Balans VL '!Z10*100),0,B29*3.6/1000000/'E Balans VL '!Z10*100)</f>
        <v>0.31439025823741323</v>
      </c>
      <c r="D29" s="237" t="s">
        <v>754</v>
      </c>
      <c r="F29" s="6"/>
    </row>
    <row r="30" spans="1:18">
      <c r="A30" s="231" t="s">
        <v>50</v>
      </c>
      <c r="B30" s="33">
        <f>IF(ISERROR(TER_ander_ele_kWh/1000),0,TER_ander_ele_kWh/1000)</f>
        <v>6183.7478507616397</v>
      </c>
      <c r="C30" s="39">
        <f>IF(ISERROR(B30*3.6/1000000/'E Balans VL '!Z14*100),0,B30*3.6/1000000/'E Balans VL '!Z14*100)</f>
        <v>0.45611458457553067</v>
      </c>
      <c r="D30" s="237" t="s">
        <v>754</v>
      </c>
      <c r="F30" s="6"/>
    </row>
    <row r="31" spans="1:18">
      <c r="A31" s="231" t="s">
        <v>55</v>
      </c>
      <c r="B31" s="33">
        <f>IF(ISERROR(TER_onderwijs_ele_kWh/1000),0,TER_onderwijs_ele_kWh/1000)</f>
        <v>386.947974178474</v>
      </c>
      <c r="C31" s="39">
        <f>IF(ISERROR(B31*3.6/1000000/'E Balans VL '!Z11*100),0,B31*3.6/1000000/'E Balans VL '!Z11*100)</f>
        <v>9.6097307699086046E-2</v>
      </c>
      <c r="D31" s="237" t="s">
        <v>754</v>
      </c>
    </row>
    <row r="32" spans="1:18">
      <c r="A32" s="231" t="s">
        <v>260</v>
      </c>
      <c r="B32" s="33">
        <f>IF(ISERROR(TER_rest_ele_kWh/1000),0,TER_rest_ele_kWh/1000)</f>
        <v>3156.7107464739897</v>
      </c>
      <c r="C32" s="39">
        <f>IF(ISERROR(B32*3.6/1000000/'E Balans VL '!Z8*100),0,B32*3.6/1000000/'E Balans VL '!Z8*100)</f>
        <v>2.597553933590048E-2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1775.4865538452229</v>
      </c>
      <c r="C5" s="17">
        <f>IF(ISERROR('Eigen informatie GS &amp; warmtenet'!B59),0,'Eigen informatie GS &amp; warmtenet'!B59)</f>
        <v>0</v>
      </c>
      <c r="D5" s="30">
        <f>SUM(D6:D15)</f>
        <v>2055.2736306317256</v>
      </c>
      <c r="E5" s="17">
        <f>SUM(E6:E15)</f>
        <v>279.07348992910477</v>
      </c>
      <c r="F5" s="17">
        <f>SUM(F6:F15)</f>
        <v>816.19265262292447</v>
      </c>
      <c r="G5" s="18"/>
      <c r="H5" s="17"/>
      <c r="I5" s="17"/>
      <c r="J5" s="17">
        <f>SUM(J6:J15)</f>
        <v>0.50710296088071305</v>
      </c>
      <c r="K5" s="17"/>
      <c r="L5" s="17"/>
      <c r="M5" s="17"/>
      <c r="N5" s="17">
        <f>SUM(N6:N15)</f>
        <v>488.17707546495512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190.08712443354</v>
      </c>
      <c r="C8" s="33"/>
      <c r="D8" s="37">
        <f>IF( ISERROR(IND_metaal_Gas_kWH/1000),0,IND_metaal_Gas_kWH/1000)*0.902</f>
        <v>0</v>
      </c>
      <c r="E8" s="33">
        <f>C30*'E Balans VL '!I18/100/3.6*1000000</f>
        <v>1.7476675212756962</v>
      </c>
      <c r="F8" s="33">
        <f>C30*'E Balans VL '!L18/100/3.6*1000000+C30*'E Balans VL '!N18/100/3.6*1000000</f>
        <v>17.823843630879605</v>
      </c>
      <c r="G8" s="34"/>
      <c r="H8" s="33"/>
      <c r="I8" s="33"/>
      <c r="J8" s="40">
        <f>C30*'E Balans VL '!D18/100/3.6*1000000+C30*'E Balans VL '!E18/100/3.6*1000000</f>
        <v>0</v>
      </c>
      <c r="K8" s="33"/>
      <c r="L8" s="33"/>
      <c r="M8" s="33"/>
      <c r="N8" s="33">
        <f>C30*'E Balans VL '!Y18/100/3.6*1000000</f>
        <v>2.7119069622460108</v>
      </c>
      <c r="O8" s="33"/>
      <c r="P8" s="33"/>
      <c r="R8" s="32"/>
    </row>
    <row r="9" spans="1:18">
      <c r="A9" s="6" t="s">
        <v>33</v>
      </c>
      <c r="B9" s="37">
        <f t="shared" si="0"/>
        <v>918.53293658418193</v>
      </c>
      <c r="C9" s="33"/>
      <c r="D9" s="37">
        <f>IF( ISERROR(IND_andere_gas_kWh/1000),0,IND_andere_gas_kWh/1000)*0.902</f>
        <v>991.24977283492171</v>
      </c>
      <c r="E9" s="33">
        <f>C31*'E Balans VL '!I19/100/3.6*1000000</f>
        <v>268.5050590906942</v>
      </c>
      <c r="F9" s="33">
        <f>C31*'E Balans VL '!L19/100/3.6*1000000+C31*'E Balans VL '!N19/100/3.6*1000000</f>
        <v>738.11074110017807</v>
      </c>
      <c r="G9" s="34"/>
      <c r="H9" s="33"/>
      <c r="I9" s="33"/>
      <c r="J9" s="40">
        <f>C31*'E Balans VL '!D19/100/3.6*1000000+C31*'E Balans VL '!E19/100/3.6*1000000</f>
        <v>0</v>
      </c>
      <c r="K9" s="33"/>
      <c r="L9" s="33"/>
      <c r="M9" s="33"/>
      <c r="N9" s="33">
        <f>C31*'E Balans VL '!Y19/100/3.6*1000000</f>
        <v>303.49752768325794</v>
      </c>
      <c r="O9" s="33"/>
      <c r="P9" s="33"/>
      <c r="R9" s="32"/>
    </row>
    <row r="10" spans="1:18">
      <c r="A10" s="6" t="s">
        <v>41</v>
      </c>
      <c r="B10" s="37">
        <f t="shared" si="0"/>
        <v>481.92375189799503</v>
      </c>
      <c r="C10" s="33"/>
      <c r="D10" s="37">
        <f>IF( ISERROR(IND_voed_gas_kWh/1000),0,IND_voed_gas_kWh/1000)*0.902</f>
        <v>419.50399678546665</v>
      </c>
      <c r="E10" s="33">
        <f>C32*'E Balans VL '!I20/100/3.6*1000000</f>
        <v>1.0195171694564829</v>
      </c>
      <c r="F10" s="33">
        <f>C32*'E Balans VL '!L20/100/3.6*1000000+C32*'E Balans VL '!N20/100/3.6*1000000</f>
        <v>30.641204416351474</v>
      </c>
      <c r="G10" s="34"/>
      <c r="H10" s="33"/>
      <c r="I10" s="33"/>
      <c r="J10" s="40">
        <f>C32*'E Balans VL '!D20/100/3.6*1000000+C32*'E Balans VL '!E20/100/3.6*1000000</f>
        <v>0</v>
      </c>
      <c r="K10" s="33"/>
      <c r="L10" s="33"/>
      <c r="M10" s="33"/>
      <c r="N10" s="33">
        <f>C32*'E Balans VL '!Y20/100/3.6*1000000</f>
        <v>33.257494620749902</v>
      </c>
      <c r="O10" s="33"/>
      <c r="P10" s="33"/>
      <c r="R10" s="32"/>
    </row>
    <row r="11" spans="1:18">
      <c r="A11" s="6" t="s">
        <v>40</v>
      </c>
      <c r="B11" s="37">
        <f t="shared" si="0"/>
        <v>3.6354648959814999</v>
      </c>
      <c r="C11" s="33"/>
      <c r="D11" s="37">
        <f>IF( ISERROR(IND_textiel_gas_kWh/1000),0,IND_textiel_gas_kWh/1000)*0.902</f>
        <v>0</v>
      </c>
      <c r="E11" s="33">
        <f>C33*'E Balans VL '!I21/100/3.6*1000000</f>
        <v>1.0797017303735022E-2</v>
      </c>
      <c r="F11" s="33">
        <f>C33*'E Balans VL '!L21/100/3.6*1000000+C33*'E Balans VL '!N21/100/3.6*1000000</f>
        <v>0.36728176297132797</v>
      </c>
      <c r="G11" s="34"/>
      <c r="H11" s="33"/>
      <c r="I11" s="33"/>
      <c r="J11" s="40">
        <f>C33*'E Balans VL '!D21/100/3.6*1000000+C33*'E Balans VL '!E21/100/3.6*1000000</f>
        <v>0</v>
      </c>
      <c r="K11" s="33"/>
      <c r="L11" s="33"/>
      <c r="M11" s="33"/>
      <c r="N11" s="33">
        <f>C33*'E Balans VL '!Y21/100/3.6*1000000</f>
        <v>0.20050749106973087</v>
      </c>
      <c r="O11" s="33"/>
      <c r="P11" s="33"/>
      <c r="R11" s="32"/>
    </row>
    <row r="12" spans="1:18">
      <c r="A12" s="6" t="s">
        <v>37</v>
      </c>
      <c r="B12" s="37">
        <f t="shared" si="0"/>
        <v>2.1965201295827002</v>
      </c>
      <c r="C12" s="33"/>
      <c r="D12" s="37">
        <f>IF( ISERROR(IND_min_gas_kWh/1000),0,IND_min_gas_kWh/1000)*0.902</f>
        <v>9.8159597093798912</v>
      </c>
      <c r="E12" s="33">
        <f>C34*'E Balans VL '!I22/100/3.6*1000000</f>
        <v>6.3668074024451807E-2</v>
      </c>
      <c r="F12" s="33">
        <f>C34*'E Balans VL '!L22/100/3.6*1000000+C34*'E Balans VL '!N22/100/3.6*1000000</f>
        <v>0.75518844178118971</v>
      </c>
      <c r="G12" s="34"/>
      <c r="H12" s="33"/>
      <c r="I12" s="33"/>
      <c r="J12" s="40">
        <f>C34*'E Balans VL '!D22/100/3.6*1000000+C34*'E Balans VL '!E22/100/3.6*1000000</f>
        <v>3.6095444843721467E-3</v>
      </c>
      <c r="K12" s="33"/>
      <c r="L12" s="33"/>
      <c r="M12" s="33"/>
      <c r="N12" s="33">
        <f>C34*'E Balans VL '!Y22/100/3.6*1000000</f>
        <v>0.48085435242075497</v>
      </c>
      <c r="O12" s="33"/>
      <c r="P12" s="33"/>
      <c r="R12" s="32"/>
    </row>
    <row r="13" spans="1:18">
      <c r="A13" s="6" t="s">
        <v>39</v>
      </c>
      <c r="B13" s="37">
        <f t="shared" si="0"/>
        <v>40.206351428481398</v>
      </c>
      <c r="C13" s="33"/>
      <c r="D13" s="37">
        <f>IF( ISERROR(IND_papier_gas_kWh/1000),0,IND_papier_gas_kWh/1000)*0.902</f>
        <v>0</v>
      </c>
      <c r="E13" s="33">
        <f>C35*'E Balans VL '!I23/100/3.6*1000000</f>
        <v>5.704361755582496E-2</v>
      </c>
      <c r="F13" s="33">
        <f>C35*'E Balans VL '!L23/100/3.6*1000000+C35*'E Balans VL '!N23/100/3.6*1000000</f>
        <v>0.98158822399820633</v>
      </c>
      <c r="G13" s="34"/>
      <c r="H13" s="33"/>
      <c r="I13" s="33"/>
      <c r="J13" s="40">
        <f>C35*'E Balans VL '!D23/100/3.6*1000000+C35*'E Balans VL '!E23/100/3.6*1000000</f>
        <v>6.2182897286445432E-3</v>
      </c>
      <c r="K13" s="33"/>
      <c r="L13" s="33"/>
      <c r="M13" s="33"/>
      <c r="N13" s="33">
        <f>C35*'E Balans VL '!Y23/100/3.6*1000000</f>
        <v>116.87034610548821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138.90440447546001</v>
      </c>
      <c r="C15" s="33"/>
      <c r="D15" s="37">
        <f>IF( ISERROR(IND_rest_gas_kWh/1000),0,IND_rest_gas_kWh/1000)*0.902</f>
        <v>634.70390130195733</v>
      </c>
      <c r="E15" s="33">
        <f>C37*'E Balans VL '!I15/100/3.6*1000000</f>
        <v>7.6697374387943764</v>
      </c>
      <c r="F15" s="33">
        <f>C37*'E Balans VL '!L15/100/3.6*1000000+C37*'E Balans VL '!N15/100/3.6*1000000</f>
        <v>27.51280504676463</v>
      </c>
      <c r="G15" s="34"/>
      <c r="H15" s="33"/>
      <c r="I15" s="33"/>
      <c r="J15" s="40">
        <f>C37*'E Balans VL '!D15/100/3.6*1000000+C37*'E Balans VL '!E15/100/3.6*1000000</f>
        <v>0.49727512666769635</v>
      </c>
      <c r="K15" s="33"/>
      <c r="L15" s="33"/>
      <c r="M15" s="33"/>
      <c r="N15" s="33">
        <f>C37*'E Balans VL '!Y15/100/3.6*1000000</f>
        <v>31.15843824972249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1775.4865538452229</v>
      </c>
      <c r="C18" s="21">
        <f>C5+C16</f>
        <v>0</v>
      </c>
      <c r="D18" s="21">
        <f>MAX((D5+D16),0)</f>
        <v>2055.2736306317256</v>
      </c>
      <c r="E18" s="21">
        <f>MAX((E5+E16),0)</f>
        <v>279.07348992910477</v>
      </c>
      <c r="F18" s="21">
        <f>MAX((F5+F16),0)</f>
        <v>816.19265262292447</v>
      </c>
      <c r="G18" s="21"/>
      <c r="H18" s="21"/>
      <c r="I18" s="21"/>
      <c r="J18" s="21">
        <f>MAX((J5+J16),0)</f>
        <v>0.50710296088071305</v>
      </c>
      <c r="K18" s="21"/>
      <c r="L18" s="21">
        <f>MAX((L5+L16),0)</f>
        <v>0</v>
      </c>
      <c r="M18" s="21"/>
      <c r="N18" s="21">
        <f>MAX((N5+N16),0)</f>
        <v>488.17707546495512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0.21338780111055294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378.86717162638547</v>
      </c>
      <c r="C22" s="23">
        <f ca="1">C18*C20</f>
        <v>0</v>
      </c>
      <c r="D22" s="23">
        <f>D18*D20</f>
        <v>415.16527338760858</v>
      </c>
      <c r="E22" s="23">
        <f>E18*E20</f>
        <v>63.349682213906782</v>
      </c>
      <c r="F22" s="23">
        <f>F18*F20</f>
        <v>217.92343825032086</v>
      </c>
      <c r="G22" s="23"/>
      <c r="H22" s="23"/>
      <c r="I22" s="23"/>
      <c r="J22" s="23">
        <f>J18*J20</f>
        <v>0.17951444815177242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190.08712443354</v>
      </c>
      <c r="C30" s="39">
        <f>IF(ISERROR(B30*3.6/1000000/'E Balans VL '!Z18*100),0,B30*3.6/1000000/'E Balans VL '!Z18*100)</f>
        <v>1.0772724756915077E-2</v>
      </c>
      <c r="D30" s="237" t="s">
        <v>754</v>
      </c>
    </row>
    <row r="31" spans="1:18">
      <c r="A31" s="6" t="s">
        <v>33</v>
      </c>
      <c r="B31" s="37">
        <f>IF( ISERROR(IND_ander_ele_kWh/1000),0,IND_ander_ele_kWh/1000)</f>
        <v>918.53293658418193</v>
      </c>
      <c r="C31" s="39">
        <f>IF(ISERROR(B31*3.6/1000000/'E Balans VL '!Z19*100),0,B31*3.6/1000000/'E Balans VL '!Z19*100)</f>
        <v>4.1660829298878377E-2</v>
      </c>
      <c r="D31" s="237" t="s">
        <v>754</v>
      </c>
    </row>
    <row r="32" spans="1:18">
      <c r="A32" s="171" t="s">
        <v>41</v>
      </c>
      <c r="B32" s="37">
        <f>IF( ISERROR(IND_voed_ele_kWh/1000),0,IND_voed_ele_kWh/1000)</f>
        <v>481.92375189799503</v>
      </c>
      <c r="C32" s="39">
        <f>IF(ISERROR(B32*3.6/1000000/'E Balans VL '!Z20*100),0,B32*3.6/1000000/'E Balans VL '!Z20*100)</f>
        <v>1.4908089395314928E-2</v>
      </c>
      <c r="D32" s="237" t="s">
        <v>754</v>
      </c>
    </row>
    <row r="33" spans="1:5">
      <c r="A33" s="171" t="s">
        <v>40</v>
      </c>
      <c r="B33" s="37">
        <f>IF( ISERROR(IND_textiel_ele_kWh/1000),0,IND_textiel_ele_kWh/1000)</f>
        <v>3.6354648959814999</v>
      </c>
      <c r="C33" s="39">
        <f>IF(ISERROR(B33*3.6/1000000/'E Balans VL '!Z21*100),0,B33*3.6/1000000/'E Balans VL '!Z21*100)</f>
        <v>4.740242121859733E-4</v>
      </c>
      <c r="D33" s="237" t="s">
        <v>754</v>
      </c>
    </row>
    <row r="34" spans="1:5">
      <c r="A34" s="171" t="s">
        <v>37</v>
      </c>
      <c r="B34" s="37">
        <f>IF( ISERROR(IND_min_ele_kWh/1000),0,IND_min_ele_kWh/1000)</f>
        <v>2.1965201295827002</v>
      </c>
      <c r="C34" s="39">
        <f>IF(ISERROR(B34*3.6/1000000/'E Balans VL '!Z22*100),0,B34*3.6/1000000/'E Balans VL '!Z22*100)</f>
        <v>3.9508544067314635E-4</v>
      </c>
      <c r="D34" s="237" t="s">
        <v>754</v>
      </c>
    </row>
    <row r="35" spans="1:5">
      <c r="A35" s="171" t="s">
        <v>39</v>
      </c>
      <c r="B35" s="37">
        <f>IF( ISERROR(IND_papier_ele_kWh/1000),0,IND_papier_ele_kWh/1000)</f>
        <v>40.206351428481398</v>
      </c>
      <c r="C35" s="39">
        <f>IF(ISERROR(B35*3.6/1000000/'E Balans VL '!Z22*100),0,B35*3.6/1000000/'E Balans VL '!Z22*100)</f>
        <v>7.2318681982663285E-3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138.90440447546001</v>
      </c>
      <c r="C37" s="39">
        <f>IF(ISERROR(B37*3.6/1000000/'E Balans VL '!Z15*100),0,B37*3.6/1000000/'E Balans VL '!Z15*100)</f>
        <v>1.1009879963007258E-3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362.5248020904869</v>
      </c>
      <c r="C5" s="17">
        <f>'Eigen informatie GS &amp; warmtenet'!B60</f>
        <v>0</v>
      </c>
      <c r="D5" s="30">
        <f>IF(ISERROR(SUM(LB_lb_gas_kWh,LB_rest_gas_kWh,onbekend_gas_kWh)/1000),0,SUM(LB_lb_gas_kWh,LB_rest_gas_kWh,onbekend_gas_kWh)/1000)*0.902</f>
        <v>8801.6935641862528</v>
      </c>
      <c r="E5" s="17">
        <f>B17*'E Balans VL '!I25/3.6*1000000/100</f>
        <v>10.655711211988743</v>
      </c>
      <c r="F5" s="17">
        <f>B17*('E Balans VL '!L25/3.6*1000000+'E Balans VL '!N25/3.6*1000000)/100</f>
        <v>1510.2587356968872</v>
      </c>
      <c r="G5" s="18"/>
      <c r="H5" s="17"/>
      <c r="I5" s="17"/>
      <c r="J5" s="17">
        <f>('E Balans VL '!D25+'E Balans VL '!E25)/3.6*1000000*landbouw!B17/100</f>
        <v>52.522058513669108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362.5248020904869</v>
      </c>
      <c r="C8" s="21">
        <f>C5+C6</f>
        <v>0</v>
      </c>
      <c r="D8" s="21">
        <f>MAX((D5+D6),0)</f>
        <v>8801.6935641862528</v>
      </c>
      <c r="E8" s="21">
        <f>MAX((E5+E6),0)</f>
        <v>10.655711211988743</v>
      </c>
      <c r="F8" s="21">
        <f>MAX((F5+F6),0)</f>
        <v>1510.2587356968872</v>
      </c>
      <c r="G8" s="21"/>
      <c r="H8" s="21"/>
      <c r="I8" s="21"/>
      <c r="J8" s="21">
        <f>MAX((J5+J6),0)</f>
        <v>52.522058513669108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0.21338780111055294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77.358370366127389</v>
      </c>
      <c r="C12" s="23">
        <f ca="1">C8*C10</f>
        <v>0</v>
      </c>
      <c r="D12" s="23">
        <f>D8*D10</f>
        <v>1777.9420999656231</v>
      </c>
      <c r="E12" s="23">
        <f>E8*E10</f>
        <v>2.4188464451214449</v>
      </c>
      <c r="F12" s="23">
        <f>F8*F10</f>
        <v>403.23908243106894</v>
      </c>
      <c r="G12" s="23"/>
      <c r="H12" s="23"/>
      <c r="I12" s="23"/>
      <c r="J12" s="23">
        <f>J8*J10</f>
        <v>18.592808713838863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5.1443406803519894E-2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66.607984287947161</v>
      </c>
      <c r="C26" s="247">
        <f>B26*'GWP N2O_CH4'!B5</f>
        <v>1398.7676700468903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37.10095610563274</v>
      </c>
      <c r="C27" s="247">
        <f>B27*'GWP N2O_CH4'!B5</f>
        <v>779.12007821828752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0.95304937805103207</v>
      </c>
      <c r="C28" s="247">
        <f>B28*'GWP N2O_CH4'!B4</f>
        <v>295.44530719581996</v>
      </c>
      <c r="D28" s="50"/>
    </row>
    <row r="29" spans="1:4">
      <c r="A29" s="41" t="s">
        <v>277</v>
      </c>
      <c r="B29" s="247">
        <f>B34*'ha_N2O bodem landbouw'!B4</f>
        <v>6.7350648593603788</v>
      </c>
      <c r="C29" s="247">
        <f>B29*'GWP N2O_CH4'!B4</f>
        <v>2087.8701064017173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1.536918590839985E-3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4.9545745337144367E-5</v>
      </c>
      <c r="C5" s="463" t="s">
        <v>211</v>
      </c>
      <c r="D5" s="448">
        <f>SUM(D6:D11)</f>
        <v>1.6223782647926502E-4</v>
      </c>
      <c r="E5" s="448">
        <f>SUM(E6:E11)</f>
        <v>2.1849622903395913E-4</v>
      </c>
      <c r="F5" s="461" t="s">
        <v>211</v>
      </c>
      <c r="G5" s="448">
        <f>SUM(G6:G11)</f>
        <v>8.8197726877061663E-2</v>
      </c>
      <c r="H5" s="448">
        <f>SUM(H6:H11)</f>
        <v>1.8359259904260003E-2</v>
      </c>
      <c r="I5" s="463" t="s">
        <v>211</v>
      </c>
      <c r="J5" s="463" t="s">
        <v>211</v>
      </c>
      <c r="K5" s="463" t="s">
        <v>211</v>
      </c>
      <c r="L5" s="463" t="s">
        <v>211</v>
      </c>
      <c r="M5" s="448">
        <f>SUM(M6:M11)</f>
        <v>5.697907694317759E-3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4.370536881186814E-5</v>
      </c>
      <c r="C6" s="449"/>
      <c r="D6" s="962">
        <f>vkm_2011_GW_PW*SUMIFS(TableVerdeelsleutelVkm[CNG],TableVerdeelsleutelVkm[Voertuigtype],"Lichte voertuigen")*SUMIFS(TableECFTransport[EnergieConsumptieFactor (PJ per km)],TableECFTransport[Index],CONCATENATE($A6,"_CNG_CNG"))</f>
        <v>1.3109102183562639E-4</v>
      </c>
      <c r="E6" s="962">
        <f>vkm_2011_GW_PW*SUMIFS(TableVerdeelsleutelVkm[LPG],TableVerdeelsleutelVkm[Voertuigtype],"Lichte voertuigen")*SUMIFS(TableECFTransport[EnergieConsumptieFactor (PJ per km)],TableECFTransport[Index],CONCATENATE($A6,"_LPG_LPG"))</f>
        <v>1.7908916612475282E-4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4.6304248784887078E-2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1.4907487460522038E-2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3.1477559522791179E-3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2.5661262339213134E-2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7.8196633737694183E-6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1.4995589628664023E-3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5.8403765252762288E-6</v>
      </c>
      <c r="C8" s="449"/>
      <c r="D8" s="451">
        <f>vkm_2011_NGW_PW*SUMIFS(TableVerdeelsleutelVkm[CNG],TableVerdeelsleutelVkm[Voertuigtype],"Lichte voertuigen")*SUMIFS(TableECFTransport[EnergieConsumptieFactor (PJ per km)],TableECFTransport[Index],CONCATENATE($A8,"_CNG_CNG"))</f>
        <v>3.1146804643638635E-5</v>
      </c>
      <c r="E8" s="451">
        <f>vkm_2011_NGW_PW*SUMIFS(TableVerdeelsleutelVkm[LPG],TableVerdeelsleutelVkm[Voertuigtype],"Lichte voertuigen")*SUMIFS(TableECFTransport[EnergieConsumptieFactor (PJ per km)],TableECFTransport[Index],CONCATENATE($A8,"_LPG_LPG"))</f>
        <v>3.9407062909206304E-5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9.494939470012528E-3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3.4420200340656007E-3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6.5689229304171759E-4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6.7372762829489294E-3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1.932746298594256E-6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3.9370048613052123E-4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13.762707038095659</v>
      </c>
      <c r="C14" s="21"/>
      <c r="D14" s="21">
        <f t="shared" ref="D14:M14" si="0">((D5)*10^9/3600)+D12</f>
        <v>45.06606291090695</v>
      </c>
      <c r="E14" s="21">
        <f t="shared" si="0"/>
        <v>60.693396953877539</v>
      </c>
      <c r="F14" s="21"/>
      <c r="G14" s="21">
        <f t="shared" si="0"/>
        <v>24499.368576961573</v>
      </c>
      <c r="H14" s="21">
        <f t="shared" si="0"/>
        <v>5099.7944178500002</v>
      </c>
      <c r="I14" s="21"/>
      <c r="J14" s="21"/>
      <c r="K14" s="21"/>
      <c r="L14" s="21"/>
      <c r="M14" s="21">
        <f t="shared" si="0"/>
        <v>1582.7521373104887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0.21338780111055294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2.9367937921879634</v>
      </c>
      <c r="C18" s="23"/>
      <c r="D18" s="23">
        <f t="shared" ref="D18:M18" si="1">D14*D16</f>
        <v>9.1033447080032044</v>
      </c>
      <c r="E18" s="23">
        <f t="shared" si="1"/>
        <v>13.777401108530201</v>
      </c>
      <c r="F18" s="23"/>
      <c r="G18" s="23">
        <f t="shared" si="1"/>
        <v>6541.3314100487405</v>
      </c>
      <c r="H18" s="23">
        <f t="shared" si="1"/>
        <v>1269.84881004465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2.9508289509896698E-3</v>
      </c>
      <c r="C50" s="321">
        <f t="shared" ref="C50:P50" si="2">SUM(C51:C52)</f>
        <v>0</v>
      </c>
      <c r="D50" s="321">
        <f t="shared" si="2"/>
        <v>0</v>
      </c>
      <c r="E50" s="321">
        <f t="shared" si="2"/>
        <v>0</v>
      </c>
      <c r="F50" s="321">
        <f t="shared" si="2"/>
        <v>0</v>
      </c>
      <c r="G50" s="321">
        <f t="shared" si="2"/>
        <v>1.1790013578393984E-3</v>
      </c>
      <c r="H50" s="321">
        <f t="shared" si="2"/>
        <v>0</v>
      </c>
      <c r="I50" s="321">
        <f t="shared" si="2"/>
        <v>0</v>
      </c>
      <c r="J50" s="321">
        <f t="shared" si="2"/>
        <v>0</v>
      </c>
      <c r="K50" s="321">
        <f t="shared" si="2"/>
        <v>0</v>
      </c>
      <c r="L50" s="321">
        <f t="shared" si="2"/>
        <v>0</v>
      </c>
      <c r="M50" s="321">
        <f t="shared" si="2"/>
        <v>6.696207233372614E-5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1.1790013578393984E-3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6.696207233372614E-5</v>
      </c>
      <c r="N51" s="323"/>
      <c r="O51" s="323"/>
      <c r="P51" s="326"/>
    </row>
    <row r="52" spans="1:18">
      <c r="A52" s="4" t="s">
        <v>330</v>
      </c>
      <c r="B52" s="963">
        <f>vkm_2011_tram*SUMIFS(TableECFTransport[EnergieConsumptieFactor (PJ per km)],TableECFTransport[Index],"Tram_gemiddeld_Electric_Electric")</f>
        <v>2.9508289509896698E-3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819.67470860824153</v>
      </c>
      <c r="C54" s="21">
        <f t="shared" ref="C54:P54" si="3">(C50)*10^9/3600</f>
        <v>0</v>
      </c>
      <c r="D54" s="21">
        <f t="shared" si="3"/>
        <v>0</v>
      </c>
      <c r="E54" s="21">
        <f t="shared" si="3"/>
        <v>0</v>
      </c>
      <c r="F54" s="21">
        <f t="shared" si="3"/>
        <v>0</v>
      </c>
      <c r="G54" s="21">
        <f t="shared" si="3"/>
        <v>327.50037717761063</v>
      </c>
      <c r="H54" s="21">
        <f t="shared" si="3"/>
        <v>0</v>
      </c>
      <c r="I54" s="21">
        <f t="shared" si="3"/>
        <v>0</v>
      </c>
      <c r="J54" s="21">
        <f t="shared" si="3"/>
        <v>0</v>
      </c>
      <c r="K54" s="21">
        <f t="shared" si="3"/>
        <v>0</v>
      </c>
      <c r="L54" s="21">
        <f t="shared" si="3"/>
        <v>0</v>
      </c>
      <c r="M54" s="21">
        <f t="shared" si="3"/>
        <v>18.600575648257262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0.21338780111055294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174.90858369584589</v>
      </c>
      <c r="C58" s="23">
        <f t="shared" ref="C58:P58" ca="1" si="4">C54*C56</f>
        <v>0</v>
      </c>
      <c r="D58" s="23">
        <f t="shared" si="4"/>
        <v>0</v>
      </c>
      <c r="E58" s="23">
        <f t="shared" si="4"/>
        <v>0</v>
      </c>
      <c r="F58" s="23">
        <f t="shared" si="4"/>
        <v>0</v>
      </c>
      <c r="G58" s="23">
        <f t="shared" si="4"/>
        <v>87.442600706422041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2856.9337877326934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2856.9337877326934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44237.86626639522</v>
      </c>
      <c r="D10" s="718">
        <f ca="1">tertiair!C16</f>
        <v>0</v>
      </c>
      <c r="E10" s="718">
        <f ca="1">tertiair!D16</f>
        <v>61624.224499448886</v>
      </c>
      <c r="F10" s="718">
        <f>tertiair!E16</f>
        <v>625.74962480764816</v>
      </c>
      <c r="G10" s="718">
        <f ca="1">tertiair!F16</f>
        <v>7275.6700652754043</v>
      </c>
      <c r="H10" s="718">
        <f>tertiair!G16</f>
        <v>0</v>
      </c>
      <c r="I10" s="718">
        <f>tertiair!H16</f>
        <v>0</v>
      </c>
      <c r="J10" s="718">
        <f>tertiair!I16</f>
        <v>0</v>
      </c>
      <c r="K10" s="718">
        <f>tertiair!J16</f>
        <v>0.14186898095473846</v>
      </c>
      <c r="L10" s="718">
        <f>tertiair!K16</f>
        <v>0</v>
      </c>
      <c r="M10" s="718">
        <f ca="1">tertiair!L16</f>
        <v>0</v>
      </c>
      <c r="N10" s="718">
        <f>tertiair!M16</f>
        <v>0</v>
      </c>
      <c r="O10" s="718">
        <f ca="1">tertiair!N16</f>
        <v>5628.0679928268137</v>
      </c>
      <c r="P10" s="718">
        <f>tertiair!O16</f>
        <v>3.1266666666666669</v>
      </c>
      <c r="Q10" s="719">
        <f>tertiair!P16</f>
        <v>38.133333333333333</v>
      </c>
      <c r="R10" s="721">
        <f ca="1">SUM(C10:Q10)</f>
        <v>119432.98031773491</v>
      </c>
      <c r="S10" s="67"/>
    </row>
    <row r="11" spans="1:19" s="474" customFormat="1">
      <c r="A11" s="870" t="s">
        <v>225</v>
      </c>
      <c r="B11" s="875"/>
      <c r="C11" s="718">
        <f>huishoudens!B8</f>
        <v>35734.178196838679</v>
      </c>
      <c r="D11" s="718">
        <f>huishoudens!C8</f>
        <v>0</v>
      </c>
      <c r="E11" s="718">
        <f>huishoudens!D8</f>
        <v>97309.904844516408</v>
      </c>
      <c r="F11" s="718">
        <f>huishoudens!E8</f>
        <v>209.08766460493902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867.46362994439801</v>
      </c>
      <c r="P11" s="718">
        <f>huishoudens!O8</f>
        <v>218.86666666666667</v>
      </c>
      <c r="Q11" s="719">
        <f>huishoudens!P8</f>
        <v>190.66666666666669</v>
      </c>
      <c r="R11" s="721">
        <f>SUM(C11:Q11)</f>
        <v>134530.16766923774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1775.4865538452229</v>
      </c>
      <c r="D13" s="718">
        <f>industrie!C18</f>
        <v>0</v>
      </c>
      <c r="E13" s="718">
        <f>industrie!D18</f>
        <v>2055.2736306317256</v>
      </c>
      <c r="F13" s="718">
        <f>industrie!E18</f>
        <v>279.07348992910477</v>
      </c>
      <c r="G13" s="718">
        <f>industrie!F18</f>
        <v>816.19265262292447</v>
      </c>
      <c r="H13" s="718">
        <f>industrie!G18</f>
        <v>0</v>
      </c>
      <c r="I13" s="718">
        <f>industrie!H18</f>
        <v>0</v>
      </c>
      <c r="J13" s="718">
        <f>industrie!I18</f>
        <v>0</v>
      </c>
      <c r="K13" s="718">
        <f>industrie!J18</f>
        <v>0.50710296088071305</v>
      </c>
      <c r="L13" s="718">
        <f>industrie!K18</f>
        <v>0</v>
      </c>
      <c r="M13" s="718">
        <f>industrie!L18</f>
        <v>0</v>
      </c>
      <c r="N13" s="718">
        <f>industrie!M18</f>
        <v>0</v>
      </c>
      <c r="O13" s="718">
        <f>industrie!N18</f>
        <v>488.17707546495512</v>
      </c>
      <c r="P13" s="718">
        <f>industrie!O18</f>
        <v>0</v>
      </c>
      <c r="Q13" s="719">
        <f>industrie!P18</f>
        <v>0</v>
      </c>
      <c r="R13" s="721">
        <f>SUM(C13:Q13)</f>
        <v>5414.7105054548138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81747.531017079134</v>
      </c>
      <c r="D15" s="723">
        <f t="shared" ref="D15:Q15" ca="1" si="0">SUM(D9:D14)</f>
        <v>0</v>
      </c>
      <c r="E15" s="723">
        <f t="shared" ca="1" si="0"/>
        <v>160989.40297459703</v>
      </c>
      <c r="F15" s="723">
        <f t="shared" si="0"/>
        <v>1113.910779341692</v>
      </c>
      <c r="G15" s="723">
        <f t="shared" ca="1" si="0"/>
        <v>8091.8627178983288</v>
      </c>
      <c r="H15" s="723">
        <f t="shared" si="0"/>
        <v>0</v>
      </c>
      <c r="I15" s="723">
        <f t="shared" si="0"/>
        <v>0</v>
      </c>
      <c r="J15" s="723">
        <f t="shared" si="0"/>
        <v>0</v>
      </c>
      <c r="K15" s="723">
        <f t="shared" si="0"/>
        <v>0.64897194183545148</v>
      </c>
      <c r="L15" s="723">
        <f t="shared" si="0"/>
        <v>0</v>
      </c>
      <c r="M15" s="723">
        <f t="shared" ca="1" si="0"/>
        <v>0</v>
      </c>
      <c r="N15" s="723">
        <f t="shared" si="0"/>
        <v>0</v>
      </c>
      <c r="O15" s="723">
        <f t="shared" ca="1" si="0"/>
        <v>6983.708698236167</v>
      </c>
      <c r="P15" s="723">
        <f t="shared" si="0"/>
        <v>221.99333333333334</v>
      </c>
      <c r="Q15" s="724">
        <f t="shared" si="0"/>
        <v>228.8</v>
      </c>
      <c r="R15" s="725">
        <f ca="1">SUM(R9:R14)</f>
        <v>259377.85849242745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819.67470860824153</v>
      </c>
      <c r="D18" s="718">
        <f>transport!C54</f>
        <v>0</v>
      </c>
      <c r="E18" s="718">
        <f>transport!D54</f>
        <v>0</v>
      </c>
      <c r="F18" s="718">
        <f>transport!E54</f>
        <v>0</v>
      </c>
      <c r="G18" s="718">
        <f>transport!F54</f>
        <v>0</v>
      </c>
      <c r="H18" s="718">
        <f>transport!G54</f>
        <v>327.50037717761063</v>
      </c>
      <c r="I18" s="718">
        <f>transport!H54</f>
        <v>0</v>
      </c>
      <c r="J18" s="718">
        <f>transport!I54</f>
        <v>0</v>
      </c>
      <c r="K18" s="718">
        <f>transport!J54</f>
        <v>0</v>
      </c>
      <c r="L18" s="718">
        <f>transport!K54</f>
        <v>0</v>
      </c>
      <c r="M18" s="718">
        <f>transport!L54</f>
        <v>0</v>
      </c>
      <c r="N18" s="718">
        <f>transport!M54</f>
        <v>18.600575648257262</v>
      </c>
      <c r="O18" s="718">
        <f>transport!N54</f>
        <v>0</v>
      </c>
      <c r="P18" s="718">
        <f>transport!O54</f>
        <v>0</v>
      </c>
      <c r="Q18" s="719">
        <f>transport!P54</f>
        <v>0</v>
      </c>
      <c r="R18" s="721">
        <f>SUM(C18:Q18)</f>
        <v>1165.7756614341095</v>
      </c>
      <c r="S18" s="67"/>
    </row>
    <row r="19" spans="1:19" s="474" customFormat="1" ht="15" thickBot="1">
      <c r="A19" s="870" t="s">
        <v>307</v>
      </c>
      <c r="B19" s="875"/>
      <c r="C19" s="727">
        <f>transport!B14</f>
        <v>13.762707038095659</v>
      </c>
      <c r="D19" s="727">
        <f>transport!C14</f>
        <v>0</v>
      </c>
      <c r="E19" s="727">
        <f>transport!D14</f>
        <v>45.06606291090695</v>
      </c>
      <c r="F19" s="727">
        <f>transport!E14</f>
        <v>60.693396953877539</v>
      </c>
      <c r="G19" s="727">
        <f>transport!F14</f>
        <v>0</v>
      </c>
      <c r="H19" s="727">
        <f>transport!G14</f>
        <v>24499.368576961573</v>
      </c>
      <c r="I19" s="727">
        <f>transport!H14</f>
        <v>5099.7944178500002</v>
      </c>
      <c r="J19" s="727">
        <f>transport!I14</f>
        <v>0</v>
      </c>
      <c r="K19" s="727">
        <f>transport!J14</f>
        <v>0</v>
      </c>
      <c r="L19" s="727">
        <f>transport!K14</f>
        <v>0</v>
      </c>
      <c r="M19" s="727">
        <f>transport!L14</f>
        <v>0</v>
      </c>
      <c r="N19" s="727">
        <f>transport!M14</f>
        <v>1582.7521373104887</v>
      </c>
      <c r="O19" s="727">
        <f>transport!N14</f>
        <v>0</v>
      </c>
      <c r="P19" s="727">
        <f>transport!O14</f>
        <v>0</v>
      </c>
      <c r="Q19" s="728">
        <f>transport!P14</f>
        <v>0</v>
      </c>
      <c r="R19" s="729">
        <f>SUM(C19:Q19)</f>
        <v>31301.437299024943</v>
      </c>
      <c r="S19" s="67"/>
    </row>
    <row r="20" spans="1:19" s="474" customFormat="1" ht="15.75" thickBot="1">
      <c r="A20" s="730" t="s">
        <v>230</v>
      </c>
      <c r="B20" s="878"/>
      <c r="C20" s="873">
        <f>SUM(C17:C19)</f>
        <v>833.43741564633717</v>
      </c>
      <c r="D20" s="731">
        <f t="shared" ref="D20:R20" si="1">SUM(D17:D19)</f>
        <v>0</v>
      </c>
      <c r="E20" s="731">
        <f t="shared" si="1"/>
        <v>45.06606291090695</v>
      </c>
      <c r="F20" s="731">
        <f t="shared" si="1"/>
        <v>60.693396953877539</v>
      </c>
      <c r="G20" s="731">
        <f t="shared" si="1"/>
        <v>0</v>
      </c>
      <c r="H20" s="731">
        <f t="shared" si="1"/>
        <v>24826.868954139183</v>
      </c>
      <c r="I20" s="731">
        <f t="shared" si="1"/>
        <v>5099.7944178500002</v>
      </c>
      <c r="J20" s="731">
        <f t="shared" si="1"/>
        <v>0</v>
      </c>
      <c r="K20" s="731">
        <f t="shared" si="1"/>
        <v>0</v>
      </c>
      <c r="L20" s="731">
        <f t="shared" si="1"/>
        <v>0</v>
      </c>
      <c r="M20" s="731">
        <f t="shared" si="1"/>
        <v>0</v>
      </c>
      <c r="N20" s="731">
        <f t="shared" si="1"/>
        <v>1601.352712958746</v>
      </c>
      <c r="O20" s="731">
        <f t="shared" si="1"/>
        <v>0</v>
      </c>
      <c r="P20" s="731">
        <f t="shared" si="1"/>
        <v>0</v>
      </c>
      <c r="Q20" s="732">
        <f t="shared" si="1"/>
        <v>0</v>
      </c>
      <c r="R20" s="733">
        <f t="shared" si="1"/>
        <v>32467.212960459052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362.5248020904869</v>
      </c>
      <c r="D22" s="727">
        <f>+landbouw!C8</f>
        <v>0</v>
      </c>
      <c r="E22" s="727">
        <f>+landbouw!D8</f>
        <v>8801.6935641862528</v>
      </c>
      <c r="F22" s="727">
        <f>+landbouw!E8</f>
        <v>10.655711211988743</v>
      </c>
      <c r="G22" s="727">
        <f>+landbouw!F8</f>
        <v>1510.2587356968872</v>
      </c>
      <c r="H22" s="727">
        <f>+landbouw!G8</f>
        <v>0</v>
      </c>
      <c r="I22" s="727">
        <f>+landbouw!H8</f>
        <v>0</v>
      </c>
      <c r="J22" s="727">
        <f>+landbouw!I8</f>
        <v>0</v>
      </c>
      <c r="K22" s="727">
        <f>+landbouw!J8</f>
        <v>52.522058513669108</v>
      </c>
      <c r="L22" s="727">
        <f>+landbouw!K8</f>
        <v>0</v>
      </c>
      <c r="M22" s="727">
        <f>+landbouw!L8</f>
        <v>0</v>
      </c>
      <c r="N22" s="727">
        <f>+landbouw!M8</f>
        <v>0</v>
      </c>
      <c r="O22" s="727">
        <f>+landbouw!N8</f>
        <v>0</v>
      </c>
      <c r="P22" s="727">
        <f>+landbouw!O8</f>
        <v>0</v>
      </c>
      <c r="Q22" s="728">
        <f>+landbouw!P8</f>
        <v>0</v>
      </c>
      <c r="R22" s="729">
        <f>SUM(C22:Q22)</f>
        <v>10737.654871699284</v>
      </c>
      <c r="S22" s="67"/>
    </row>
    <row r="23" spans="1:19" s="474" customFormat="1" ht="17.25" thickTop="1" thickBot="1">
      <c r="A23" s="734" t="s">
        <v>116</v>
      </c>
      <c r="B23" s="864"/>
      <c r="C23" s="735">
        <f ca="1">C20+C15+C22</f>
        <v>82943.493234815949</v>
      </c>
      <c r="D23" s="735">
        <f t="shared" ref="D23:Q23" ca="1" si="2">D20+D15+D22</f>
        <v>0</v>
      </c>
      <c r="E23" s="735">
        <f t="shared" ca="1" si="2"/>
        <v>169836.1626016942</v>
      </c>
      <c r="F23" s="735">
        <f t="shared" si="2"/>
        <v>1185.2598875075582</v>
      </c>
      <c r="G23" s="735">
        <f t="shared" ca="1" si="2"/>
        <v>9602.1214535952167</v>
      </c>
      <c r="H23" s="735">
        <f t="shared" si="2"/>
        <v>24826.868954139183</v>
      </c>
      <c r="I23" s="735">
        <f t="shared" si="2"/>
        <v>5099.7944178500002</v>
      </c>
      <c r="J23" s="735">
        <f t="shared" si="2"/>
        <v>0</v>
      </c>
      <c r="K23" s="735">
        <f t="shared" si="2"/>
        <v>53.171030455504557</v>
      </c>
      <c r="L23" s="735">
        <f t="shared" si="2"/>
        <v>0</v>
      </c>
      <c r="M23" s="735">
        <f t="shared" ca="1" si="2"/>
        <v>0</v>
      </c>
      <c r="N23" s="735">
        <f t="shared" si="2"/>
        <v>1601.352712958746</v>
      </c>
      <c r="O23" s="735">
        <f t="shared" ca="1" si="2"/>
        <v>6983.708698236167</v>
      </c>
      <c r="P23" s="735">
        <f t="shared" si="2"/>
        <v>221.99333333333334</v>
      </c>
      <c r="Q23" s="736">
        <f t="shared" si="2"/>
        <v>228.8</v>
      </c>
      <c r="R23" s="737">
        <f ca="1">R20+R15+R22</f>
        <v>302582.72632458579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9439.8210084087841</v>
      </c>
      <c r="D36" s="718">
        <f ca="1">tertiair!C20</f>
        <v>0</v>
      </c>
      <c r="E36" s="718">
        <f ca="1">tertiair!D20</f>
        <v>12448.093348888677</v>
      </c>
      <c r="F36" s="718">
        <f>tertiair!E20</f>
        <v>142.04516483133614</v>
      </c>
      <c r="G36" s="718">
        <f ca="1">tertiair!F20</f>
        <v>1942.6039074285331</v>
      </c>
      <c r="H36" s="718">
        <f>tertiair!G20</f>
        <v>0</v>
      </c>
      <c r="I36" s="718">
        <f>tertiair!H20</f>
        <v>0</v>
      </c>
      <c r="J36" s="718">
        <f>tertiair!I20</f>
        <v>0</v>
      </c>
      <c r="K36" s="718">
        <f>tertiair!J20</f>
        <v>5.0221619257977412E-2</v>
      </c>
      <c r="L36" s="718">
        <f>tertiair!K20</f>
        <v>0</v>
      </c>
      <c r="M36" s="718">
        <f ca="1">tertiair!L20</f>
        <v>0</v>
      </c>
      <c r="N36" s="718">
        <f>tertiair!M20</f>
        <v>0</v>
      </c>
      <c r="O36" s="718">
        <f ca="1">tertiair!N20</f>
        <v>0</v>
      </c>
      <c r="P36" s="718">
        <f>tertiair!O20</f>
        <v>0</v>
      </c>
      <c r="Q36" s="828">
        <f>tertiair!P20</f>
        <v>0</v>
      </c>
      <c r="R36" s="917">
        <f ca="1">SUM(C36:Q36)</f>
        <v>23972.613651176587</v>
      </c>
    </row>
    <row r="37" spans="1:18">
      <c r="A37" s="885" t="s">
        <v>225</v>
      </c>
      <c r="B37" s="892"/>
      <c r="C37" s="718">
        <f ca="1">huishoudens!B12</f>
        <v>7625.2377099160694</v>
      </c>
      <c r="D37" s="718">
        <f ca="1">huishoudens!C12</f>
        <v>0</v>
      </c>
      <c r="E37" s="718">
        <f>huishoudens!D12</f>
        <v>19656.600778592314</v>
      </c>
      <c r="F37" s="718">
        <f>huishoudens!E12</f>
        <v>47.462899865321162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27329.301388373704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378.86717162638547</v>
      </c>
      <c r="D39" s="718">
        <f ca="1">industrie!C22</f>
        <v>0</v>
      </c>
      <c r="E39" s="718">
        <f>industrie!D22</f>
        <v>415.16527338760858</v>
      </c>
      <c r="F39" s="718">
        <f>industrie!E22</f>
        <v>63.349682213906782</v>
      </c>
      <c r="G39" s="718">
        <f>industrie!F22</f>
        <v>217.92343825032086</v>
      </c>
      <c r="H39" s="718">
        <f>industrie!G22</f>
        <v>0</v>
      </c>
      <c r="I39" s="718">
        <f>industrie!H22</f>
        <v>0</v>
      </c>
      <c r="J39" s="718">
        <f>industrie!I22</f>
        <v>0</v>
      </c>
      <c r="K39" s="718">
        <f>industrie!J22</f>
        <v>0.17951444815177242</v>
      </c>
      <c r="L39" s="718">
        <f>industrie!K22</f>
        <v>0</v>
      </c>
      <c r="M39" s="718">
        <f>industrie!L22</f>
        <v>0</v>
      </c>
      <c r="N39" s="718">
        <f>industrie!M22</f>
        <v>0</v>
      </c>
      <c r="O39" s="718">
        <f>industrie!N22</f>
        <v>0</v>
      </c>
      <c r="P39" s="718">
        <f>industrie!O22</f>
        <v>0</v>
      </c>
      <c r="Q39" s="828">
        <f>industrie!P22</f>
        <v>0</v>
      </c>
      <c r="R39" s="918">
        <f ca="1">SUM(C39:Q39)</f>
        <v>1075.4850799263736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17443.925889951239</v>
      </c>
      <c r="D41" s="763">
        <f t="shared" ref="D41:R41" ca="1" si="4">SUM(D35:D40)</f>
        <v>0</v>
      </c>
      <c r="E41" s="763">
        <f t="shared" ca="1" si="4"/>
        <v>32519.859400868598</v>
      </c>
      <c r="F41" s="763">
        <f t="shared" si="4"/>
        <v>252.85774691056409</v>
      </c>
      <c r="G41" s="763">
        <f t="shared" ca="1" si="4"/>
        <v>2160.5273456788541</v>
      </c>
      <c r="H41" s="763">
        <f t="shared" si="4"/>
        <v>0</v>
      </c>
      <c r="I41" s="763">
        <f t="shared" si="4"/>
        <v>0</v>
      </c>
      <c r="J41" s="763">
        <f t="shared" si="4"/>
        <v>0</v>
      </c>
      <c r="K41" s="763">
        <f t="shared" si="4"/>
        <v>0.22973606740974983</v>
      </c>
      <c r="L41" s="763">
        <f t="shared" si="4"/>
        <v>0</v>
      </c>
      <c r="M41" s="763">
        <f t="shared" ca="1" si="4"/>
        <v>0</v>
      </c>
      <c r="N41" s="763">
        <f t="shared" si="4"/>
        <v>0</v>
      </c>
      <c r="O41" s="763">
        <f t="shared" ca="1" si="4"/>
        <v>0</v>
      </c>
      <c r="P41" s="763">
        <f t="shared" si="4"/>
        <v>0</v>
      </c>
      <c r="Q41" s="764">
        <f t="shared" si="4"/>
        <v>0</v>
      </c>
      <c r="R41" s="765">
        <f t="shared" ca="1" si="4"/>
        <v>52377.400119476668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174.90858369584589</v>
      </c>
      <c r="D44" s="718">
        <f ca="1">transport!C58</f>
        <v>0</v>
      </c>
      <c r="E44" s="718">
        <f>transport!D58</f>
        <v>0</v>
      </c>
      <c r="F44" s="718">
        <f>transport!E58</f>
        <v>0</v>
      </c>
      <c r="G44" s="718">
        <f>transport!F58</f>
        <v>0</v>
      </c>
      <c r="H44" s="718">
        <f>transport!G58</f>
        <v>87.442600706422041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262.3511844022679</v>
      </c>
    </row>
    <row r="45" spans="1:18" ht="15" thickBot="1">
      <c r="A45" s="888" t="s">
        <v>307</v>
      </c>
      <c r="B45" s="898"/>
      <c r="C45" s="727">
        <f ca="1">transport!B18</f>
        <v>2.9367937921879634</v>
      </c>
      <c r="D45" s="727">
        <f>transport!C18</f>
        <v>0</v>
      </c>
      <c r="E45" s="727">
        <f>transport!D18</f>
        <v>9.1033447080032044</v>
      </c>
      <c r="F45" s="727">
        <f>transport!E18</f>
        <v>13.777401108530201</v>
      </c>
      <c r="G45" s="727">
        <f>transport!F18</f>
        <v>0</v>
      </c>
      <c r="H45" s="727">
        <f>transport!G18</f>
        <v>6541.3314100487405</v>
      </c>
      <c r="I45" s="727">
        <f>transport!H18</f>
        <v>1269.84881004465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7836.9977597021125</v>
      </c>
    </row>
    <row r="46" spans="1:18" ht="15.75" thickBot="1">
      <c r="A46" s="886" t="s">
        <v>230</v>
      </c>
      <c r="B46" s="899"/>
      <c r="C46" s="763">
        <f t="shared" ref="C46:R46" ca="1" si="5">SUM(C43:C45)</f>
        <v>177.84537748803385</v>
      </c>
      <c r="D46" s="763">
        <f t="shared" ca="1" si="5"/>
        <v>0</v>
      </c>
      <c r="E46" s="763">
        <f t="shared" si="5"/>
        <v>9.1033447080032044</v>
      </c>
      <c r="F46" s="763">
        <f t="shared" si="5"/>
        <v>13.777401108530201</v>
      </c>
      <c r="G46" s="763">
        <f t="shared" si="5"/>
        <v>0</v>
      </c>
      <c r="H46" s="763">
        <f t="shared" si="5"/>
        <v>6628.7740107551626</v>
      </c>
      <c r="I46" s="763">
        <f t="shared" si="5"/>
        <v>1269.84881004465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8099.3489441043803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77.358370366127389</v>
      </c>
      <c r="D48" s="718">
        <f ca="1">+landbouw!C12</f>
        <v>0</v>
      </c>
      <c r="E48" s="718">
        <f>+landbouw!D12</f>
        <v>1777.9420999656231</v>
      </c>
      <c r="F48" s="718">
        <f>+landbouw!E12</f>
        <v>2.4188464451214449</v>
      </c>
      <c r="G48" s="718">
        <f>+landbouw!F12</f>
        <v>403.23908243106894</v>
      </c>
      <c r="H48" s="718">
        <f>+landbouw!G12</f>
        <v>0</v>
      </c>
      <c r="I48" s="718">
        <f>+landbouw!H12</f>
        <v>0</v>
      </c>
      <c r="J48" s="718">
        <f>+landbouw!I12</f>
        <v>0</v>
      </c>
      <c r="K48" s="718">
        <f>+landbouw!J12</f>
        <v>18.592808713838863</v>
      </c>
      <c r="L48" s="718">
        <f>+landbouw!K12</f>
        <v>0</v>
      </c>
      <c r="M48" s="718">
        <f>+landbouw!L12</f>
        <v>0</v>
      </c>
      <c r="N48" s="718">
        <f>+landbouw!M12</f>
        <v>0</v>
      </c>
      <c r="O48" s="718">
        <f>+landbouw!N12</f>
        <v>0</v>
      </c>
      <c r="P48" s="718">
        <f>+landbouw!O12</f>
        <v>0</v>
      </c>
      <c r="Q48" s="719">
        <f>+landbouw!P12</f>
        <v>0</v>
      </c>
      <c r="R48" s="761">
        <f ca="1">SUM(C48:Q48)</f>
        <v>2279.5512079217801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17699.129637805399</v>
      </c>
      <c r="D53" s="773">
        <f t="shared" ref="D53:Q53" ca="1" si="6">D41+D46+D48</f>
        <v>0</v>
      </c>
      <c r="E53" s="773">
        <f t="shared" ca="1" si="6"/>
        <v>34306.904845542223</v>
      </c>
      <c r="F53" s="773">
        <f t="shared" si="6"/>
        <v>269.05399446421575</v>
      </c>
      <c r="G53" s="773">
        <f t="shared" ca="1" si="6"/>
        <v>2563.7664281099233</v>
      </c>
      <c r="H53" s="773">
        <f t="shared" si="6"/>
        <v>6628.7740107551626</v>
      </c>
      <c r="I53" s="773">
        <f t="shared" si="6"/>
        <v>1269.84881004465</v>
      </c>
      <c r="J53" s="773">
        <f t="shared" si="6"/>
        <v>0</v>
      </c>
      <c r="K53" s="773">
        <f t="shared" si="6"/>
        <v>18.822544781248613</v>
      </c>
      <c r="L53" s="773">
        <f t="shared" si="6"/>
        <v>0</v>
      </c>
      <c r="M53" s="773">
        <f t="shared" ca="1" si="6"/>
        <v>0</v>
      </c>
      <c r="N53" s="773">
        <f t="shared" si="6"/>
        <v>0</v>
      </c>
      <c r="O53" s="773">
        <f t="shared" ca="1" si="6"/>
        <v>0</v>
      </c>
      <c r="P53" s="773">
        <f>P41+P46+P48</f>
        <v>0</v>
      </c>
      <c r="Q53" s="774">
        <f t="shared" si="6"/>
        <v>0</v>
      </c>
      <c r="R53" s="775">
        <f ca="1">R41+R46+R48</f>
        <v>62756.300271502827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0.21338780111055294</v>
      </c>
      <c r="D55" s="836">
        <f t="shared" ca="1" si="7"/>
        <v>0</v>
      </c>
      <c r="E55" s="836">
        <f t="shared" ca="1" si="7"/>
        <v>0.20199999999999996</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2856.9337877326934</v>
      </c>
      <c r="C66" s="795">
        <f>'lokale energieproductie'!B6</f>
        <v>2856.9337877326934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2856.9337877326934</v>
      </c>
      <c r="C69" s="803">
        <f>SUM(C64:C68)</f>
        <v>2856.9337877326934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35734.178196838679</v>
      </c>
      <c r="C4" s="478">
        <f>huishoudens!C8</f>
        <v>0</v>
      </c>
      <c r="D4" s="478">
        <f>huishoudens!D8</f>
        <v>97309.904844516408</v>
      </c>
      <c r="E4" s="478">
        <f>huishoudens!E8</f>
        <v>209.08766460493902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867.46362994439801</v>
      </c>
      <c r="O4" s="478">
        <f>huishoudens!O8</f>
        <v>218.86666666666667</v>
      </c>
      <c r="P4" s="479">
        <f>huishoudens!P8</f>
        <v>190.66666666666669</v>
      </c>
      <c r="Q4" s="480">
        <f>SUM(B4:P4)</f>
        <v>134530.16766923774</v>
      </c>
    </row>
    <row r="5" spans="1:17">
      <c r="A5" s="477" t="s">
        <v>156</v>
      </c>
      <c r="B5" s="478">
        <f ca="1">tertiair!B16</f>
        <v>42454.651464695962</v>
      </c>
      <c r="C5" s="478">
        <f ca="1">tertiair!C16</f>
        <v>0</v>
      </c>
      <c r="D5" s="478">
        <f ca="1">tertiair!D16</f>
        <v>61624.224499448886</v>
      </c>
      <c r="E5" s="478">
        <f>tertiair!E16</f>
        <v>625.74962480764816</v>
      </c>
      <c r="F5" s="478">
        <f ca="1">tertiair!F16</f>
        <v>7275.6700652754043</v>
      </c>
      <c r="G5" s="478">
        <f>tertiair!G16</f>
        <v>0</v>
      </c>
      <c r="H5" s="478">
        <f>tertiair!H16</f>
        <v>0</v>
      </c>
      <c r="I5" s="478">
        <f>tertiair!I16</f>
        <v>0</v>
      </c>
      <c r="J5" s="478">
        <f>tertiair!J16</f>
        <v>0.14186898095473846</v>
      </c>
      <c r="K5" s="478">
        <f>tertiair!K16</f>
        <v>0</v>
      </c>
      <c r="L5" s="478">
        <f ca="1">tertiair!L16</f>
        <v>0</v>
      </c>
      <c r="M5" s="478">
        <f>tertiair!M16</f>
        <v>0</v>
      </c>
      <c r="N5" s="478">
        <f ca="1">tertiair!N16</f>
        <v>5628.0679928268137</v>
      </c>
      <c r="O5" s="478">
        <f>tertiair!O16</f>
        <v>3.1266666666666669</v>
      </c>
      <c r="P5" s="479">
        <f>tertiair!P16</f>
        <v>38.133333333333333</v>
      </c>
      <c r="Q5" s="477">
        <f t="shared" ref="Q5:Q13" ca="1" si="0">SUM(B5:P5)</f>
        <v>117649.76551603567</v>
      </c>
    </row>
    <row r="6" spans="1:17">
      <c r="A6" s="477" t="s">
        <v>194</v>
      </c>
      <c r="B6" s="478">
        <f>'openbare verlichting'!B8</f>
        <v>1783.2148016992601</v>
      </c>
      <c r="C6" s="478"/>
      <c r="D6" s="478"/>
      <c r="E6" s="478"/>
      <c r="F6" s="478"/>
      <c r="G6" s="478"/>
      <c r="H6" s="478"/>
      <c r="I6" s="478"/>
      <c r="J6" s="478"/>
      <c r="K6" s="478"/>
      <c r="L6" s="478"/>
      <c r="M6" s="478"/>
      <c r="N6" s="478"/>
      <c r="O6" s="478"/>
      <c r="P6" s="479"/>
      <c r="Q6" s="477">
        <f t="shared" si="0"/>
        <v>1783.2148016992601</v>
      </c>
    </row>
    <row r="7" spans="1:17">
      <c r="A7" s="477" t="s">
        <v>112</v>
      </c>
      <c r="B7" s="478">
        <f>landbouw!B8</f>
        <v>362.5248020904869</v>
      </c>
      <c r="C7" s="478">
        <f>landbouw!C8</f>
        <v>0</v>
      </c>
      <c r="D7" s="478">
        <f>landbouw!D8</f>
        <v>8801.6935641862528</v>
      </c>
      <c r="E7" s="478">
        <f>landbouw!E8</f>
        <v>10.655711211988743</v>
      </c>
      <c r="F7" s="478">
        <f>landbouw!F8</f>
        <v>1510.2587356968872</v>
      </c>
      <c r="G7" s="478">
        <f>landbouw!G8</f>
        <v>0</v>
      </c>
      <c r="H7" s="478">
        <f>landbouw!H8</f>
        <v>0</v>
      </c>
      <c r="I7" s="478">
        <f>landbouw!I8</f>
        <v>0</v>
      </c>
      <c r="J7" s="478">
        <f>landbouw!J8</f>
        <v>52.522058513669108</v>
      </c>
      <c r="K7" s="478">
        <f>landbouw!K8</f>
        <v>0</v>
      </c>
      <c r="L7" s="478">
        <f>landbouw!L8</f>
        <v>0</v>
      </c>
      <c r="M7" s="478">
        <f>landbouw!M8</f>
        <v>0</v>
      </c>
      <c r="N7" s="478">
        <f>landbouw!N8</f>
        <v>0</v>
      </c>
      <c r="O7" s="478">
        <f>landbouw!O8</f>
        <v>0</v>
      </c>
      <c r="P7" s="479">
        <f>landbouw!P8</f>
        <v>0</v>
      </c>
      <c r="Q7" s="477">
        <f t="shared" si="0"/>
        <v>10737.654871699284</v>
      </c>
    </row>
    <row r="8" spans="1:17">
      <c r="A8" s="477" t="s">
        <v>635</v>
      </c>
      <c r="B8" s="478">
        <f>industrie!B18</f>
        <v>1775.4865538452229</v>
      </c>
      <c r="C8" s="478">
        <f>industrie!C18</f>
        <v>0</v>
      </c>
      <c r="D8" s="478">
        <f>industrie!D18</f>
        <v>2055.2736306317256</v>
      </c>
      <c r="E8" s="478">
        <f>industrie!E18</f>
        <v>279.07348992910477</v>
      </c>
      <c r="F8" s="478">
        <f>industrie!F18</f>
        <v>816.19265262292447</v>
      </c>
      <c r="G8" s="478">
        <f>industrie!G18</f>
        <v>0</v>
      </c>
      <c r="H8" s="478">
        <f>industrie!H18</f>
        <v>0</v>
      </c>
      <c r="I8" s="478">
        <f>industrie!I18</f>
        <v>0</v>
      </c>
      <c r="J8" s="478">
        <f>industrie!J18</f>
        <v>0.50710296088071305</v>
      </c>
      <c r="K8" s="478">
        <f>industrie!K18</f>
        <v>0</v>
      </c>
      <c r="L8" s="478">
        <f>industrie!L18</f>
        <v>0</v>
      </c>
      <c r="M8" s="478">
        <f>industrie!M18</f>
        <v>0</v>
      </c>
      <c r="N8" s="478">
        <f>industrie!N18</f>
        <v>488.17707546495512</v>
      </c>
      <c r="O8" s="478">
        <f>industrie!O18</f>
        <v>0</v>
      </c>
      <c r="P8" s="479">
        <f>industrie!P18</f>
        <v>0</v>
      </c>
      <c r="Q8" s="477">
        <f t="shared" si="0"/>
        <v>5414.7105054548138</v>
      </c>
    </row>
    <row r="9" spans="1:17" s="483" customFormat="1">
      <c r="A9" s="481" t="s">
        <v>561</v>
      </c>
      <c r="B9" s="482">
        <f>transport!B14</f>
        <v>13.762707038095659</v>
      </c>
      <c r="C9" s="482"/>
      <c r="D9" s="482">
        <f>transport!D14</f>
        <v>45.06606291090695</v>
      </c>
      <c r="E9" s="482">
        <f>transport!E14</f>
        <v>60.693396953877539</v>
      </c>
      <c r="F9" s="482"/>
      <c r="G9" s="482">
        <f>transport!G14</f>
        <v>24499.368576961573</v>
      </c>
      <c r="H9" s="482">
        <f>transport!H14</f>
        <v>5099.7944178500002</v>
      </c>
      <c r="I9" s="482"/>
      <c r="J9" s="482"/>
      <c r="K9" s="482"/>
      <c r="L9" s="482"/>
      <c r="M9" s="482">
        <f>transport!M14</f>
        <v>1582.7521373104887</v>
      </c>
      <c r="N9" s="482"/>
      <c r="O9" s="482"/>
      <c r="P9" s="482"/>
      <c r="Q9" s="481">
        <f>SUM(B9:P9)</f>
        <v>31301.437299024943</v>
      </c>
    </row>
    <row r="10" spans="1:17">
      <c r="A10" s="477" t="s">
        <v>551</v>
      </c>
      <c r="B10" s="478">
        <f>transport!B54</f>
        <v>819.67470860824153</v>
      </c>
      <c r="C10" s="478"/>
      <c r="D10" s="478">
        <f>transport!D54</f>
        <v>0</v>
      </c>
      <c r="E10" s="478"/>
      <c r="F10" s="478"/>
      <c r="G10" s="478">
        <f>transport!G54</f>
        <v>327.50037717761063</v>
      </c>
      <c r="H10" s="478"/>
      <c r="I10" s="478"/>
      <c r="J10" s="478"/>
      <c r="K10" s="478"/>
      <c r="L10" s="478"/>
      <c r="M10" s="478">
        <f>transport!M54</f>
        <v>18.600575648257262</v>
      </c>
      <c r="N10" s="478"/>
      <c r="O10" s="478"/>
      <c r="P10" s="479"/>
      <c r="Q10" s="477">
        <f t="shared" si="0"/>
        <v>1165.7756614341095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82943.493234815949</v>
      </c>
      <c r="C14" s="488">
        <f t="shared" ref="C14:Q14" ca="1" si="1">SUM(C4:C13)</f>
        <v>0</v>
      </c>
      <c r="D14" s="488">
        <f t="shared" ca="1" si="1"/>
        <v>169836.1626016942</v>
      </c>
      <c r="E14" s="488">
        <f t="shared" si="1"/>
        <v>1185.2598875075582</v>
      </c>
      <c r="F14" s="488">
        <f t="shared" ca="1" si="1"/>
        <v>9602.1214535952167</v>
      </c>
      <c r="G14" s="488">
        <f t="shared" si="1"/>
        <v>24826.868954139183</v>
      </c>
      <c r="H14" s="488">
        <f t="shared" si="1"/>
        <v>5099.7944178500002</v>
      </c>
      <c r="I14" s="488">
        <f t="shared" si="1"/>
        <v>0</v>
      </c>
      <c r="J14" s="488">
        <f t="shared" si="1"/>
        <v>53.171030455504564</v>
      </c>
      <c r="K14" s="488">
        <f t="shared" si="1"/>
        <v>0</v>
      </c>
      <c r="L14" s="488">
        <f t="shared" ca="1" si="1"/>
        <v>0</v>
      </c>
      <c r="M14" s="488">
        <f t="shared" si="1"/>
        <v>1601.352712958746</v>
      </c>
      <c r="N14" s="488">
        <f t="shared" ca="1" si="1"/>
        <v>6983.708698236167</v>
      </c>
      <c r="O14" s="488">
        <f t="shared" si="1"/>
        <v>221.99333333333334</v>
      </c>
      <c r="P14" s="489">
        <f t="shared" si="1"/>
        <v>228.8</v>
      </c>
      <c r="Q14" s="489">
        <f t="shared" ca="1" si="1"/>
        <v>302582.72632458585</v>
      </c>
    </row>
    <row r="16" spans="1:17">
      <c r="A16" s="491" t="s">
        <v>556</v>
      </c>
      <c r="B16" s="841">
        <f ca="1">huishoudens!B10</f>
        <v>0.21338780111055294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7625.2377099160694</v>
      </c>
      <c r="C21" s="478">
        <f t="shared" ref="C21:C28" ca="1" si="3">C4*$C$16</f>
        <v>0</v>
      </c>
      <c r="D21" s="478">
        <f t="shared" ref="D21:D30" si="4">D4*$D$16</f>
        <v>19656.600778592314</v>
      </c>
      <c r="E21" s="478">
        <f t="shared" ref="E21:E30" si="5">E4*$E$16</f>
        <v>47.462899865321162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27329.301388373704</v>
      </c>
    </row>
    <row r="22" spans="1:17">
      <c r="A22" s="477" t="s">
        <v>156</v>
      </c>
      <c r="B22" s="478">
        <f t="shared" ca="1" si="2"/>
        <v>9059.304722966388</v>
      </c>
      <c r="C22" s="478">
        <f t="shared" ca="1" si="3"/>
        <v>0</v>
      </c>
      <c r="D22" s="478">
        <f t="shared" ca="1" si="4"/>
        <v>12448.093348888677</v>
      </c>
      <c r="E22" s="478">
        <f t="shared" si="5"/>
        <v>142.04516483133614</v>
      </c>
      <c r="F22" s="478">
        <f t="shared" ca="1" si="6"/>
        <v>1942.6039074285331</v>
      </c>
      <c r="G22" s="478">
        <f t="shared" si="7"/>
        <v>0</v>
      </c>
      <c r="H22" s="478">
        <f t="shared" si="8"/>
        <v>0</v>
      </c>
      <c r="I22" s="478">
        <f t="shared" si="9"/>
        <v>0</v>
      </c>
      <c r="J22" s="478">
        <f t="shared" si="10"/>
        <v>5.0221619257977412E-2</v>
      </c>
      <c r="K22" s="478">
        <f t="shared" si="11"/>
        <v>0</v>
      </c>
      <c r="L22" s="478">
        <f t="shared" ca="1" si="12"/>
        <v>0</v>
      </c>
      <c r="M22" s="478">
        <f t="shared" si="13"/>
        <v>0</v>
      </c>
      <c r="N22" s="478">
        <f t="shared" ca="1" si="14"/>
        <v>0</v>
      </c>
      <c r="O22" s="478">
        <f t="shared" si="15"/>
        <v>0</v>
      </c>
      <c r="P22" s="479">
        <f t="shared" si="16"/>
        <v>0</v>
      </c>
      <c r="Q22" s="477">
        <f t="shared" ref="Q22:Q30" ca="1" si="17">SUM(B22:P22)</f>
        <v>23592.097365734193</v>
      </c>
    </row>
    <row r="23" spans="1:17">
      <c r="A23" s="477" t="s">
        <v>194</v>
      </c>
      <c r="B23" s="478">
        <f t="shared" ca="1" si="2"/>
        <v>380.51628544239583</v>
      </c>
      <c r="C23" s="478"/>
      <c r="D23" s="478"/>
      <c r="E23" s="478"/>
      <c r="F23" s="478"/>
      <c r="G23" s="478"/>
      <c r="H23" s="478"/>
      <c r="I23" s="478"/>
      <c r="J23" s="478"/>
      <c r="K23" s="478"/>
      <c r="L23" s="478"/>
      <c r="M23" s="478"/>
      <c r="N23" s="478"/>
      <c r="O23" s="478"/>
      <c r="P23" s="479"/>
      <c r="Q23" s="477">
        <f t="shared" ca="1" si="17"/>
        <v>380.51628544239583</v>
      </c>
    </row>
    <row r="24" spans="1:17">
      <c r="A24" s="477" t="s">
        <v>112</v>
      </c>
      <c r="B24" s="478">
        <f t="shared" ca="1" si="2"/>
        <v>77.358370366127389</v>
      </c>
      <c r="C24" s="478">
        <f t="shared" ca="1" si="3"/>
        <v>0</v>
      </c>
      <c r="D24" s="478">
        <f t="shared" si="4"/>
        <v>1777.9420999656231</v>
      </c>
      <c r="E24" s="478">
        <f t="shared" si="5"/>
        <v>2.4188464451214449</v>
      </c>
      <c r="F24" s="478">
        <f t="shared" si="6"/>
        <v>403.23908243106894</v>
      </c>
      <c r="G24" s="478">
        <f t="shared" si="7"/>
        <v>0</v>
      </c>
      <c r="H24" s="478">
        <f t="shared" si="8"/>
        <v>0</v>
      </c>
      <c r="I24" s="478">
        <f t="shared" si="9"/>
        <v>0</v>
      </c>
      <c r="J24" s="478">
        <f t="shared" si="10"/>
        <v>18.592808713838863</v>
      </c>
      <c r="K24" s="478">
        <f t="shared" si="11"/>
        <v>0</v>
      </c>
      <c r="L24" s="478">
        <f t="shared" si="12"/>
        <v>0</v>
      </c>
      <c r="M24" s="478">
        <f t="shared" si="13"/>
        <v>0</v>
      </c>
      <c r="N24" s="478">
        <f t="shared" si="14"/>
        <v>0</v>
      </c>
      <c r="O24" s="478">
        <f t="shared" si="15"/>
        <v>0</v>
      </c>
      <c r="P24" s="479">
        <f t="shared" si="16"/>
        <v>0</v>
      </c>
      <c r="Q24" s="477">
        <f t="shared" ca="1" si="17"/>
        <v>2279.5512079217801</v>
      </c>
    </row>
    <row r="25" spans="1:17">
      <c r="A25" s="477" t="s">
        <v>635</v>
      </c>
      <c r="B25" s="478">
        <f t="shared" ca="1" si="2"/>
        <v>378.86717162638547</v>
      </c>
      <c r="C25" s="478">
        <f t="shared" ca="1" si="3"/>
        <v>0</v>
      </c>
      <c r="D25" s="478">
        <f t="shared" si="4"/>
        <v>415.16527338760858</v>
      </c>
      <c r="E25" s="478">
        <f t="shared" si="5"/>
        <v>63.349682213906782</v>
      </c>
      <c r="F25" s="478">
        <f t="shared" si="6"/>
        <v>217.92343825032086</v>
      </c>
      <c r="G25" s="478">
        <f t="shared" si="7"/>
        <v>0</v>
      </c>
      <c r="H25" s="478">
        <f t="shared" si="8"/>
        <v>0</v>
      </c>
      <c r="I25" s="478">
        <f t="shared" si="9"/>
        <v>0</v>
      </c>
      <c r="J25" s="478">
        <f t="shared" si="10"/>
        <v>0.17951444815177242</v>
      </c>
      <c r="K25" s="478">
        <f t="shared" si="11"/>
        <v>0</v>
      </c>
      <c r="L25" s="478">
        <f t="shared" si="12"/>
        <v>0</v>
      </c>
      <c r="M25" s="478">
        <f t="shared" si="13"/>
        <v>0</v>
      </c>
      <c r="N25" s="478">
        <f t="shared" si="14"/>
        <v>0</v>
      </c>
      <c r="O25" s="478">
        <f t="shared" si="15"/>
        <v>0</v>
      </c>
      <c r="P25" s="479">
        <f t="shared" si="16"/>
        <v>0</v>
      </c>
      <c r="Q25" s="477">
        <f t="shared" ca="1" si="17"/>
        <v>1075.4850799263736</v>
      </c>
    </row>
    <row r="26" spans="1:17" s="483" customFormat="1">
      <c r="A26" s="481" t="s">
        <v>561</v>
      </c>
      <c r="B26" s="835">
        <f t="shared" ca="1" si="2"/>
        <v>2.9367937921879634</v>
      </c>
      <c r="C26" s="482"/>
      <c r="D26" s="482">
        <f t="shared" si="4"/>
        <v>9.1033447080032044</v>
      </c>
      <c r="E26" s="482">
        <f t="shared" si="5"/>
        <v>13.777401108530201</v>
      </c>
      <c r="F26" s="482"/>
      <c r="G26" s="482">
        <f t="shared" si="7"/>
        <v>6541.3314100487405</v>
      </c>
      <c r="H26" s="482">
        <f t="shared" si="8"/>
        <v>1269.84881004465</v>
      </c>
      <c r="I26" s="482"/>
      <c r="J26" s="482"/>
      <c r="K26" s="482"/>
      <c r="L26" s="482"/>
      <c r="M26" s="482">
        <f t="shared" si="13"/>
        <v>0</v>
      </c>
      <c r="N26" s="482"/>
      <c r="O26" s="482"/>
      <c r="P26" s="493"/>
      <c r="Q26" s="481">
        <f t="shared" ca="1" si="17"/>
        <v>7836.9977597021125</v>
      </c>
    </row>
    <row r="27" spans="1:17">
      <c r="A27" s="477" t="s">
        <v>551</v>
      </c>
      <c r="B27" s="478">
        <f t="shared" ca="1" si="2"/>
        <v>174.90858369584589</v>
      </c>
      <c r="C27" s="478"/>
      <c r="D27" s="482">
        <f t="shared" si="4"/>
        <v>0</v>
      </c>
      <c r="E27" s="478"/>
      <c r="F27" s="478"/>
      <c r="G27" s="478">
        <f t="shared" si="7"/>
        <v>87.442600706422041</v>
      </c>
      <c r="H27" s="478"/>
      <c r="I27" s="478"/>
      <c r="J27" s="478"/>
      <c r="K27" s="478"/>
      <c r="L27" s="478"/>
      <c r="M27" s="478">
        <f t="shared" si="13"/>
        <v>0</v>
      </c>
      <c r="N27" s="478"/>
      <c r="O27" s="478"/>
      <c r="P27" s="479"/>
      <c r="Q27" s="477">
        <f t="shared" ca="1" si="17"/>
        <v>262.3511844022679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17699.129637805403</v>
      </c>
      <c r="C31" s="488">
        <f t="shared" ca="1" si="18"/>
        <v>0</v>
      </c>
      <c r="D31" s="488">
        <f t="shared" ca="1" si="18"/>
        <v>34306.904845542231</v>
      </c>
      <c r="E31" s="488">
        <f t="shared" si="18"/>
        <v>269.05399446421575</v>
      </c>
      <c r="F31" s="488">
        <f t="shared" ca="1" si="18"/>
        <v>2563.7664281099233</v>
      </c>
      <c r="G31" s="488">
        <f t="shared" si="18"/>
        <v>6628.7740107551626</v>
      </c>
      <c r="H31" s="488">
        <f t="shared" si="18"/>
        <v>1269.84881004465</v>
      </c>
      <c r="I31" s="488">
        <f t="shared" si="18"/>
        <v>0</v>
      </c>
      <c r="J31" s="488">
        <f t="shared" si="18"/>
        <v>18.822544781248613</v>
      </c>
      <c r="K31" s="488">
        <f t="shared" si="18"/>
        <v>0</v>
      </c>
      <c r="L31" s="488">
        <f t="shared" ca="1" si="18"/>
        <v>0</v>
      </c>
      <c r="M31" s="488">
        <f t="shared" si="18"/>
        <v>0</v>
      </c>
      <c r="N31" s="488">
        <f t="shared" ca="1" si="18"/>
        <v>0</v>
      </c>
      <c r="O31" s="488">
        <f t="shared" si="18"/>
        <v>0</v>
      </c>
      <c r="P31" s="489">
        <f t="shared" si="18"/>
        <v>0</v>
      </c>
      <c r="Q31" s="489">
        <f t="shared" ca="1" si="18"/>
        <v>62756.300271502827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0.21338780111055294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0.21338780111055294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0.21338780111055294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2019-01-01T21:19:06Z</dcterms:modified>
</cp:coreProperties>
</file>