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<sst xmlns="http://schemas.openxmlformats.org/spreadsheetml/2006/main" count="2099" uniqueCount="844">
  <si>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</si>
  <si>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</si>
  <si>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</si>
  <si>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</si>
  <si>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</si>
  <si>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</si>
  <si>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</si>
  <si>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</si>
  <si>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</si>
  <si>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</si>
  <si>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</si>
  <si>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</si>
  <si>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</si>
  <si>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</si>
  <si>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</si>
  <si>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</si>
  <si>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</si>
  <si>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</si>
  <si>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</si>
  <si>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</si>
  <si>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</si>
  <si>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</si>
  <si>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</si>
  <si>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</si>
  <si>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</si>
  <si>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</si>
  <si>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</si>
  <si>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</si>
  <si>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</si>
  <si>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</si>
  <si>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</si>
  <si>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</si>
  <si>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</si>
  <si>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</si>
  <si>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</si>
  <si>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</si>
  <si>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</si>
  <si>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</si>
  <si>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</si>
  <si>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</si>
  <si>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</si>
  <si>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</si>
  <si>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</si>
  <si>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</si>
  <si>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</si>
  <si>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</si>
  <si>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</si>
  <si>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</si>
  <si>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</si>
  <si>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</si>
  <si>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</si>
  <si>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</si>
  <si>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</si>
  <si>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</si>
  <si>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</si>
  <si>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</si>
  <si>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</si>
  <si>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</si>
  <si>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</si>
  <si>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</si>
  <si>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</si>
  <si>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</si>
  <si>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</si>
  <si>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</si>
  <si>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</si>
  <si>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</si>
  <si>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</si>
  <si>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</si>
  <si>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</si>
  <si>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</si>
  <si>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</si>
  <si>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</si>
  <si>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</si>
  <si>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</si>
  <si>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</si>
  <si>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</si>
  <si>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</si>
  <si>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</si>
  <si>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</si>
  <si>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</si>
  <si>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</si>
  <si>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</si>
  <si>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</si>
  <si>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</si>
  <si>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</si>
  <si>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</si>
  <si>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</si>
  <si>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</si>
  <si>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</si>
  <si>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</si>
  <si>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</si>
  <si>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</si>
  <si>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</si>
  <si>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</si>
  <si>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</si>
  <si>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</si>
  <si>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</si>
  <si>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</si>
  <si>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</si>
  <si>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</si>
  <si>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</si>
  <si>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</si>
  <si>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</si>
  <si>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</si>
  <si>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</si>
  <si>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</si>
  <si>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</si>
  <si>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</si>
  <si>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</si>
  <si>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</si>
  <si>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</si>
  <si>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</si>
  <si>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</si>
  <si>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</si>
  <si>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</si>
  <si>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</si>
  <si>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</si>
  <si>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</si>
  <si>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</si>
  <si>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</si>
  <si>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</si>
  <si>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</si>
  <si>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</si>
  <si>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</si>
  <si>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</si>
  <si>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</si>
  <si>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</si>
  <si>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</si>
  <si>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</si>
  <si>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</si>
  <si>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</si>
  <si>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</si>
  <si>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</si>
  <si>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</si>
  <si>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</si>
  <si>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</si>
  <si>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</si>
  <si>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</si>
  <si>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</si>
  <si>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</si>
  <si>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</si>
  <si>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</si>
  <si>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</si>
  <si>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</si>
  <si>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</si>
  <si>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</si>
  <si>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</si>
  <si>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</si>
  <si>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</si>
  <si>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</si>
  <si>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</si>
  <si>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</si>
  <si>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</si>
  <si>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</si>
  <si>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</si>
  <si>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</si>
  <si>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</si>
  <si>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</si>
  <si>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</si>
  <si>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</si>
  <si>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</si>
  <si>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</si>
  <si>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</si>
  <si>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</si>
  <si>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</si>
  <si>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</si>
  <si>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</si>
  <si>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</si>
  <si>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</si>
  <si>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</si>
  <si>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</si>
  <si>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</si>
  <si>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</si>
  <si>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</si>
  <si>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</si>
  <si>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</si>
  <si>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</si>
  <si>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</si>
  <si>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</si>
  <si>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</si>
  <si>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</si>
  <si>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</si>
  <si>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</si>
  <si>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</si>
  <si>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</si>
  <si>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</si>
  <si>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</si>
  <si>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</si>
  <si>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</si>
  <si>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</si>
  <si>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</si>
  <si>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</si>
  <si>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</si>
  <si>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</si>
  <si>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</si>
  <si>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</si>
  <si>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</si>
  <si>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</si>
  <si>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</si>
  <si>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</si>
  <si>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</si>
  <si>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</si>
  <si>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</si>
  <si>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</si>
  <si>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</si>
  <si>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</si>
  <si>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</si>
  <si>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</si>
  <si>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</si>
  <si>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</si>
  <si>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</si>
  <si>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</si>
  <si>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</si>
  <si>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</si>
  <si>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</si>
  <si>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</si>
  <si>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</si>
  <si>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</si>
  <si>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</si>
  <si>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</si>
  <si>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</si>
  <si>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</si>
  <si>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</si>
  <si>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</si>
  <si>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</si>
  <si>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</si>
  <si>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</si>
  <si>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</si>
  <si>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</si>
  <si>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</si>
  <si>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</si>
  <si>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</si>
  <si>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</si>
  <si>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</si>
  <si>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</si>
  <si>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</si>
  <si>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</si>
  <si>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</si>
  <si>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</si>
  <si>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</si>
  <si>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</si>
  <si>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</si>
  <si>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</si>
  <si>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</si>
  <si>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</si>
  <si>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</si>
  <si>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</si>
  <si>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</si>
  <si>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</si>
  <si>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</si>
  <si>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</si>
  <si>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</si>
  <si>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</si>
  <si>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</si>
  <si>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</si>
  <si>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</si>
  <si>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</si>
  <si>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</si>
  <si>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</si>
  <si>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</si>
  <si>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</si>
  <si>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</si>
  <si>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</si>
  <si>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</si>
  <si>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</si>
  <si>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</si>
  <si>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</si>
  <si>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</si>
  <si>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</si>
  <si>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</si>
  <si>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</si>
  <si>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</si>
  <si>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</si>
  <si>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</si>
  <si>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</si>
  <si>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</si>
  <si>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</si>
  <si>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</si>
  <si>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</si>
  <si>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</si>
  <si>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</si>
  <si>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</si>
  <si>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</si>
  <si>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</si>
  <si>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</si>
  <si>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</si>
  <si>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</si>
  <si>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</si>
  <si>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</si>
  <si>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</si>
  <si>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</si>
  <si>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</si>
  <si>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</si>
  <si>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</si>
  <si>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</si>
  <si>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</si>
  <si>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</si>
  <si>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</si>
  <si>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</si>
  <si>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</si>
  <si>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</si>
  <si>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</si>
  <si>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</si>
  <si>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</si>
  <si>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</si>
  <si>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</si>
  <si>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</si>
  <si>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</si>
  <si>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</si>
  <si>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</si>
  <si>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</si>
  <si>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</si>
  <si>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</si>
  <si>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</si>
  <si>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</si>
  <si>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</si>
  <si>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</si>
  <si>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</si>
  <si>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</si>
  <si>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</si>
  <si>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</si>
  <si>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</si>
  <si>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</si>
  <si>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</si>
  <si>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</si>
  <si>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</si>
  <si>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</si>
  <si>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</si>
  <si>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</si>
  <si>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</si>
  <si>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</si>
  <si>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</si>
  <si>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</si>
  <si>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</si>
  <si>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</si>
  <si>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</si>
  <si>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</si>
  <si>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</si>
  <si>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</si>
  <si>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</si>
  <si>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</si>
  <si>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</si>
  <si>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</si>
  <si>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</si>
  <si>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</si>
  <si>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</si>
  <si>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</si>
  <si>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</si>
  <si>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</si>
  <si>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</si>
  <si>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</si>
  <si>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</si>
  <si>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</si>
  <si>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</si>
  <si>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</si>
  <si>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</si>
  <si>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</si>
  <si>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</si>
  <si>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</si>
  <si>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</si>
  <si>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</si>
  <si>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</si>
  <si>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</si>
  <si>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</si>
  <si>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</si>
  <si>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</si>
  <si>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</si>
  <si>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</si>
  <si>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</si>
  <si>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</si>
  <si>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</si>
  <si>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</si>
  <si>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</si>
  <si>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</si>
  <si>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</si>
  <si>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</si>
  <si>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</si>
  <si>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</si>
  <si>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</si>
  <si>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</si>
  <si>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</si>
  <si>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</si>
  <si>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</si>
  <si>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</si>
  <si>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</si>
  <si>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</si>
  <si>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</si>
  <si>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</si>
  <si>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</si>
  <si>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</si>
  <si>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</si>
  <si>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</si>
  <si>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</si>
  <si>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</si>
  <si>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</si>
  <si>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</si>
  <si>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</si>
  <si>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</si>
  <si>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</si>
  <si>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</si>
  <si>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</si>
  <si>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</si>
  <si>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</si>
  <si>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</si>
  <si>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</si>
  <si>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</si>
  <si>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</si>
  <si>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</si>
  <si>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</si>
  <si>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</si>
  <si>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</si>
  <si>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</si>
  <si>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</si>
  <si>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</si>
  <si>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</si>
  <si>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</si>
  <si>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</si>
  <si>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</si>
  <si>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</si>
  <si>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</si>
  <si>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</si>
  <si>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</si>
  <si>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</si>
  <si>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</si>
  <si>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</si>
  <si>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</si>
  <si>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</si>
  <si>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</si>
  <si>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</si>
  <si>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</si>
  <si>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</si>
  <si>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</si>
  <si>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</si>
  <si>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</si>
  <si>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</si>
  <si>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</si>
  <si>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</si>
  <si>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</si>
  <si>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</si>
  <si>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</si>
  <si>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</si>
  <si>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</si>
  <si>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</si>
  <si>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</si>
  <si>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</si>
  <si>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</si>
  <si>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</si>
  <si>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</si>
  <si>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</si>
  <si>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</si>
  <si>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</si>
  <si>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</si>
  <si>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</si>
  <si>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</si>
  <si>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</si>
  <si>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</si>
  <si>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</si>
  <si>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</si>
  <si>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</si>
  <si>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</si>
  <si>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</si>
  <si>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</si>
  <si>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</si>
  <si>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</si>
  <si>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</si>
  <si>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</si>
  <si>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</si>
  <si>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</si>
  <si>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</si>
  <si>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</si>
  <si>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</si>
  <si>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</si>
  <si>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</si>
  <si>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</si>
  <si>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</si>
  <si>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</si>
  <si>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</si>
  <si>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</si>
  <si>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</si>
  <si>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</si>
  <si>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</si>
  <si>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</si>
  <si>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</si>
  <si>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</si>
  <si>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</si>
  <si>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</si>
  <si>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</si>
  <si>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</si>
  <si>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</si>
  <si>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</si>
  <si>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</si>
  <si>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</si>
  <si>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</si>
  <si>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</si>
  <si>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</si>
  <si>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</si>
  <si>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</si>
  <si>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</si>
  <si>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</si>
  <si>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</si>
  <si>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</si>
  <si>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</si>
  <si>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</si>
  <si>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</si>
  <si>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</si>
  <si>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</si>
  <si>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</si>
  <si>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</si>
  <si>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</si>
  <si>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</si>
  <si>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</si>
  <si>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</si>
  <si>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</si>
  <si>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</si>
  <si>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</si>
  <si>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</si>
  <si>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</si>
  <si>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</si>
  <si>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</si>
  <si>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</si>
  <si>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</si>
  <si>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</si>
  <si>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</si>
  <si>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</si>
  <si>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</si>
  <si>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</si>
  <si>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</si>
  <si>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</si>
  <si>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</si>
  <si>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</si>
  <si>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</si>
  <si>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</si>
  <si>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</si>
  <si>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</si>
  <si>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</si>
  <si>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</si>
  <si>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</si>
  <si>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</si>
  <si>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</si>
  <si>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</si>
  <si>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</si>
  <si>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</si>
  <si>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</si>
  <si>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</si>
  <si>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</si>
  <si>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</si>
  <si>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</si>
  <si>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</si>
  <si>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</si>
  <si>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</si>
  <si>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</si>
  <si>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</si>
  <si>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</si>
  <si>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</si>
  <si>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</si>
  <si>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</si>
  <si>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</si>
  <si>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</si>
  <si>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</si>
  <si>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</si>
  <si>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</si>
  <si>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</si>
  <si>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</si>
  <si>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</si>
  <si>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</si>
  <si>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</si>
  <si>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</si>
  <si>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</si>
  <si>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</si>
  <si>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</si>
  <si>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</si>
  <si>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</si>
  <si>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</si>
  <si>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</si>
  <si>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</si>
  <si>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</si>
  <si>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</si>
  <si>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</si>
  <si>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</si>
  <si>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</si>
  <si>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</si>
  <si>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</si>
  <si>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</si>
  <si>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</si>
  <si>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</si>
  <si>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</si>
  <si>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</si>
  <si>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</si>
  <si>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</si>
  <si>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</si>
  <si>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</si>
  <si>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</si>
  <si>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</si>
  <si>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</si>
  <si>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</si>
  <si>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</si>
  <si>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</si>
  <si>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</si>
  <si>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</si>
  <si>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</si>
  <si>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</si>
  <si>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</si>
  <si>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</si>
  <si>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</si>
  <si>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</si>
  <si>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</si>
  <si>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</si>
  <si>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</si>
  <si>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</si>
  <si>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</si>
  <si>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</si>
  <si>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</si>
  <si>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</si>
  <si>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</si>
  <si>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</si>
  <si>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</si>
  <si>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</si>
  <si>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</si>
  <si>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</si>
  <si>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</si>
  <si>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</si>
  <si>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</si>
  <si>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</si>
  <si>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</si>
  <si>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</si>
  <si>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</si>
  <si>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</si>
  <si>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</si>
  <si>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</si>
  <si>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</si>
  <si>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</si>
  <si>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</si>
  <si>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</si>
  <si>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</si>
  <si>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</si>
  <si>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</si>
  <si>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</si>
  <si>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</si>
  <si>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</si>
  <si>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</si>
  <si>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</si>
  <si>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</si>
  <si>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</si>
  <si>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</si>
  <si>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</si>
  <si>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</si>
  <si>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</si>
  <si>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</si>
  <si>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</si>
  <si>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</si>
  <si>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</si>
  <si>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</si>
  <si>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</si>
  <si>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</si>
  <si>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</si>
  <si>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</si>
  <si>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</si>
  <si>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</si>
  <si>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</si>
  <si>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</si>
  <si>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</si>
  <si>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</si>
  <si>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</si>
  <si>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</si>
  <si>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</si>
  <si>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</si>
  <si>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</si>
  <si>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</si>
  <si>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</si>
  <si>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</si>
  <si>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</si>
  <si>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</si>
  <si>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</si>
  <si>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</si>
  <si>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</si>
  <si>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</si>
  <si>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</si>
  <si>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</si>
  <si>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</si>
  <si>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</si>
  <si>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</si>
  <si>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</si>
  <si>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</si>
  <si>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</si>
  <si>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</si>
  <si>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</si>
  <si>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</si>
  <si>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</si>
  <si>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</si>
  <si>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</si>
  <si>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</si>
  <si>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</si>
  <si>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</si>
  <si>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</si>
  <si>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</si>
  <si>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</si>
  <si>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</si>
  <si>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</si>
  <si>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</si>
  <si>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</si>
  <si>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</si>
  <si>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</si>
  <si>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</si>
  <si>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</si>
  <si>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</si>
  <si>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</si>
  <si>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</si>
  <si>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</si>
  <si>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</si>
  <si>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</si>
  <si>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</si>
  <si>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</si>
  <si>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</si>
  <si>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</si>
  <si>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</si>
  <si>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</si>
  <si>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</si>
  <si>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</si>
  <si>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</si>
  <si>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</si>
  <si>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</si>
  <si>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</si>
  <si>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</si>
  <si>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</si>
  <si>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</si>
  <si>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</si>
  <si>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</si>
  <si>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</si>
  <si>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</si>
  <si>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</si>
  <si>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</si>
  <si>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</si>
  <si>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</si>
  <si>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</si>
  <si>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</si>
  <si>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</si>
  <si>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</si>
  <si>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</si>
  <si>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</si>
  <si>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</si>
  <si>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</si>
  <si>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</si>
  <si>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</si>
  <si>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</si>
  <si>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</si>
  <si>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</si>
  <si>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</si>
  <si>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</si>
  <si>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</si>
  <si>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</si>
  <si>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</si>
  <si>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</si>
  <si>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</si>
  <si>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</si>
  <si>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</si>
  <si>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</si>
  <si>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</si>
  <si>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</si>
  <si>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</si>
  <si>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</si>
  <si>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</si>
  <si>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</si>
  <si>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</si>
  <si>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</si>
  <si>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</si>
  <si>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</si>
  <si>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</si>
  <si>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</si>
  <si>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</si>
  <si>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</si>
  <si>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</si>
  <si>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</si>
  <si>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</si>
  <si>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</si>
  <si>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</si>
  <si>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</si>
  <si>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</si>
  <si>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</si>
  <si>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</si>
  <si>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</si>
  <si>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</si>
  <si>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</si>
  <si>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</si>
  <si>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</si>
  <si>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</si>
  <si>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</si>
  <si>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</si>
  <si>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</si>
  <si>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</si>
  <si>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</si>
  <si>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</si>
  <si>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</si>
  <si>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</si>
  <si>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</si>
  <si>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</si>
  <si>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</si>
  <si>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</si>
  <si>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</si>
  <si>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</si>
  <si>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</si>
  <si>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</si>
  <si>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</si>
  <si>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</si>
  <si>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</si>
  <si>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</si>
  <si>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</si>
  <si>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</si>
  <si>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</si>
  <si>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</si>
  <si>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</si>
  <si>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</si>
  <si>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</si>
  <si>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</si>
  <si>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</si>
  <si>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</si>
  <si>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</si>
  <si>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</si>
  <si>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</si>
  <si>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</si>
  <si>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</si>
  <si>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</si>
  <si>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</si>
  <si>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</si>
  <si>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</si>
  <si>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</si>
  <si>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</si>
  <si>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</si>
  <si>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</si>
  <si>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</si>
  <si>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</si>
  <si>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</si>
  <si>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</si>
  <si>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</si>
  <si>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</si>
  <si>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</si>
  <si>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</si>
  <si>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24137</t>
  </si>
  <si>
    <t>GLABBEEK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</si>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</sst>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56599.473289407411</c:v>
                </c:pt>
                <c:pt idx="1">
                  <c:v>8726.3016160219649</c:v>
                </c:pt>
                <c:pt idx="2">
                  <c:v>452.947</c:v>
                </c:pt>
                <c:pt idx="3">
                  <c:v>13792.082044995961</c:v>
                </c:pt>
                <c:pt idx="4">
                  <c:v>1547.7958144486331</c:v>
                </c:pt>
                <c:pt idx="5">
                  <c:v>47491.347644989663</c:v>
                </c:pt>
                <c:pt idx="6">
                  <c:v>538.55643924669471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56599.473289407411</c:v>
                </c:pt>
                <c:pt idx="1">
                  <c:v>8726.3016160219649</c:v>
                </c:pt>
                <c:pt idx="2">
                  <c:v>452.947</c:v>
                </c:pt>
                <c:pt idx="3">
                  <c:v>13792.082044995961</c:v>
                </c:pt>
                <c:pt idx="4">
                  <c:v>1547.7958144486331</c:v>
                </c:pt>
                <c:pt idx="5">
                  <c:v>47491.347644989663</c:v>
                </c:pt>
                <c:pt idx="6">
                  <c:v>538.55643924669471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12534.517445094047</c:v>
                </c:pt>
                <c:pt idx="1">
                  <c:v>1686.1873261527039</c:v>
                </c:pt>
                <c:pt idx="2">
                  <c:v>82.843244973268526</c:v>
                </c:pt>
                <c:pt idx="3">
                  <c:v>3471.1675960055618</c:v>
                </c:pt>
                <c:pt idx="4">
                  <c:v>286.31502709660191</c:v>
                </c:pt>
                <c:pt idx="5">
                  <c:v>11891.711162548316</c:v>
                </c:pt>
                <c:pt idx="6">
                  <c:v>136.06658776988323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12534.517445094047</c:v>
                </c:pt>
                <c:pt idx="1">
                  <c:v>1686.1873261527039</c:v>
                </c:pt>
                <c:pt idx="2">
                  <c:v>82.843244973268526</c:v>
                </c:pt>
                <c:pt idx="3">
                  <c:v>3471.1675960055618</c:v>
                </c:pt>
                <c:pt idx="4">
                  <c:v>286.31502709660191</c:v>
                </c:pt>
                <c:pt idx="5">
                  <c:v>11891.711162548316</c:v>
                </c:pt>
                <c:pt idx="6">
                  <c:v>136.06658776988323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5838.1360380000006</v>
      </c>
      <c r="D10" s="718">
        <f ca="1">tertiair!C16</f>
        <v>0</v>
      </c>
      <c r="E10" s="718">
        <f ca="1">tertiair!D16</f>
        <v>2012.3228532000001</v>
      </c>
      <c r="F10" s="718">
        <f>tertiair!E16</f>
        <v>138.89556905633629</v>
      </c>
      <c r="G10" s="718">
        <f ca="1">tertiair!F16</f>
        <v>985.86159773179816</v>
      </c>
      <c r="H10" s="718">
        <f>tertiair!G16</f>
        <v>0</v>
      </c>
      <c r="I10" s="718">
        <f>tertiair!H16</f>
        <v>0</v>
      </c>
      <c r="J10" s="718">
        <f>tertiair!I16</f>
        <v>0</v>
      </c>
      <c r="K10" s="718">
        <f>tertiair!J16</f>
        <v>4.9309919242680562E-3</v>
      </c>
      <c r="L10" s="718">
        <f>tertiair!K16</f>
        <v>0</v>
      </c>
      <c r="M10" s="718">
        <f ca="1">tertiair!L16</f>
        <v>0</v>
      </c>
      <c r="N10" s="718">
        <f>tertiair!M16</f>
        <v>0</v>
      </c>
      <c r="O10" s="718">
        <f ca="1">tertiair!N16</f>
        <v>202.4642937085726</v>
      </c>
      <c r="P10" s="718">
        <f>tertiair!O16</f>
        <v>1.5633333333333335</v>
      </c>
      <c r="Q10" s="719">
        <f>tertiair!P16</f>
        <v>0</v>
      </c>
      <c r="R10" s="721">
        <f ca="1">SUM(C10:Q10)</f>
        <v>9179.2486160219651</v>
      </c>
      <c r="S10" s="67"/>
    </row>
    <row r="11" spans="1:19" s="474" customFormat="1">
      <c r="A11" s="870" t="s">
        <v>225</v>
      </c>
      <c r="B11" s="875"/>
      <c r="C11" s="718">
        <f>huishoudens!B8</f>
        <v>9281.9599359630847</v>
      </c>
      <c r="D11" s="718">
        <f>huishoudens!C8</f>
        <v>0</v>
      </c>
      <c r="E11" s="718">
        <f>huishoudens!D8</f>
        <v>8145.0997781999995</v>
      </c>
      <c r="F11" s="718">
        <f>huishoudens!E8</f>
        <v>2736.9070021647653</v>
      </c>
      <c r="G11" s="718">
        <f>huishoudens!F8</f>
        <v>30480.868691694734</v>
      </c>
      <c r="H11" s="718">
        <f>huishoudens!G8</f>
        <v>0</v>
      </c>
      <c r="I11" s="718">
        <f>huishoudens!H8</f>
        <v>0</v>
      </c>
      <c r="J11" s="718">
        <f>huishoudens!I8</f>
        <v>0</v>
      </c>
      <c r="K11" s="718">
        <f>huishoudens!J8</f>
        <v>1220.0073130769649</v>
      </c>
      <c r="L11" s="718">
        <f>huishoudens!K8</f>
        <v>0</v>
      </c>
      <c r="M11" s="718">
        <f>huishoudens!L8</f>
        <v>0</v>
      </c>
      <c r="N11" s="718">
        <f>huishoudens!M8</f>
        <v>0</v>
      </c>
      <c r="O11" s="718">
        <f>huishoudens!N8</f>
        <v>4017.8839016411976</v>
      </c>
      <c r="P11" s="718">
        <f>huishoudens!O8</f>
        <v>87.546666666666681</v>
      </c>
      <c r="Q11" s="719">
        <f>huishoudens!P8</f>
        <v>629.20000000000005</v>
      </c>
      <c r="R11" s="721">
        <f>SUM(C11:Q11)</f>
        <v>56599.473289407411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808.14369299999987</v>
      </c>
      <c r="D13" s="718">
        <f>industrie!C18</f>
        <v>0</v>
      </c>
      <c r="E13" s="718">
        <f>industrie!D18</f>
        <v>187.19206000000003</v>
      </c>
      <c r="F13" s="718">
        <f>industrie!E18</f>
        <v>96.616008608296127</v>
      </c>
      <c r="G13" s="718">
        <f>industrie!F18</f>
        <v>294.97072011411751</v>
      </c>
      <c r="H13" s="718">
        <f>industrie!G18</f>
        <v>0</v>
      </c>
      <c r="I13" s="718">
        <f>industrie!H18</f>
        <v>0</v>
      </c>
      <c r="J13" s="718">
        <f>industrie!I18</f>
        <v>0</v>
      </c>
      <c r="K13" s="718">
        <f>industrie!J18</f>
        <v>1.4383203958781999E-2</v>
      </c>
      <c r="L13" s="718">
        <f>industrie!K18</f>
        <v>0</v>
      </c>
      <c r="M13" s="718">
        <f>industrie!L18</f>
        <v>0</v>
      </c>
      <c r="N13" s="718">
        <f>industrie!M18</f>
        <v>0</v>
      </c>
      <c r="O13" s="718">
        <f>industrie!N18</f>
        <v>160.85894952226084</v>
      </c>
      <c r="P13" s="718">
        <f>industrie!O18</f>
        <v>0</v>
      </c>
      <c r="Q13" s="719">
        <f>industrie!P18</f>
        <v>0</v>
      </c>
      <c r="R13" s="721">
        <f>SUM(C13:Q13)</f>
        <v>1547.7958144486331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15928.239666963085</v>
      </c>
      <c r="D15" s="723">
        <f t="shared" ref="D15:Q15" ca="1" si="0">SUM(D9:D14)</f>
        <v>0</v>
      </c>
      <c r="E15" s="723">
        <f t="shared" ca="1" si="0"/>
        <v>10344.614691399998</v>
      </c>
      <c r="F15" s="723">
        <f t="shared" si="0"/>
        <v>2972.4185798293975</v>
      </c>
      <c r="G15" s="723">
        <f t="shared" ca="1" si="0"/>
        <v>31761.701009540648</v>
      </c>
      <c r="H15" s="723">
        <f t="shared" si="0"/>
        <v>0</v>
      </c>
      <c r="I15" s="723">
        <f t="shared" si="0"/>
        <v>0</v>
      </c>
      <c r="J15" s="723">
        <f t="shared" si="0"/>
        <v>0</v>
      </c>
      <c r="K15" s="723">
        <f t="shared" si="0"/>
        <v>1220.0266272728479</v>
      </c>
      <c r="L15" s="723">
        <f t="shared" si="0"/>
        <v>0</v>
      </c>
      <c r="M15" s="723">
        <f t="shared" ca="1" si="0"/>
        <v>0</v>
      </c>
      <c r="N15" s="723">
        <f t="shared" si="0"/>
        <v>0</v>
      </c>
      <c r="O15" s="723">
        <f t="shared" ca="1" si="0"/>
        <v>4381.2071448720308</v>
      </c>
      <c r="P15" s="723">
        <f t="shared" si="0"/>
        <v>89.110000000000014</v>
      </c>
      <c r="Q15" s="724">
        <f t="shared" si="0"/>
        <v>629.20000000000005</v>
      </c>
      <c r="R15" s="725">
        <f ca="1">SUM(R9:R14)</f>
        <v>67326.517719878015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509.61268827671614</v>
      </c>
      <c r="I18" s="718">
        <f>transport!H54</f>
        <v>0</v>
      </c>
      <c r="J18" s="718">
        <f>transport!I54</f>
        <v>0</v>
      </c>
      <c r="K18" s="718">
        <f>transport!J54</f>
        <v>0</v>
      </c>
      <c r="L18" s="718">
        <f>transport!K54</f>
        <v>0</v>
      </c>
      <c r="M18" s="718">
        <f>transport!L54</f>
        <v>0</v>
      </c>
      <c r="N18" s="718">
        <f>transport!M54</f>
        <v>28.943750969978534</v>
      </c>
      <c r="O18" s="718">
        <f>transport!N54</f>
        <v>0</v>
      </c>
      <c r="P18" s="718">
        <f>transport!O54</f>
        <v>0</v>
      </c>
      <c r="Q18" s="719">
        <f>transport!P54</f>
        <v>0</v>
      </c>
      <c r="R18" s="721">
        <f>SUM(C18:Q18)</f>
        <v>538.55643924669471</v>
      </c>
      <c r="S18" s="67"/>
    </row>
    <row r="19" spans="1:19" s="474" customFormat="1" ht="15" thickBot="1">
      <c r="A19" s="870" t="s">
        <v>307</v>
      </c>
      <c r="B19" s="875"/>
      <c r="C19" s="727">
        <f>transport!B14</f>
        <v>18.10201757848413</v>
      </c>
      <c r="D19" s="727">
        <f>transport!C14</f>
        <v>0</v>
      </c>
      <c r="E19" s="727">
        <f>transport!D14</f>
        <v>67.590663288613428</v>
      </c>
      <c r="F19" s="727">
        <f>transport!E14</f>
        <v>89.271662118312733</v>
      </c>
      <c r="G19" s="727">
        <f>transport!F14</f>
        <v>0</v>
      </c>
      <c r="H19" s="727">
        <f>transport!G14</f>
        <v>37317.378129914723</v>
      </c>
      <c r="I19" s="727">
        <f>transport!H14</f>
        <v>7593.3429397077552</v>
      </c>
      <c r="J19" s="727">
        <f>transport!I14</f>
        <v>0</v>
      </c>
      <c r="K19" s="727">
        <f>transport!J14</f>
        <v>0</v>
      </c>
      <c r="L19" s="727">
        <f>transport!K14</f>
        <v>0</v>
      </c>
      <c r="M19" s="727">
        <f>transport!L14</f>
        <v>0</v>
      </c>
      <c r="N19" s="727">
        <f>transport!M14</f>
        <v>2405.6622323817751</v>
      </c>
      <c r="O19" s="727">
        <f>transport!N14</f>
        <v>0</v>
      </c>
      <c r="P19" s="727">
        <f>transport!O14</f>
        <v>0</v>
      </c>
      <c r="Q19" s="728">
        <f>transport!P14</f>
        <v>0</v>
      </c>
      <c r="R19" s="729">
        <f>SUM(C19:Q19)</f>
        <v>47491.347644989663</v>
      </c>
      <c r="S19" s="67"/>
    </row>
    <row r="20" spans="1:19" s="474" customFormat="1" ht="15.75" thickBot="1">
      <c r="A20" s="730" t="s">
        <v>230</v>
      </c>
      <c r="B20" s="878"/>
      <c r="C20" s="873">
        <f>SUM(C17:C19)</f>
        <v>18.10201757848413</v>
      </c>
      <c r="D20" s="731">
        <f t="shared" ref="D20:R20" si="1">SUM(D17:D19)</f>
        <v>0</v>
      </c>
      <c r="E20" s="731">
        <f t="shared" si="1"/>
        <v>67.590663288613428</v>
      </c>
      <c r="F20" s="731">
        <f t="shared" si="1"/>
        <v>89.271662118312733</v>
      </c>
      <c r="G20" s="731">
        <f t="shared" si="1"/>
        <v>0</v>
      </c>
      <c r="H20" s="731">
        <f t="shared" si="1"/>
        <v>37826.990818191436</v>
      </c>
      <c r="I20" s="731">
        <f t="shared" si="1"/>
        <v>7593.3429397077552</v>
      </c>
      <c r="J20" s="731">
        <f t="shared" si="1"/>
        <v>0</v>
      </c>
      <c r="K20" s="731">
        <f t="shared" si="1"/>
        <v>0</v>
      </c>
      <c r="L20" s="731">
        <f t="shared" si="1"/>
        <v>0</v>
      </c>
      <c r="M20" s="731">
        <f t="shared" si="1"/>
        <v>0</v>
      </c>
      <c r="N20" s="731">
        <f t="shared" si="1"/>
        <v>2434.6059833517538</v>
      </c>
      <c r="O20" s="731">
        <f t="shared" si="1"/>
        <v>0</v>
      </c>
      <c r="P20" s="731">
        <f t="shared" si="1"/>
        <v>0</v>
      </c>
      <c r="Q20" s="732">
        <f t="shared" si="1"/>
        <v>0</v>
      </c>
      <c r="R20" s="733">
        <f t="shared" si="1"/>
        <v>48029.904084236354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2496.5897999999997</v>
      </c>
      <c r="D22" s="727">
        <f>+landbouw!C8</f>
        <v>0</v>
      </c>
      <c r="E22" s="727">
        <f>+landbouw!D8</f>
        <v>459.74939999999998</v>
      </c>
      <c r="F22" s="727">
        <f>+landbouw!E8</f>
        <v>73.382399687391853</v>
      </c>
      <c r="G22" s="727">
        <f>+landbouw!F8</f>
        <v>10400.658198168247</v>
      </c>
      <c r="H22" s="727">
        <f>+landbouw!G8</f>
        <v>0</v>
      </c>
      <c r="I22" s="727">
        <f>+landbouw!H8</f>
        <v>0</v>
      </c>
      <c r="J22" s="727">
        <f>+landbouw!I8</f>
        <v>0</v>
      </c>
      <c r="K22" s="727">
        <f>+landbouw!J8</f>
        <v>361.70224714032156</v>
      </c>
      <c r="L22" s="727">
        <f>+landbouw!K8</f>
        <v>0</v>
      </c>
      <c r="M22" s="727">
        <f>+landbouw!L8</f>
        <v>0</v>
      </c>
      <c r="N22" s="727">
        <f>+landbouw!M8</f>
        <v>0</v>
      </c>
      <c r="O22" s="727">
        <f>+landbouw!N8</f>
        <v>0</v>
      </c>
      <c r="P22" s="727">
        <f>+landbouw!O8</f>
        <v>0</v>
      </c>
      <c r="Q22" s="728">
        <f>+landbouw!P8</f>
        <v>0</v>
      </c>
      <c r="R22" s="729">
        <f>SUM(C22:Q22)</f>
        <v>13792.082044995961</v>
      </c>
      <c r="S22" s="67"/>
    </row>
    <row r="23" spans="1:19" s="474" customFormat="1" ht="17.25" thickTop="1" thickBot="1">
      <c r="A23" s="734" t="s">
        <v>116</v>
      </c>
      <c r="B23" s="864"/>
      <c r="C23" s="735">
        <f ca="1">C20+C15+C22</f>
        <v>18442.931484541568</v>
      </c>
      <c r="D23" s="735">
        <f t="shared" ref="D23:Q23" ca="1" si="2">D20+D15+D22</f>
        <v>0</v>
      </c>
      <c r="E23" s="735">
        <f t="shared" ca="1" si="2"/>
        <v>10871.954754688612</v>
      </c>
      <c r="F23" s="735">
        <f t="shared" si="2"/>
        <v>3135.0726416351017</v>
      </c>
      <c r="G23" s="735">
        <f t="shared" ca="1" si="2"/>
        <v>42162.359207708898</v>
      </c>
      <c r="H23" s="735">
        <f t="shared" si="2"/>
        <v>37826.990818191436</v>
      </c>
      <c r="I23" s="735">
        <f t="shared" si="2"/>
        <v>7593.3429397077552</v>
      </c>
      <c r="J23" s="735">
        <f t="shared" si="2"/>
        <v>0</v>
      </c>
      <c r="K23" s="735">
        <f t="shared" si="2"/>
        <v>1581.7288744131695</v>
      </c>
      <c r="L23" s="735">
        <f t="shared" si="2"/>
        <v>0</v>
      </c>
      <c r="M23" s="735">
        <f t="shared" ca="1" si="2"/>
        <v>0</v>
      </c>
      <c r="N23" s="735">
        <f t="shared" si="2"/>
        <v>2434.6059833517538</v>
      </c>
      <c r="O23" s="735">
        <f t="shared" ca="1" si="2"/>
        <v>4381.2071448720308</v>
      </c>
      <c r="P23" s="735">
        <f t="shared" si="2"/>
        <v>89.110000000000014</v>
      </c>
      <c r="Q23" s="736">
        <f t="shared" si="2"/>
        <v>629.20000000000005</v>
      </c>
      <c r="R23" s="737">
        <f ca="1">R20+R15+R22</f>
        <v>129148.50384911032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1067.7852684382528</v>
      </c>
      <c r="D36" s="718">
        <f ca="1">tertiair!C20</f>
        <v>0</v>
      </c>
      <c r="E36" s="718">
        <f ca="1">tertiair!D20</f>
        <v>406.48921634640004</v>
      </c>
      <c r="F36" s="718">
        <f>tertiair!E20</f>
        <v>31.529294175788337</v>
      </c>
      <c r="G36" s="718">
        <f ca="1">tertiair!F20</f>
        <v>263.22504659439011</v>
      </c>
      <c r="H36" s="718">
        <f>tertiair!G20</f>
        <v>0</v>
      </c>
      <c r="I36" s="718">
        <f>tertiair!H20</f>
        <v>0</v>
      </c>
      <c r="J36" s="718">
        <f>tertiair!I20</f>
        <v>0</v>
      </c>
      <c r="K36" s="718">
        <f>tertiair!J20</f>
        <v>1.7455711411908919E-3</v>
      </c>
      <c r="L36" s="718">
        <f>tertiair!K20</f>
        <v>0</v>
      </c>
      <c r="M36" s="718">
        <f ca="1">tertiair!L20</f>
        <v>0</v>
      </c>
      <c r="N36" s="718">
        <f>tertiair!M20</f>
        <v>0</v>
      </c>
      <c r="O36" s="718">
        <f ca="1">tertiair!N20</f>
        <v>0</v>
      </c>
      <c r="P36" s="718">
        <f>tertiair!O20</f>
        <v>0</v>
      </c>
      <c r="Q36" s="828">
        <f>tertiair!P20</f>
        <v>0</v>
      </c>
      <c r="R36" s="917">
        <f ca="1">SUM(C36:Q36)</f>
        <v>1769.0305711259725</v>
      </c>
    </row>
    <row r="37" spans="1:18">
      <c r="A37" s="885" t="s">
        <v>225</v>
      </c>
      <c r="B37" s="892"/>
      <c r="C37" s="718">
        <f ca="1">huishoudens!B12</f>
        <v>1697.6548708945056</v>
      </c>
      <c r="D37" s="718">
        <f ca="1">huishoudens!C12</f>
        <v>0</v>
      </c>
      <c r="E37" s="718">
        <f>huishoudens!D12</f>
        <v>1645.3101551964</v>
      </c>
      <c r="F37" s="718">
        <f>huishoudens!E12</f>
        <v>621.27788949140177</v>
      </c>
      <c r="G37" s="718">
        <f>huishoudens!F12</f>
        <v>8138.3919406824944</v>
      </c>
      <c r="H37" s="718">
        <f>huishoudens!G12</f>
        <v>0</v>
      </c>
      <c r="I37" s="718">
        <f>huishoudens!H12</f>
        <v>0</v>
      </c>
      <c r="J37" s="718">
        <f>huishoudens!I12</f>
        <v>0</v>
      </c>
      <c r="K37" s="718">
        <f>huishoudens!J12</f>
        <v>431.88258882924555</v>
      </c>
      <c r="L37" s="718">
        <f>huishoudens!K12</f>
        <v>0</v>
      </c>
      <c r="M37" s="718">
        <f>huishoudens!L12</f>
        <v>0</v>
      </c>
      <c r="N37" s="718">
        <f>huishoudens!M12</f>
        <v>0</v>
      </c>
      <c r="O37" s="718">
        <f>huishoudens!N12</f>
        <v>0</v>
      </c>
      <c r="P37" s="718">
        <f>huishoudens!O12</f>
        <v>0</v>
      </c>
      <c r="Q37" s="828">
        <f>huishoudens!P12</f>
        <v>0</v>
      </c>
      <c r="R37" s="917">
        <f ca="1">SUM(C37:Q37)</f>
        <v>12534.517445094047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147.80812309784787</v>
      </c>
      <c r="D39" s="718">
        <f ca="1">industrie!C22</f>
        <v>0</v>
      </c>
      <c r="E39" s="718">
        <f>industrie!D22</f>
        <v>37.812796120000009</v>
      </c>
      <c r="F39" s="718">
        <f>industrie!E22</f>
        <v>21.931833954083221</v>
      </c>
      <c r="G39" s="718">
        <f>industrie!F22</f>
        <v>78.757182270469386</v>
      </c>
      <c r="H39" s="718">
        <f>industrie!G22</f>
        <v>0</v>
      </c>
      <c r="I39" s="718">
        <f>industrie!H22</f>
        <v>0</v>
      </c>
      <c r="J39" s="718">
        <f>industrie!I22</f>
        <v>0</v>
      </c>
      <c r="K39" s="718">
        <f>industrie!J22</f>
        <v>5.0916542014088273E-3</v>
      </c>
      <c r="L39" s="718">
        <f>industrie!K22</f>
        <v>0</v>
      </c>
      <c r="M39" s="718">
        <f>industrie!L22</f>
        <v>0</v>
      </c>
      <c r="N39" s="718">
        <f>industrie!M22</f>
        <v>0</v>
      </c>
      <c r="O39" s="718">
        <f>industrie!N22</f>
        <v>0</v>
      </c>
      <c r="P39" s="718">
        <f>industrie!O22</f>
        <v>0</v>
      </c>
      <c r="Q39" s="828">
        <f>industrie!P22</f>
        <v>0</v>
      </c>
      <c r="R39" s="918">
        <f ca="1">SUM(C39:Q39)</f>
        <v>286.31502709660191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2913.2482624306062</v>
      </c>
      <c r="D41" s="763">
        <f t="shared" ref="D41:R41" ca="1" si="4">SUM(D35:D40)</f>
        <v>0</v>
      </c>
      <c r="E41" s="763">
        <f t="shared" ca="1" si="4"/>
        <v>2089.6121676627999</v>
      </c>
      <c r="F41" s="763">
        <f t="shared" si="4"/>
        <v>674.73901762127332</v>
      </c>
      <c r="G41" s="763">
        <f t="shared" ca="1" si="4"/>
        <v>8480.3741695473527</v>
      </c>
      <c r="H41" s="763">
        <f t="shared" si="4"/>
        <v>0</v>
      </c>
      <c r="I41" s="763">
        <f t="shared" si="4"/>
        <v>0</v>
      </c>
      <c r="J41" s="763">
        <f t="shared" si="4"/>
        <v>0</v>
      </c>
      <c r="K41" s="763">
        <f t="shared" si="4"/>
        <v>431.88942605458817</v>
      </c>
      <c r="L41" s="763">
        <f t="shared" si="4"/>
        <v>0</v>
      </c>
      <c r="M41" s="763">
        <f t="shared" ca="1" si="4"/>
        <v>0</v>
      </c>
      <c r="N41" s="763">
        <f t="shared" si="4"/>
        <v>0</v>
      </c>
      <c r="O41" s="763">
        <f t="shared" ca="1" si="4"/>
        <v>0</v>
      </c>
      <c r="P41" s="763">
        <f t="shared" si="4"/>
        <v>0</v>
      </c>
      <c r="Q41" s="764">
        <f t="shared" si="4"/>
        <v>0</v>
      </c>
      <c r="R41" s="765">
        <f t="shared" ca="1" si="4"/>
        <v>14589.86304331662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136.06658776988323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136.06658776988323</v>
      </c>
    </row>
    <row r="45" spans="1:18" ht="15" thickBot="1">
      <c r="A45" s="888" t="s">
        <v>307</v>
      </c>
      <c r="B45" s="898"/>
      <c r="C45" s="727">
        <f ca="1">transport!B18</f>
        <v>3.310828588697516</v>
      </c>
      <c r="D45" s="727">
        <f>transport!C18</f>
        <v>0</v>
      </c>
      <c r="E45" s="727">
        <f>transport!D18</f>
        <v>13.653313984299913</v>
      </c>
      <c r="F45" s="727">
        <f>transport!E18</f>
        <v>20.264667300856992</v>
      </c>
      <c r="G45" s="727">
        <f>transport!F18</f>
        <v>0</v>
      </c>
      <c r="H45" s="727">
        <f>transport!G18</f>
        <v>9963.7399606872314</v>
      </c>
      <c r="I45" s="727">
        <f>transport!H18</f>
        <v>1890.742391987231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11891.711162548316</v>
      </c>
    </row>
    <row r="46" spans="1:18" ht="15.75" thickBot="1">
      <c r="A46" s="886" t="s">
        <v>230</v>
      </c>
      <c r="B46" s="899"/>
      <c r="C46" s="763">
        <f t="shared" ref="C46:R46" ca="1" si="5">SUM(C43:C45)</f>
        <v>3.310828588697516</v>
      </c>
      <c r="D46" s="763">
        <f t="shared" ca="1" si="5"/>
        <v>0</v>
      </c>
      <c r="E46" s="763">
        <f t="shared" si="5"/>
        <v>13.653313984299913</v>
      </c>
      <c r="F46" s="763">
        <f t="shared" si="5"/>
        <v>20.264667300856992</v>
      </c>
      <c r="G46" s="763">
        <f t="shared" si="5"/>
        <v>0</v>
      </c>
      <c r="H46" s="763">
        <f t="shared" si="5"/>
        <v>10099.806548457114</v>
      </c>
      <c r="I46" s="763">
        <f t="shared" si="5"/>
        <v>1890.742391987231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12027.777750318199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456.62207807792839</v>
      </c>
      <c r="D48" s="718">
        <f ca="1">+landbouw!C12</f>
        <v>0</v>
      </c>
      <c r="E48" s="718">
        <f>+landbouw!D12</f>
        <v>92.869378800000007</v>
      </c>
      <c r="F48" s="718">
        <f>+landbouw!E12</f>
        <v>16.657804729037952</v>
      </c>
      <c r="G48" s="718">
        <f>+landbouw!F12</f>
        <v>2776.9757389109218</v>
      </c>
      <c r="H48" s="718">
        <f>+landbouw!G12</f>
        <v>0</v>
      </c>
      <c r="I48" s="718">
        <f>+landbouw!H12</f>
        <v>0</v>
      </c>
      <c r="J48" s="718">
        <f>+landbouw!I12</f>
        <v>0</v>
      </c>
      <c r="K48" s="718">
        <f>+landbouw!J12</f>
        <v>128.04259548767382</v>
      </c>
      <c r="L48" s="718">
        <f>+landbouw!K12</f>
        <v>0</v>
      </c>
      <c r="M48" s="718">
        <f>+landbouw!L12</f>
        <v>0</v>
      </c>
      <c r="N48" s="718">
        <f>+landbouw!M12</f>
        <v>0</v>
      </c>
      <c r="O48" s="718">
        <f>+landbouw!N12</f>
        <v>0</v>
      </c>
      <c r="P48" s="718">
        <f>+landbouw!O12</f>
        <v>0</v>
      </c>
      <c r="Q48" s="719">
        <f>+landbouw!P12</f>
        <v>0</v>
      </c>
      <c r="R48" s="761">
        <f ca="1">SUM(C48:Q48)</f>
        <v>3471.1675960055618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3373.1811690972322</v>
      </c>
      <c r="D53" s="773">
        <f t="shared" ref="D53:Q53" ca="1" si="6">D41+D46+D48</f>
        <v>0</v>
      </c>
      <c r="E53" s="773">
        <f t="shared" ca="1" si="6"/>
        <v>2196.1348604471</v>
      </c>
      <c r="F53" s="773">
        <f t="shared" si="6"/>
        <v>711.66148965116827</v>
      </c>
      <c r="G53" s="773">
        <f t="shared" ca="1" si="6"/>
        <v>11257.349908458275</v>
      </c>
      <c r="H53" s="773">
        <f t="shared" si="6"/>
        <v>10099.806548457114</v>
      </c>
      <c r="I53" s="773">
        <f t="shared" si="6"/>
        <v>1890.742391987231</v>
      </c>
      <c r="J53" s="773">
        <f t="shared" si="6"/>
        <v>0</v>
      </c>
      <c r="K53" s="773">
        <f t="shared" si="6"/>
        <v>559.93202154226196</v>
      </c>
      <c r="L53" s="773">
        <f t="shared" si="6"/>
        <v>0</v>
      </c>
      <c r="M53" s="773">
        <f t="shared" ca="1" si="6"/>
        <v>0</v>
      </c>
      <c r="N53" s="773">
        <f t="shared" si="6"/>
        <v>0</v>
      </c>
      <c r="O53" s="773">
        <f t="shared" ca="1" si="6"/>
        <v>0</v>
      </c>
      <c r="P53" s="773">
        <f>P41+P46+P48</f>
        <v>0</v>
      </c>
      <c r="Q53" s="774">
        <f t="shared" si="6"/>
        <v>0</v>
      </c>
      <c r="R53" s="775">
        <f ca="1">R41+R46+R48</f>
        <v>30088.80838964038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0.18289831917038532</v>
      </c>
      <c r="D55" s="836">
        <f t="shared" ca="1" si="7"/>
        <v>0</v>
      </c>
      <c r="E55" s="836">
        <f t="shared" ca="1" si="7"/>
        <v>0.20200000000000004</v>
      </c>
      <c r="F55" s="836">
        <f t="shared" si="7"/>
        <v>0.22700000000000006</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3179.6682759568057</v>
      </c>
      <c r="C66" s="795">
        <f>'lokale energieproductie'!B6</f>
        <v>3179.6682759568057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3179.6682759568057</v>
      </c>
      <c r="C69" s="803">
        <f>SUM(C64:C68)</f>
        <v>3179.6682759568057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9281.9599359630847</v>
      </c>
      <c r="C4" s="478">
        <f>huishoudens!C8</f>
        <v>0</v>
      </c>
      <c r="D4" s="478">
        <f>huishoudens!D8</f>
        <v>8145.0997781999995</v>
      </c>
      <c r="E4" s="478">
        <f>huishoudens!E8</f>
        <v>2736.9070021647653</v>
      </c>
      <c r="F4" s="478">
        <f>huishoudens!F8</f>
        <v>30480.868691694734</v>
      </c>
      <c r="G4" s="478">
        <f>huishoudens!G8</f>
        <v>0</v>
      </c>
      <c r="H4" s="478">
        <f>huishoudens!H8</f>
        <v>0</v>
      </c>
      <c r="I4" s="478">
        <f>huishoudens!I8</f>
        <v>0</v>
      </c>
      <c r="J4" s="478">
        <f>huishoudens!J8</f>
        <v>1220.0073130769649</v>
      </c>
      <c r="K4" s="478">
        <f>huishoudens!K8</f>
        <v>0</v>
      </c>
      <c r="L4" s="478">
        <f>huishoudens!L8</f>
        <v>0</v>
      </c>
      <c r="M4" s="478">
        <f>huishoudens!M8</f>
        <v>0</v>
      </c>
      <c r="N4" s="478">
        <f>huishoudens!N8</f>
        <v>4017.8839016411976</v>
      </c>
      <c r="O4" s="478">
        <f>huishoudens!O8</f>
        <v>87.546666666666681</v>
      </c>
      <c r="P4" s="479">
        <f>huishoudens!P8</f>
        <v>629.20000000000005</v>
      </c>
      <c r="Q4" s="480">
        <f>SUM(B4:P4)</f>
        <v>56599.473289407411</v>
      </c>
    </row>
    <row r="5" spans="1:17">
      <c r="A5" s="477" t="s">
        <v>156</v>
      </c>
      <c r="B5" s="478">
        <f ca="1">tertiair!B16</f>
        <v>5385.1890380000004</v>
      </c>
      <c r="C5" s="478">
        <f ca="1">tertiair!C16</f>
        <v>0</v>
      </c>
      <c r="D5" s="478">
        <f ca="1">tertiair!D16</f>
        <v>2012.3228532000001</v>
      </c>
      <c r="E5" s="478">
        <f>tertiair!E16</f>
        <v>138.89556905633629</v>
      </c>
      <c r="F5" s="478">
        <f ca="1">tertiair!F16</f>
        <v>985.86159773179816</v>
      </c>
      <c r="G5" s="478">
        <f>tertiair!G16</f>
        <v>0</v>
      </c>
      <c r="H5" s="478">
        <f>tertiair!H16</f>
        <v>0</v>
      </c>
      <c r="I5" s="478">
        <f>tertiair!I16</f>
        <v>0</v>
      </c>
      <c r="J5" s="478">
        <f>tertiair!J16</f>
        <v>4.9309919242680562E-3</v>
      </c>
      <c r="K5" s="478">
        <f>tertiair!K16</f>
        <v>0</v>
      </c>
      <c r="L5" s="478">
        <f ca="1">tertiair!L16</f>
        <v>0</v>
      </c>
      <c r="M5" s="478">
        <f>tertiair!M16</f>
        <v>0</v>
      </c>
      <c r="N5" s="478">
        <f ca="1">tertiair!N16</f>
        <v>202.4642937085726</v>
      </c>
      <c r="O5" s="478">
        <f>tertiair!O16</f>
        <v>1.5633333333333335</v>
      </c>
      <c r="P5" s="479">
        <f>tertiair!P16</f>
        <v>0</v>
      </c>
      <c r="Q5" s="477">
        <f t="shared" ref="Q5:Q13" ca="1" si="0">SUM(B5:P5)</f>
        <v>8726.3016160219649</v>
      </c>
    </row>
    <row r="6" spans="1:17">
      <c r="A6" s="477" t="s">
        <v>194</v>
      </c>
      <c r="B6" s="478">
        <f>'openbare verlichting'!B8</f>
        <v>452.947</v>
      </c>
      <c r="C6" s="478"/>
      <c r="D6" s="478"/>
      <c r="E6" s="478"/>
      <c r="F6" s="478"/>
      <c r="G6" s="478"/>
      <c r="H6" s="478"/>
      <c r="I6" s="478"/>
      <c r="J6" s="478"/>
      <c r="K6" s="478"/>
      <c r="L6" s="478"/>
      <c r="M6" s="478"/>
      <c r="N6" s="478"/>
      <c r="O6" s="478"/>
      <c r="P6" s="479"/>
      <c r="Q6" s="477">
        <f t="shared" si="0"/>
        <v>452.947</v>
      </c>
    </row>
    <row r="7" spans="1:17">
      <c r="A7" s="477" t="s">
        <v>112</v>
      </c>
      <c r="B7" s="478">
        <f>landbouw!B8</f>
        <v>2496.5897999999997</v>
      </c>
      <c r="C7" s="478">
        <f>landbouw!C8</f>
        <v>0</v>
      </c>
      <c r="D7" s="478">
        <f>landbouw!D8</f>
        <v>459.74939999999998</v>
      </c>
      <c r="E7" s="478">
        <f>landbouw!E8</f>
        <v>73.382399687391853</v>
      </c>
      <c r="F7" s="478">
        <f>landbouw!F8</f>
        <v>10400.658198168247</v>
      </c>
      <c r="G7" s="478">
        <f>landbouw!G8</f>
        <v>0</v>
      </c>
      <c r="H7" s="478">
        <f>landbouw!H8</f>
        <v>0</v>
      </c>
      <c r="I7" s="478">
        <f>landbouw!I8</f>
        <v>0</v>
      </c>
      <c r="J7" s="478">
        <f>landbouw!J8</f>
        <v>361.70224714032156</v>
      </c>
      <c r="K7" s="478">
        <f>landbouw!K8</f>
        <v>0</v>
      </c>
      <c r="L7" s="478">
        <f>landbouw!L8</f>
        <v>0</v>
      </c>
      <c r="M7" s="478">
        <f>landbouw!M8</f>
        <v>0</v>
      </c>
      <c r="N7" s="478">
        <f>landbouw!N8</f>
        <v>0</v>
      </c>
      <c r="O7" s="478">
        <f>landbouw!O8</f>
        <v>0</v>
      </c>
      <c r="P7" s="479">
        <f>landbouw!P8</f>
        <v>0</v>
      </c>
      <c r="Q7" s="477">
        <f t="shared" si="0"/>
        <v>13792.082044995961</v>
      </c>
    </row>
    <row r="8" spans="1:17">
      <c r="A8" s="477" t="s">
        <v>635</v>
      </c>
      <c r="B8" s="478">
        <f>industrie!B18</f>
        <v>808.14369299999987</v>
      </c>
      <c r="C8" s="478">
        <f>industrie!C18</f>
        <v>0</v>
      </c>
      <c r="D8" s="478">
        <f>industrie!D18</f>
        <v>187.19206000000003</v>
      </c>
      <c r="E8" s="478">
        <f>industrie!E18</f>
        <v>96.616008608296127</v>
      </c>
      <c r="F8" s="478">
        <f>industrie!F18</f>
        <v>294.97072011411751</v>
      </c>
      <c r="G8" s="478">
        <f>industrie!G18</f>
        <v>0</v>
      </c>
      <c r="H8" s="478">
        <f>industrie!H18</f>
        <v>0</v>
      </c>
      <c r="I8" s="478">
        <f>industrie!I18</f>
        <v>0</v>
      </c>
      <c r="J8" s="478">
        <f>industrie!J18</f>
        <v>1.4383203958781999E-2</v>
      </c>
      <c r="K8" s="478">
        <f>industrie!K18</f>
        <v>0</v>
      </c>
      <c r="L8" s="478">
        <f>industrie!L18</f>
        <v>0</v>
      </c>
      <c r="M8" s="478">
        <f>industrie!M18</f>
        <v>0</v>
      </c>
      <c r="N8" s="478">
        <f>industrie!N18</f>
        <v>160.85894952226084</v>
      </c>
      <c r="O8" s="478">
        <f>industrie!O18</f>
        <v>0</v>
      </c>
      <c r="P8" s="479">
        <f>industrie!P18</f>
        <v>0</v>
      </c>
      <c r="Q8" s="477">
        <f t="shared" si="0"/>
        <v>1547.7958144486331</v>
      </c>
    </row>
    <row r="9" spans="1:17" s="483" customFormat="1">
      <c r="A9" s="481" t="s">
        <v>561</v>
      </c>
      <c r="B9" s="482">
        <f>transport!B14</f>
        <v>18.10201757848413</v>
      </c>
      <c r="C9" s="482"/>
      <c r="D9" s="482">
        <f>transport!D14</f>
        <v>67.590663288613428</v>
      </c>
      <c r="E9" s="482">
        <f>transport!E14</f>
        <v>89.271662118312733</v>
      </c>
      <c r="F9" s="482"/>
      <c r="G9" s="482">
        <f>transport!G14</f>
        <v>37317.378129914723</v>
      </c>
      <c r="H9" s="482">
        <f>transport!H14</f>
        <v>7593.3429397077552</v>
      </c>
      <c r="I9" s="482"/>
      <c r="J9" s="482"/>
      <c r="K9" s="482"/>
      <c r="L9" s="482"/>
      <c r="M9" s="482">
        <f>transport!M14</f>
        <v>2405.6622323817751</v>
      </c>
      <c r="N9" s="482"/>
      <c r="O9" s="482"/>
      <c r="P9" s="482"/>
      <c r="Q9" s="481">
        <f>SUM(B9:P9)</f>
        <v>47491.347644989663</v>
      </c>
    </row>
    <row r="10" spans="1:17">
      <c r="A10" s="477" t="s">
        <v>551</v>
      </c>
      <c r="B10" s="478">
        <f>transport!B54</f>
        <v>0</v>
      </c>
      <c r="C10" s="478"/>
      <c r="D10" s="478">
        <f>transport!D54</f>
        <v>0</v>
      </c>
      <c r="E10" s="478"/>
      <c r="F10" s="478"/>
      <c r="G10" s="478">
        <f>transport!G54</f>
        <v>509.61268827671614</v>
      </c>
      <c r="H10" s="478"/>
      <c r="I10" s="478"/>
      <c r="J10" s="478"/>
      <c r="K10" s="478"/>
      <c r="L10" s="478"/>
      <c r="M10" s="478">
        <f>transport!M54</f>
        <v>28.943750969978534</v>
      </c>
      <c r="N10" s="478"/>
      <c r="O10" s="478"/>
      <c r="P10" s="479"/>
      <c r="Q10" s="477">
        <f t="shared" si="0"/>
        <v>538.55643924669471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18442.931484541568</v>
      </c>
      <c r="C14" s="488">
        <f t="shared" ref="C14:Q14" ca="1" si="1">SUM(C4:C13)</f>
        <v>0</v>
      </c>
      <c r="D14" s="488">
        <f t="shared" ca="1" si="1"/>
        <v>10871.954754688612</v>
      </c>
      <c r="E14" s="488">
        <f t="shared" si="1"/>
        <v>3135.0726416351022</v>
      </c>
      <c r="F14" s="488">
        <f t="shared" ca="1" si="1"/>
        <v>42162.359207708898</v>
      </c>
      <c r="G14" s="488">
        <f t="shared" si="1"/>
        <v>37826.990818191436</v>
      </c>
      <c r="H14" s="488">
        <f t="shared" si="1"/>
        <v>7593.3429397077552</v>
      </c>
      <c r="I14" s="488">
        <f t="shared" si="1"/>
        <v>0</v>
      </c>
      <c r="J14" s="488">
        <f t="shared" si="1"/>
        <v>1581.7288744131695</v>
      </c>
      <c r="K14" s="488">
        <f t="shared" si="1"/>
        <v>0</v>
      </c>
      <c r="L14" s="488">
        <f t="shared" ca="1" si="1"/>
        <v>0</v>
      </c>
      <c r="M14" s="488">
        <f t="shared" si="1"/>
        <v>2434.6059833517538</v>
      </c>
      <c r="N14" s="488">
        <f t="shared" ca="1" si="1"/>
        <v>4381.2071448720308</v>
      </c>
      <c r="O14" s="488">
        <f t="shared" si="1"/>
        <v>89.110000000000014</v>
      </c>
      <c r="P14" s="489">
        <f t="shared" si="1"/>
        <v>629.20000000000005</v>
      </c>
      <c r="Q14" s="489">
        <f t="shared" ca="1" si="1"/>
        <v>129148.5038491103</v>
      </c>
    </row>
    <row r="16" spans="1:17">
      <c r="A16" s="491" t="s">
        <v>556</v>
      </c>
      <c r="B16" s="841">
        <f ca="1">huishoudens!B10</f>
        <v>0.18289831917038532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1697.6548708945056</v>
      </c>
      <c r="C21" s="478">
        <f t="shared" ref="C21:C28" ca="1" si="3">C4*$C$16</f>
        <v>0</v>
      </c>
      <c r="D21" s="478">
        <f t="shared" ref="D21:D30" si="4">D4*$D$16</f>
        <v>1645.3101551964</v>
      </c>
      <c r="E21" s="478">
        <f t="shared" ref="E21:E30" si="5">E4*$E$16</f>
        <v>621.27788949140177</v>
      </c>
      <c r="F21" s="478">
        <f t="shared" ref="F21:F28" si="6">F4*$F$16</f>
        <v>8138.3919406824944</v>
      </c>
      <c r="G21" s="478">
        <f t="shared" ref="G21:G30" si="7">G4*$G$16</f>
        <v>0</v>
      </c>
      <c r="H21" s="478">
        <f t="shared" ref="H21:H30" si="8">H4*$H$16</f>
        <v>0</v>
      </c>
      <c r="I21" s="478">
        <f t="shared" ref="I21:I28" si="9">I4*$I$16</f>
        <v>0</v>
      </c>
      <c r="J21" s="478">
        <f t="shared" ref="J21:J28" si="10">J4*$J$16</f>
        <v>431.88258882924555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12534.517445094047</v>
      </c>
    </row>
    <row r="22" spans="1:17">
      <c r="A22" s="477" t="s">
        <v>156</v>
      </c>
      <c r="B22" s="478">
        <f t="shared" ca="1" si="2"/>
        <v>984.94202346498435</v>
      </c>
      <c r="C22" s="478">
        <f t="shared" ca="1" si="3"/>
        <v>0</v>
      </c>
      <c r="D22" s="478">
        <f t="shared" ca="1" si="4"/>
        <v>406.48921634640004</v>
      </c>
      <c r="E22" s="478">
        <f t="shared" si="5"/>
        <v>31.529294175788337</v>
      </c>
      <c r="F22" s="478">
        <f t="shared" ca="1" si="6"/>
        <v>263.22504659439011</v>
      </c>
      <c r="G22" s="478">
        <f t="shared" si="7"/>
        <v>0</v>
      </c>
      <c r="H22" s="478">
        <f t="shared" si="8"/>
        <v>0</v>
      </c>
      <c r="I22" s="478">
        <f t="shared" si="9"/>
        <v>0</v>
      </c>
      <c r="J22" s="478">
        <f t="shared" si="10"/>
        <v>1.7455711411908919E-3</v>
      </c>
      <c r="K22" s="478">
        <f t="shared" si="11"/>
        <v>0</v>
      </c>
      <c r="L22" s="478">
        <f t="shared" ca="1" si="12"/>
        <v>0</v>
      </c>
      <c r="M22" s="478">
        <f t="shared" si="13"/>
        <v>0</v>
      </c>
      <c r="N22" s="478">
        <f t="shared" ca="1" si="14"/>
        <v>0</v>
      </c>
      <c r="O22" s="478">
        <f t="shared" si="15"/>
        <v>0</v>
      </c>
      <c r="P22" s="479">
        <f t="shared" si="16"/>
        <v>0</v>
      </c>
      <c r="Q22" s="477">
        <f t="shared" ref="Q22:Q30" ca="1" si="17">SUM(B22:P22)</f>
        <v>1686.1873261527039</v>
      </c>
    </row>
    <row r="23" spans="1:17">
      <c r="A23" s="477" t="s">
        <v>194</v>
      </c>
      <c r="B23" s="478">
        <f t="shared" ca="1" si="2"/>
        <v>82.843244973268526</v>
      </c>
      <c r="C23" s="478"/>
      <c r="D23" s="478"/>
      <c r="E23" s="478"/>
      <c r="F23" s="478"/>
      <c r="G23" s="478"/>
      <c r="H23" s="478"/>
      <c r="I23" s="478"/>
      <c r="J23" s="478"/>
      <c r="K23" s="478"/>
      <c r="L23" s="478"/>
      <c r="M23" s="478"/>
      <c r="N23" s="478"/>
      <c r="O23" s="478"/>
      <c r="P23" s="479"/>
      <c r="Q23" s="477">
        <f t="shared" ca="1" si="17"/>
        <v>82.843244973268526</v>
      </c>
    </row>
    <row r="24" spans="1:17">
      <c r="A24" s="477" t="s">
        <v>112</v>
      </c>
      <c r="B24" s="478">
        <f t="shared" ca="1" si="2"/>
        <v>456.62207807792839</v>
      </c>
      <c r="C24" s="478">
        <f t="shared" ca="1" si="3"/>
        <v>0</v>
      </c>
      <c r="D24" s="478">
        <f t="shared" si="4"/>
        <v>92.869378800000007</v>
      </c>
      <c r="E24" s="478">
        <f t="shared" si="5"/>
        <v>16.657804729037952</v>
      </c>
      <c r="F24" s="478">
        <f t="shared" si="6"/>
        <v>2776.9757389109218</v>
      </c>
      <c r="G24" s="478">
        <f t="shared" si="7"/>
        <v>0</v>
      </c>
      <c r="H24" s="478">
        <f t="shared" si="8"/>
        <v>0</v>
      </c>
      <c r="I24" s="478">
        <f t="shared" si="9"/>
        <v>0</v>
      </c>
      <c r="J24" s="478">
        <f t="shared" si="10"/>
        <v>128.04259548767382</v>
      </c>
      <c r="K24" s="478">
        <f t="shared" si="11"/>
        <v>0</v>
      </c>
      <c r="L24" s="478">
        <f t="shared" si="12"/>
        <v>0</v>
      </c>
      <c r="M24" s="478">
        <f t="shared" si="13"/>
        <v>0</v>
      </c>
      <c r="N24" s="478">
        <f t="shared" si="14"/>
        <v>0</v>
      </c>
      <c r="O24" s="478">
        <f t="shared" si="15"/>
        <v>0</v>
      </c>
      <c r="P24" s="479">
        <f t="shared" si="16"/>
        <v>0</v>
      </c>
      <c r="Q24" s="477">
        <f t="shared" ca="1" si="17"/>
        <v>3471.1675960055618</v>
      </c>
    </row>
    <row r="25" spans="1:17">
      <c r="A25" s="477" t="s">
        <v>635</v>
      </c>
      <c r="B25" s="478">
        <f t="shared" ca="1" si="2"/>
        <v>147.80812309784787</v>
      </c>
      <c r="C25" s="478">
        <f t="shared" ca="1" si="3"/>
        <v>0</v>
      </c>
      <c r="D25" s="478">
        <f t="shared" si="4"/>
        <v>37.812796120000009</v>
      </c>
      <c r="E25" s="478">
        <f t="shared" si="5"/>
        <v>21.931833954083221</v>
      </c>
      <c r="F25" s="478">
        <f t="shared" si="6"/>
        <v>78.757182270469386</v>
      </c>
      <c r="G25" s="478">
        <f t="shared" si="7"/>
        <v>0</v>
      </c>
      <c r="H25" s="478">
        <f t="shared" si="8"/>
        <v>0</v>
      </c>
      <c r="I25" s="478">
        <f t="shared" si="9"/>
        <v>0</v>
      </c>
      <c r="J25" s="478">
        <f t="shared" si="10"/>
        <v>5.0916542014088273E-3</v>
      </c>
      <c r="K25" s="478">
        <f t="shared" si="11"/>
        <v>0</v>
      </c>
      <c r="L25" s="478">
        <f t="shared" si="12"/>
        <v>0</v>
      </c>
      <c r="M25" s="478">
        <f t="shared" si="13"/>
        <v>0</v>
      </c>
      <c r="N25" s="478">
        <f t="shared" si="14"/>
        <v>0</v>
      </c>
      <c r="O25" s="478">
        <f t="shared" si="15"/>
        <v>0</v>
      </c>
      <c r="P25" s="479">
        <f t="shared" si="16"/>
        <v>0</v>
      </c>
      <c r="Q25" s="477">
        <f t="shared" ca="1" si="17"/>
        <v>286.31502709660191</v>
      </c>
    </row>
    <row r="26" spans="1:17" s="483" customFormat="1">
      <c r="A26" s="481" t="s">
        <v>561</v>
      </c>
      <c r="B26" s="835">
        <f t="shared" ca="1" si="2"/>
        <v>3.310828588697516</v>
      </c>
      <c r="C26" s="482"/>
      <c r="D26" s="482">
        <f t="shared" si="4"/>
        <v>13.653313984299913</v>
      </c>
      <c r="E26" s="482">
        <f t="shared" si="5"/>
        <v>20.264667300856992</v>
      </c>
      <c r="F26" s="482"/>
      <c r="G26" s="482">
        <f t="shared" si="7"/>
        <v>9963.7399606872314</v>
      </c>
      <c r="H26" s="482">
        <f t="shared" si="8"/>
        <v>1890.742391987231</v>
      </c>
      <c r="I26" s="482"/>
      <c r="J26" s="482"/>
      <c r="K26" s="482"/>
      <c r="L26" s="482"/>
      <c r="M26" s="482">
        <f t="shared" si="13"/>
        <v>0</v>
      </c>
      <c r="N26" s="482"/>
      <c r="O26" s="482"/>
      <c r="P26" s="493"/>
      <c r="Q26" s="481">
        <f t="shared" ca="1" si="17"/>
        <v>11891.711162548316</v>
      </c>
    </row>
    <row r="27" spans="1:17">
      <c r="A27" s="477" t="s">
        <v>551</v>
      </c>
      <c r="B27" s="478">
        <f t="shared" ca="1" si="2"/>
        <v>0</v>
      </c>
      <c r="C27" s="478"/>
      <c r="D27" s="482">
        <f t="shared" si="4"/>
        <v>0</v>
      </c>
      <c r="E27" s="478"/>
      <c r="F27" s="478"/>
      <c r="G27" s="478">
        <f t="shared" si="7"/>
        <v>136.06658776988323</v>
      </c>
      <c r="H27" s="478"/>
      <c r="I27" s="478"/>
      <c r="J27" s="478"/>
      <c r="K27" s="478"/>
      <c r="L27" s="478"/>
      <c r="M27" s="478">
        <f t="shared" si="13"/>
        <v>0</v>
      </c>
      <c r="N27" s="478"/>
      <c r="O27" s="478"/>
      <c r="P27" s="479"/>
      <c r="Q27" s="477">
        <f t="shared" ca="1" si="17"/>
        <v>136.06658776988323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3373.1811690972322</v>
      </c>
      <c r="C31" s="488">
        <f t="shared" ca="1" si="18"/>
        <v>0</v>
      </c>
      <c r="D31" s="488">
        <f t="shared" ca="1" si="18"/>
        <v>2196.1348604471</v>
      </c>
      <c r="E31" s="488">
        <f t="shared" si="18"/>
        <v>711.66148965116827</v>
      </c>
      <c r="F31" s="488">
        <f t="shared" ca="1" si="18"/>
        <v>11257.349908458275</v>
      </c>
      <c r="G31" s="488">
        <f t="shared" si="18"/>
        <v>10099.806548457114</v>
      </c>
      <c r="H31" s="488">
        <f t="shared" si="18"/>
        <v>1890.742391987231</v>
      </c>
      <c r="I31" s="488">
        <f t="shared" si="18"/>
        <v>0</v>
      </c>
      <c r="J31" s="488">
        <f t="shared" si="18"/>
        <v>559.93202154226208</v>
      </c>
      <c r="K31" s="488">
        <f t="shared" si="18"/>
        <v>0</v>
      </c>
      <c r="L31" s="488">
        <f t="shared" ca="1" si="18"/>
        <v>0</v>
      </c>
      <c r="M31" s="488">
        <f t="shared" si="18"/>
        <v>0</v>
      </c>
      <c r="N31" s="488">
        <f t="shared" ca="1" si="18"/>
        <v>0</v>
      </c>
      <c r="O31" s="488">
        <f t="shared" si="18"/>
        <v>0</v>
      </c>
      <c r="P31" s="489">
        <f t="shared" si="18"/>
        <v>0</v>
      </c>
      <c r="Q31" s="489">
        <f t="shared" ca="1" si="18"/>
        <v>30088.808389640384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0.18289831917038532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0.18289831917038532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0.18289831917038532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2089</v>
      </c>
      <c r="C9" s="342">
        <v>2130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1708.98</v>
      </c>
    </row>
    <row r="15" spans="1:6">
      <c r="A15" s="348" t="s">
        <v>184</v>
      </c>
      <c r="B15" s="334">
        <v>14</v>
      </c>
    </row>
    <row r="16" spans="1:6">
      <c r="A16" s="348" t="s">
        <v>6</v>
      </c>
      <c r="B16" s="334">
        <v>419</v>
      </c>
    </row>
    <row r="17" spans="1:6">
      <c r="A17" s="348" t="s">
        <v>7</v>
      </c>
      <c r="B17" s="334">
        <v>635</v>
      </c>
    </row>
    <row r="18" spans="1:6">
      <c r="A18" s="348" t="s">
        <v>8</v>
      </c>
      <c r="B18" s="334">
        <v>805</v>
      </c>
    </row>
    <row r="19" spans="1:6">
      <c r="A19" s="348" t="s">
        <v>9</v>
      </c>
      <c r="B19" s="334">
        <v>644</v>
      </c>
    </row>
    <row r="20" spans="1:6">
      <c r="A20" s="348" t="s">
        <v>10</v>
      </c>
      <c r="B20" s="334">
        <v>426</v>
      </c>
    </row>
    <row r="21" spans="1:6">
      <c r="A21" s="348" t="s">
        <v>11</v>
      </c>
      <c r="B21" s="334">
        <v>6836</v>
      </c>
    </row>
    <row r="22" spans="1:6">
      <c r="A22" s="348" t="s">
        <v>12</v>
      </c>
      <c r="B22" s="334">
        <v>5590</v>
      </c>
    </row>
    <row r="23" spans="1:6">
      <c r="A23" s="348" t="s">
        <v>13</v>
      </c>
      <c r="B23" s="334">
        <v>436</v>
      </c>
    </row>
    <row r="24" spans="1:6">
      <c r="A24" s="348" t="s">
        <v>14</v>
      </c>
      <c r="B24" s="334">
        <v>5</v>
      </c>
    </row>
    <row r="25" spans="1:6">
      <c r="A25" s="348" t="s">
        <v>15</v>
      </c>
      <c r="B25" s="334">
        <v>1729</v>
      </c>
    </row>
    <row r="26" spans="1:6">
      <c r="A26" s="348" t="s">
        <v>16</v>
      </c>
      <c r="B26" s="334">
        <v>426</v>
      </c>
    </row>
    <row r="27" spans="1:6">
      <c r="A27" s="348" t="s">
        <v>17</v>
      </c>
      <c r="B27" s="334">
        <v>0</v>
      </c>
    </row>
    <row r="28" spans="1:6" s="356" customFormat="1">
      <c r="A28" s="355" t="s">
        <v>18</v>
      </c>
      <c r="B28" s="355">
        <v>2326</v>
      </c>
    </row>
    <row r="29" spans="1:6">
      <c r="A29" s="355" t="s">
        <v>744</v>
      </c>
      <c r="B29" s="355">
        <v>112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494</v>
      </c>
      <c r="D39" s="334">
        <v>9030044.0999999996</v>
      </c>
      <c r="E39" s="334">
        <v>1944</v>
      </c>
      <c r="F39" s="334">
        <v>7457995.5999999996</v>
      </c>
    </row>
    <row r="40" spans="1:6">
      <c r="A40" s="348" t="s">
        <v>30</v>
      </c>
      <c r="B40" s="348" t="s">
        <v>29</v>
      </c>
      <c r="C40" s="334">
        <v>0</v>
      </c>
      <c r="D40" s="334">
        <v>0</v>
      </c>
      <c r="E40" s="334">
        <v>0</v>
      </c>
      <c r="F40" s="334">
        <v>0</v>
      </c>
    </row>
    <row r="41" spans="1:6">
      <c r="A41" s="348" t="s">
        <v>32</v>
      </c>
      <c r="B41" s="348" t="s">
        <v>33</v>
      </c>
      <c r="C41" s="334">
        <v>8</v>
      </c>
      <c r="D41" s="334">
        <v>140056</v>
      </c>
      <c r="E41" s="334">
        <v>43</v>
      </c>
      <c r="F41" s="334">
        <v>322439.73800000001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162527.85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10270</v>
      </c>
    </row>
    <row r="48" spans="1:6">
      <c r="A48" s="348" t="s">
        <v>32</v>
      </c>
      <c r="B48" s="348" t="s">
        <v>29</v>
      </c>
      <c r="C48" s="334">
        <v>4</v>
      </c>
      <c r="D48" s="334">
        <v>67474</v>
      </c>
      <c r="E48" s="334">
        <v>1</v>
      </c>
      <c r="F48" s="334">
        <v>3574</v>
      </c>
    </row>
    <row r="49" spans="1:6">
      <c r="A49" s="348" t="s">
        <v>32</v>
      </c>
      <c r="B49" s="348" t="s">
        <v>40</v>
      </c>
      <c r="C49" s="334">
        <v>0</v>
      </c>
      <c r="D49" s="334">
        <v>0</v>
      </c>
      <c r="E49" s="334">
        <v>0</v>
      </c>
      <c r="F49" s="334">
        <v>0</v>
      </c>
    </row>
    <row r="50" spans="1:6">
      <c r="A50" s="348" t="s">
        <v>32</v>
      </c>
      <c r="B50" s="348" t="s">
        <v>41</v>
      </c>
      <c r="C50" s="334">
        <v>0</v>
      </c>
      <c r="D50" s="334">
        <v>0</v>
      </c>
      <c r="E50" s="334">
        <v>7</v>
      </c>
      <c r="F50" s="334">
        <v>309332.10499999998</v>
      </c>
    </row>
    <row r="51" spans="1:6">
      <c r="A51" s="348" t="s">
        <v>42</v>
      </c>
      <c r="B51" s="348" t="s">
        <v>43</v>
      </c>
      <c r="C51" s="334">
        <v>5</v>
      </c>
      <c r="D51" s="334">
        <v>137576</v>
      </c>
      <c r="E51" s="334">
        <v>84</v>
      </c>
      <c r="F51" s="334">
        <v>2496589.7999999998</v>
      </c>
    </row>
    <row r="52" spans="1:6">
      <c r="A52" s="348" t="s">
        <v>42</v>
      </c>
      <c r="B52" s="348" t="s">
        <v>29</v>
      </c>
      <c r="C52" s="334">
        <v>0</v>
      </c>
      <c r="D52" s="334">
        <v>0</v>
      </c>
      <c r="E52" s="334">
        <v>0</v>
      </c>
      <c r="F52" s="334">
        <v>0</v>
      </c>
    </row>
    <row r="53" spans="1:6">
      <c r="A53" s="348" t="s">
        <v>44</v>
      </c>
      <c r="B53" s="348" t="s">
        <v>45</v>
      </c>
      <c r="C53" s="334">
        <v>9</v>
      </c>
      <c r="D53" s="334">
        <v>372124</v>
      </c>
      <c r="E53" s="334">
        <v>38</v>
      </c>
      <c r="F53" s="334">
        <v>225391.7</v>
      </c>
    </row>
    <row r="54" spans="1:6">
      <c r="A54" s="348" t="s">
        <v>46</v>
      </c>
      <c r="B54" s="348" t="s">
        <v>47</v>
      </c>
      <c r="C54" s="334">
        <v>0</v>
      </c>
      <c r="D54" s="334">
        <v>0</v>
      </c>
      <c r="E54" s="334">
        <v>1</v>
      </c>
      <c r="F54" s="334">
        <v>452947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137409</v>
      </c>
      <c r="E57" s="334">
        <v>32</v>
      </c>
      <c r="F57" s="334">
        <v>227171</v>
      </c>
    </row>
    <row r="58" spans="1:6">
      <c r="A58" s="348" t="s">
        <v>49</v>
      </c>
      <c r="B58" s="348" t="s">
        <v>51</v>
      </c>
      <c r="C58" s="334">
        <v>8</v>
      </c>
      <c r="D58" s="334">
        <v>241340</v>
      </c>
      <c r="E58" s="334">
        <v>17</v>
      </c>
      <c r="F58" s="334">
        <v>216995</v>
      </c>
    </row>
    <row r="59" spans="1:6">
      <c r="A59" s="348" t="s">
        <v>49</v>
      </c>
      <c r="B59" s="348" t="s">
        <v>52</v>
      </c>
      <c r="C59" s="334">
        <v>9</v>
      </c>
      <c r="D59" s="334">
        <v>406103</v>
      </c>
      <c r="E59" s="334">
        <v>51</v>
      </c>
      <c r="F59" s="334">
        <v>3708173.9750000001</v>
      </c>
    </row>
    <row r="60" spans="1:6">
      <c r="A60" s="348" t="s">
        <v>49</v>
      </c>
      <c r="B60" s="348" t="s">
        <v>53</v>
      </c>
      <c r="C60" s="334">
        <v>6</v>
      </c>
      <c r="D60" s="334">
        <v>222183</v>
      </c>
      <c r="E60" s="334">
        <v>18</v>
      </c>
      <c r="F60" s="334">
        <v>255775</v>
      </c>
    </row>
    <row r="61" spans="1:6">
      <c r="A61" s="348" t="s">
        <v>49</v>
      </c>
      <c r="B61" s="348" t="s">
        <v>54</v>
      </c>
      <c r="C61" s="334">
        <v>39</v>
      </c>
      <c r="D61" s="334">
        <v>1118824.6000000001</v>
      </c>
      <c r="E61" s="334">
        <v>94</v>
      </c>
      <c r="F61" s="334">
        <v>947409.06299999997</v>
      </c>
    </row>
    <row r="62" spans="1:6">
      <c r="A62" s="348" t="s">
        <v>49</v>
      </c>
      <c r="B62" s="348" t="s">
        <v>55</v>
      </c>
      <c r="C62" s="334">
        <v>0</v>
      </c>
      <c r="D62" s="334">
        <v>0</v>
      </c>
      <c r="E62" s="334">
        <v>3</v>
      </c>
      <c r="F62" s="334">
        <v>29665</v>
      </c>
    </row>
    <row r="63" spans="1:6">
      <c r="A63" s="348" t="s">
        <v>49</v>
      </c>
      <c r="B63" s="348" t="s">
        <v>29</v>
      </c>
      <c r="C63" s="334">
        <v>1</v>
      </c>
      <c r="D63" s="334">
        <v>105097</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31531966</v>
      </c>
      <c r="E73" s="476">
        <v>32020105.865090206</v>
      </c>
    </row>
    <row r="74" spans="1:6">
      <c r="A74" s="348" t="s">
        <v>64</v>
      </c>
      <c r="B74" s="348" t="s">
        <v>657</v>
      </c>
      <c r="C74" s="1272" t="s">
        <v>659</v>
      </c>
      <c r="D74" s="476">
        <v>5385211.2464570599</v>
      </c>
      <c r="E74" s="476">
        <v>5519352.3959639417</v>
      </c>
    </row>
    <row r="75" spans="1:6">
      <c r="A75" s="348" t="s">
        <v>65</v>
      </c>
      <c r="B75" s="348" t="s">
        <v>656</v>
      </c>
      <c r="C75" s="1272" t="s">
        <v>660</v>
      </c>
      <c r="D75" s="476">
        <v>14481926</v>
      </c>
      <c r="E75" s="476">
        <v>14658921.843799856</v>
      </c>
    </row>
    <row r="76" spans="1:6">
      <c r="A76" s="348" t="s">
        <v>65</v>
      </c>
      <c r="B76" s="348" t="s">
        <v>657</v>
      </c>
      <c r="C76" s="1272" t="s">
        <v>661</v>
      </c>
      <c r="D76" s="476">
        <v>261850.24645706033</v>
      </c>
      <c r="E76" s="476">
        <v>267089.91082037496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146065.50708587936</v>
      </c>
      <c r="C83" s="476">
        <v>146264.28062812725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1823.9643359630863</v>
      </c>
    </row>
    <row r="92" spans="1:6">
      <c r="A92" s="341" t="s">
        <v>69</v>
      </c>
      <c r="B92" s="342">
        <v>1355.7039399937196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1</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18442.931484541568</v>
      </c>
      <c r="C3" s="43" t="s">
        <v>170</v>
      </c>
      <c r="D3" s="43"/>
      <c r="E3" s="154"/>
      <c r="F3" s="43"/>
      <c r="G3" s="43"/>
      <c r="H3" s="43"/>
      <c r="I3" s="43"/>
      <c r="J3" s="43"/>
      <c r="K3" s="96"/>
    </row>
    <row r="4" spans="1:11">
      <c r="A4" s="383" t="s">
        <v>171</v>
      </c>
      <c r="B4" s="49">
        <f>IF(ISERROR('SEAP template'!B69),0,'SEAP template'!B69)</f>
        <v>3179.6682759568057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0.18289831917038532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452.947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452.947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0.18289831917038532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82.843244973268526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7457.9955999999993</v>
      </c>
      <c r="C5" s="17">
        <f>IF(ISERROR('Eigen informatie GS &amp; warmtenet'!B57),0,'Eigen informatie GS &amp; warmtenet'!B57)</f>
        <v>0</v>
      </c>
      <c r="D5" s="30">
        <f>(SUM(HH_hh_gas_kWh,HH_rest_gas_kWh)/1000)*0.902</f>
        <v>8145.0997781999995</v>
      </c>
      <c r="E5" s="17">
        <f>B46*B57</f>
        <v>2736.9070021647653</v>
      </c>
      <c r="F5" s="17">
        <f>B51*B62</f>
        <v>30480.868691694734</v>
      </c>
      <c r="G5" s="18"/>
      <c r="H5" s="17"/>
      <c r="I5" s="17"/>
      <c r="J5" s="17">
        <f>B50*B61+C50*C61</f>
        <v>1220.0073130769649</v>
      </c>
      <c r="K5" s="17"/>
      <c r="L5" s="17"/>
      <c r="M5" s="17"/>
      <c r="N5" s="17">
        <f>B48*B59+C48*C59</f>
        <v>4017.8839016411976</v>
      </c>
      <c r="O5" s="17">
        <f>B69*B70*B71</f>
        <v>87.546666666666681</v>
      </c>
      <c r="P5" s="17">
        <f>B77*B78*B79/1000-B77*B78*B79/1000/B80</f>
        <v>629.20000000000005</v>
      </c>
    </row>
    <row r="6" spans="1:16">
      <c r="A6" s="16" t="s">
        <v>621</v>
      </c>
      <c r="B6" s="843">
        <f>kWh_PV_kleiner_dan_10kW</f>
        <v>1823.9643359630863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9281.9599359630847</v>
      </c>
      <c r="C8" s="21">
        <f>C5</f>
        <v>0</v>
      </c>
      <c r="D8" s="21">
        <f>D5</f>
        <v>8145.0997781999995</v>
      </c>
      <c r="E8" s="21">
        <f>E5</f>
        <v>2736.9070021647653</v>
      </c>
      <c r="F8" s="21">
        <f>F5</f>
        <v>30480.868691694734</v>
      </c>
      <c r="G8" s="21"/>
      <c r="H8" s="21"/>
      <c r="I8" s="21"/>
      <c r="J8" s="21">
        <f>J5</f>
        <v>1220.0073130769649</v>
      </c>
      <c r="K8" s="21"/>
      <c r="L8" s="21">
        <f>L5</f>
        <v>0</v>
      </c>
      <c r="M8" s="21">
        <f>M5</f>
        <v>0</v>
      </c>
      <c r="N8" s="21">
        <f>N5</f>
        <v>4017.8839016411976</v>
      </c>
      <c r="O8" s="21">
        <f>O5</f>
        <v>87.546666666666681</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0.18289831917038532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1697.6548708945056</v>
      </c>
      <c r="C12" s="23">
        <f ca="1">C10*C8</f>
        <v>0</v>
      </c>
      <c r="D12" s="23">
        <f>D8*D10</f>
        <v>1645.3101551964</v>
      </c>
      <c r="E12" s="23">
        <f>E10*E8</f>
        <v>621.27788949140177</v>
      </c>
      <c r="F12" s="23">
        <f>F10*F8</f>
        <v>8138.3919406824944</v>
      </c>
      <c r="G12" s="23"/>
      <c r="H12" s="23"/>
      <c r="I12" s="23"/>
      <c r="J12" s="23">
        <f>J10*J8</f>
        <v>431.88258882924555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2089</v>
      </c>
      <c r="C28" s="36"/>
      <c r="D28" s="228"/>
    </row>
    <row r="29" spans="1:7" s="15" customFormat="1">
      <c r="A29" s="230" t="s">
        <v>795</v>
      </c>
      <c r="B29" s="37">
        <f>SUM(HH_hh_gas_aantal,HH_rest_gas_aantal)</f>
        <v>494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494</v>
      </c>
      <c r="C32" s="167">
        <f>IF(ISERROR(B32/SUM($B$32,$B$34,$B$35,$B$36,$B$38,$B$39)*100),0,B32/SUM($B$32,$B$34,$B$35,$B$36,$B$38,$B$39)*100)</f>
        <v>24.027237354085603</v>
      </c>
      <c r="D32" s="233"/>
      <c r="G32" s="15"/>
    </row>
    <row r="33" spans="1:7">
      <c r="A33" s="171" t="s">
        <v>72</v>
      </c>
      <c r="B33" s="34" t="s">
        <v>111</v>
      </c>
      <c r="C33" s="167"/>
      <c r="D33" s="233"/>
      <c r="G33" s="15"/>
    </row>
    <row r="34" spans="1:7">
      <c r="A34" s="171" t="s">
        <v>73</v>
      </c>
      <c r="B34" s="33">
        <f>IF((($B$28-$B$32-$B$39-$B$77-$B$38)*C20/100)&lt;0,0,($B$28-$B$32-$B$39-$B$77-$B$38)*C20/100)</f>
        <v>129.2613636363636</v>
      </c>
      <c r="C34" s="167">
        <f>IF(ISERROR(B34/SUM($B$32,$B$34,$B$35,$B$36,$B$38,$B$39)*100),0,B34/SUM($B$32,$B$34,$B$35,$B$36,$B$38,$B$39)*100)</f>
        <v>6.2870313052706033</v>
      </c>
      <c r="D34" s="233"/>
      <c r="G34" s="15"/>
    </row>
    <row r="35" spans="1:7">
      <c r="A35" s="171" t="s">
        <v>74</v>
      </c>
      <c r="B35" s="33">
        <f>IF((($B$28-$B$32-$B$39-$B$77-$B$38)*C21/100)&lt;0,0,($B$28-$B$32-$B$39-$B$77-$B$38)*C21/100)</f>
        <v>165.05681818181816</v>
      </c>
      <c r="C35" s="167">
        <f>IF(ISERROR(B35/SUM($B$32,$B$34,$B$35,$B$36,$B$38,$B$39)*100),0,B35/SUM($B$32,$B$34,$B$35,$B$36,$B$38,$B$39)*100)</f>
        <v>8.0280553590378485</v>
      </c>
      <c r="D35" s="233"/>
      <c r="G35" s="15"/>
    </row>
    <row r="36" spans="1:7">
      <c r="A36" s="171" t="s">
        <v>75</v>
      </c>
      <c r="B36" s="33">
        <f>IF((($B$28-$B$32-$B$39-$B$77-$B$38)*C22/100)&lt;0,0,($B$28-$B$32-$B$39-$B$77-$B$38)*C22/100)</f>
        <v>55.681818181818159</v>
      </c>
      <c r="C36" s="167">
        <f>IF(ISERROR(B36/SUM($B$32,$B$34,$B$35,$B$36,$B$38,$B$39)*100),0,B36/SUM($B$32,$B$34,$B$35,$B$36,$B$38,$B$39)*100)</f>
        <v>2.7082596391934901</v>
      </c>
      <c r="D36" s="233"/>
      <c r="G36" s="15"/>
    </row>
    <row r="37" spans="1:7">
      <c r="A37" s="171" t="s">
        <v>76</v>
      </c>
      <c r="B37" s="34" t="s">
        <v>111</v>
      </c>
      <c r="C37" s="167"/>
      <c r="D37" s="173"/>
      <c r="G37" s="15"/>
    </row>
    <row r="38" spans="1:7">
      <c r="A38" s="171" t="s">
        <v>77</v>
      </c>
      <c r="B38" s="33">
        <f>IF((B24-(B29-B18)*0.1)&lt;0,0,B24-(B29-B18)*0.1)</f>
        <v>34.599999999999994</v>
      </c>
      <c r="C38" s="167">
        <f>IF(ISERROR(B38/SUM($B$32,$B$34,$B$35,$B$36,$B$38,$B$39)*100),0,B38/SUM($B$32,$B$34,$B$35,$B$36,$B$38,$B$39)*100)</f>
        <v>1.6828793774319062</v>
      </c>
      <c r="D38" s="234"/>
      <c r="G38" s="15"/>
    </row>
    <row r="39" spans="1:7">
      <c r="A39" s="171" t="s">
        <v>78</v>
      </c>
      <c r="B39" s="33">
        <f>IF((B25-(B29-B18))&lt;0,0,B25-(B29-B18)*0.9)</f>
        <v>1177.4000000000001</v>
      </c>
      <c r="C39" s="167">
        <f>IF(ISERROR(B39/SUM($B$32,$B$34,$B$35,$B$36,$B$38,$B$39)*100),0,B39/SUM($B$32,$B$34,$B$35,$B$36,$B$38,$B$39)*100)</f>
        <v>57.266536964980553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494</v>
      </c>
      <c r="C44" s="34" t="s">
        <v>111</v>
      </c>
      <c r="D44" s="174"/>
    </row>
    <row r="45" spans="1:7">
      <c r="A45" s="171" t="s">
        <v>72</v>
      </c>
      <c r="B45" s="33" t="str">
        <f t="shared" si="0"/>
        <v>-</v>
      </c>
      <c r="C45" s="34" t="s">
        <v>111</v>
      </c>
      <c r="D45" s="174"/>
    </row>
    <row r="46" spans="1:7">
      <c r="A46" s="171" t="s">
        <v>73</v>
      </c>
      <c r="B46" s="33">
        <f t="shared" si="0"/>
        <v>129.2613636363636</v>
      </c>
      <c r="C46" s="34" t="s">
        <v>111</v>
      </c>
      <c r="D46" s="174"/>
    </row>
    <row r="47" spans="1:7">
      <c r="A47" s="171" t="s">
        <v>74</v>
      </c>
      <c r="B47" s="33">
        <f t="shared" si="0"/>
        <v>165.05681818181816</v>
      </c>
      <c r="C47" s="34" t="s">
        <v>111</v>
      </c>
      <c r="D47" s="174"/>
    </row>
    <row r="48" spans="1:7">
      <c r="A48" s="171" t="s">
        <v>75</v>
      </c>
      <c r="B48" s="33">
        <f t="shared" si="0"/>
        <v>55.681818181818159</v>
      </c>
      <c r="C48" s="33">
        <f>B48*10</f>
        <v>556.81818181818153</v>
      </c>
      <c r="D48" s="234"/>
    </row>
    <row r="49" spans="1:6">
      <c r="A49" s="171" t="s">
        <v>76</v>
      </c>
      <c r="B49" s="33" t="str">
        <f t="shared" si="0"/>
        <v>-</v>
      </c>
      <c r="C49" s="34" t="s">
        <v>111</v>
      </c>
      <c r="D49" s="234"/>
    </row>
    <row r="50" spans="1:6">
      <c r="A50" s="171" t="s">
        <v>77</v>
      </c>
      <c r="B50" s="33">
        <f t="shared" si="0"/>
        <v>34.599999999999994</v>
      </c>
      <c r="C50" s="33">
        <f>B50*2</f>
        <v>69.199999999999989</v>
      </c>
      <c r="D50" s="234"/>
    </row>
    <row r="51" spans="1:6">
      <c r="A51" s="171" t="s">
        <v>78</v>
      </c>
      <c r="B51" s="33">
        <f t="shared" si="0"/>
        <v>1177.4000000000001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5385.1890380000004</v>
      </c>
      <c r="C5" s="17">
        <f>IF(ISERROR('Eigen informatie GS &amp; warmtenet'!B58),0,'Eigen informatie GS &amp; warmtenet'!B58)</f>
        <v>0</v>
      </c>
      <c r="D5" s="30">
        <f>SUM(D6:D12)</f>
        <v>2012.3228532000001</v>
      </c>
      <c r="E5" s="17">
        <f>SUM(E6:E12)</f>
        <v>138.89556905633629</v>
      </c>
      <c r="F5" s="17">
        <f>SUM(F6:F12)</f>
        <v>985.86159773179816</v>
      </c>
      <c r="G5" s="18"/>
      <c r="H5" s="17"/>
      <c r="I5" s="17"/>
      <c r="J5" s="17">
        <f>SUM(J6:J12)</f>
        <v>4.9309919242680562E-3</v>
      </c>
      <c r="K5" s="17"/>
      <c r="L5" s="17"/>
      <c r="M5" s="17"/>
      <c r="N5" s="17">
        <f>SUM(N6:N12)</f>
        <v>202.4642937085726</v>
      </c>
      <c r="O5" s="17">
        <f>B38*B39*B40</f>
        <v>1.5633333333333335</v>
      </c>
      <c r="P5" s="17">
        <f>B46*B47*B48/1000-B46*B47*B48/1000/B49</f>
        <v>0</v>
      </c>
      <c r="R5" s="32"/>
    </row>
    <row r="6" spans="1:18">
      <c r="A6" s="32" t="s">
        <v>54</v>
      </c>
      <c r="B6" s="37">
        <f>B26</f>
        <v>947.40906299999995</v>
      </c>
      <c r="C6" s="33"/>
      <c r="D6" s="37">
        <f>IF(ISERROR(TER_kantoor_gas_kWh/1000),0,TER_kantoor_gas_kWh/1000)*0.902</f>
        <v>1009.1797892000002</v>
      </c>
      <c r="E6" s="33">
        <f>$C$26*'E Balans VL '!I12/100/3.6*1000000</f>
        <v>5.9380449035661836E-3</v>
      </c>
      <c r="F6" s="33">
        <f>$C$26*('E Balans VL '!L12+'E Balans VL '!N12)/100/3.6*1000000</f>
        <v>142.36910903483738</v>
      </c>
      <c r="G6" s="34"/>
      <c r="H6" s="33"/>
      <c r="I6" s="33"/>
      <c r="J6" s="33">
        <f>$C$26*('E Balans VL '!D12+'E Balans VL '!E12)/100/3.6*1000000</f>
        <v>0</v>
      </c>
      <c r="K6" s="33"/>
      <c r="L6" s="33"/>
      <c r="M6" s="33"/>
      <c r="N6" s="33">
        <f>$C$26*'E Balans VL '!Y12/100/3.6*1000000</f>
        <v>0.90605629995027781</v>
      </c>
      <c r="O6" s="33"/>
      <c r="P6" s="33"/>
      <c r="R6" s="32"/>
    </row>
    <row r="7" spans="1:18">
      <c r="A7" s="32" t="s">
        <v>53</v>
      </c>
      <c r="B7" s="37">
        <f t="shared" ref="B7:B12" si="0">B27</f>
        <v>255.77500000000001</v>
      </c>
      <c r="C7" s="33"/>
      <c r="D7" s="37">
        <f>IF(ISERROR(TER_horeca_gas_kWh/1000),0,TER_horeca_gas_kWh/1000)*0.902</f>
        <v>200.409066</v>
      </c>
      <c r="E7" s="33">
        <f>$C$27*'E Balans VL '!I9/100/3.6*1000000</f>
        <v>3.6626553960180197</v>
      </c>
      <c r="F7" s="33">
        <f>$C$27*('E Balans VL '!L9+'E Balans VL '!N9)/100/3.6*1000000</f>
        <v>32.389550784495889</v>
      </c>
      <c r="G7" s="34"/>
      <c r="H7" s="33"/>
      <c r="I7" s="33"/>
      <c r="J7" s="33">
        <f>$C$27*('E Balans VL '!D9+'E Balans VL '!E9)/100/3.6*1000000</f>
        <v>0</v>
      </c>
      <c r="K7" s="33"/>
      <c r="L7" s="33"/>
      <c r="M7" s="33"/>
      <c r="N7" s="33">
        <f>$C$27*'E Balans VL '!Y9/100/3.6*1000000</f>
        <v>7.3529673145330335E-2</v>
      </c>
      <c r="O7" s="33"/>
      <c r="P7" s="33"/>
      <c r="R7" s="32"/>
    </row>
    <row r="8" spans="1:18">
      <c r="A8" s="6" t="s">
        <v>52</v>
      </c>
      <c r="B8" s="37">
        <f t="shared" si="0"/>
        <v>3708.1739750000002</v>
      </c>
      <c r="C8" s="33"/>
      <c r="D8" s="37">
        <f>IF(ISERROR(TER_handel_gas_kWh/1000),0,TER_handel_gas_kWh/1000)*0.902</f>
        <v>366.30490600000002</v>
      </c>
      <c r="E8" s="33">
        <f>$C$28*'E Balans VL '!I13/100/3.6*1000000</f>
        <v>134.49501280172188</v>
      </c>
      <c r="F8" s="33">
        <f>$C$28*('E Balans VL '!L13+'E Balans VL '!N13)/100/3.6*1000000</f>
        <v>714.23185523370194</v>
      </c>
      <c r="G8" s="34"/>
      <c r="H8" s="33"/>
      <c r="I8" s="33"/>
      <c r="J8" s="33">
        <f>$C$28*('E Balans VL '!D13+'E Balans VL '!E13)/100/3.6*1000000</f>
        <v>0</v>
      </c>
      <c r="K8" s="33"/>
      <c r="L8" s="33"/>
      <c r="M8" s="33"/>
      <c r="N8" s="33">
        <f>$C$28*'E Balans VL '!Y13/100/3.6*1000000</f>
        <v>5.1366741681544985</v>
      </c>
      <c r="O8" s="33"/>
      <c r="P8" s="33"/>
      <c r="R8" s="32"/>
    </row>
    <row r="9" spans="1:18">
      <c r="A9" s="32" t="s">
        <v>51</v>
      </c>
      <c r="B9" s="37">
        <f t="shared" si="0"/>
        <v>216.995</v>
      </c>
      <c r="C9" s="33"/>
      <c r="D9" s="37">
        <f>IF(ISERROR(TER_gezond_gas_kWh/1000),0,TER_gezond_gas_kWh/1000)*0.902</f>
        <v>217.68868000000001</v>
      </c>
      <c r="E9" s="33">
        <f>$C$29*'E Balans VL '!I10/100/3.6*1000000</f>
        <v>1.3586029438571094E-2</v>
      </c>
      <c r="F9" s="33">
        <f>$C$29*('E Balans VL '!L10+'E Balans VL '!N10)/100/3.6*1000000</f>
        <v>32.235267936854513</v>
      </c>
      <c r="G9" s="34"/>
      <c r="H9" s="33"/>
      <c r="I9" s="33"/>
      <c r="J9" s="33">
        <f>$C$29*('E Balans VL '!D10+'E Balans VL '!E10)/100/3.6*1000000</f>
        <v>0</v>
      </c>
      <c r="K9" s="33"/>
      <c r="L9" s="33"/>
      <c r="M9" s="33"/>
      <c r="N9" s="33">
        <f>$C$29*'E Balans VL '!Y10/100/3.6*1000000</f>
        <v>3.3564995982276966</v>
      </c>
      <c r="O9" s="33"/>
      <c r="P9" s="33"/>
      <c r="R9" s="32"/>
    </row>
    <row r="10" spans="1:18">
      <c r="A10" s="32" t="s">
        <v>50</v>
      </c>
      <c r="B10" s="37">
        <f t="shared" si="0"/>
        <v>227.17099999999999</v>
      </c>
      <c r="C10" s="33"/>
      <c r="D10" s="37">
        <f>IF(ISERROR(TER_ander_gas_kWh/1000),0,TER_ander_gas_kWh/1000)*0.902</f>
        <v>123.94291799999999</v>
      </c>
      <c r="E10" s="33">
        <f>$C$30*'E Balans VL '!I14/100/3.6*1000000</f>
        <v>0.2707797142801136</v>
      </c>
      <c r="F10" s="33">
        <f>$C$30*('E Balans VL '!L14+'E Balans VL '!N14)/100/3.6*1000000</f>
        <v>59.438032829434775</v>
      </c>
      <c r="G10" s="34"/>
      <c r="H10" s="33"/>
      <c r="I10" s="33"/>
      <c r="J10" s="33">
        <f>$C$30*('E Balans VL '!D14+'E Balans VL '!E14)/100/3.6*1000000</f>
        <v>4.9309919242680562E-3</v>
      </c>
      <c r="K10" s="33"/>
      <c r="L10" s="33"/>
      <c r="M10" s="33"/>
      <c r="N10" s="33">
        <f>$C$30*'E Balans VL '!Y14/100/3.6*1000000</f>
        <v>192.90805440387561</v>
      </c>
      <c r="O10" s="33"/>
      <c r="P10" s="33"/>
      <c r="R10" s="32"/>
    </row>
    <row r="11" spans="1:18">
      <c r="A11" s="32" t="s">
        <v>55</v>
      </c>
      <c r="B11" s="37">
        <f t="shared" si="0"/>
        <v>29.664999999999999</v>
      </c>
      <c r="C11" s="33"/>
      <c r="D11" s="37">
        <f>IF(ISERROR(TER_onderwijs_gas_kWh/1000),0,TER_onderwijs_gas_kWh/1000)*0.902</f>
        <v>0</v>
      </c>
      <c r="E11" s="33">
        <f>$C$31*'E Balans VL '!I11/100/3.6*1000000</f>
        <v>0.44759706997411186</v>
      </c>
      <c r="F11" s="33">
        <f>$C$31*('E Balans VL '!L11+'E Balans VL '!N11)/100/3.6*1000000</f>
        <v>5.1977819124737366</v>
      </c>
      <c r="G11" s="34"/>
      <c r="H11" s="33"/>
      <c r="I11" s="33"/>
      <c r="J11" s="33">
        <f>$C$31*('E Balans VL '!D11+'E Balans VL '!E11)/100/3.6*1000000</f>
        <v>0</v>
      </c>
      <c r="K11" s="33"/>
      <c r="L11" s="33"/>
      <c r="M11" s="33"/>
      <c r="N11" s="33">
        <f>$C$31*'E Balans VL '!Y11/100/3.6*1000000</f>
        <v>8.3479565219182955E-2</v>
      </c>
      <c r="O11" s="33"/>
      <c r="P11" s="33"/>
      <c r="R11" s="32"/>
    </row>
    <row r="12" spans="1:18">
      <c r="A12" s="32" t="s">
        <v>260</v>
      </c>
      <c r="B12" s="37">
        <f t="shared" si="0"/>
        <v>0</v>
      </c>
      <c r="C12" s="33"/>
      <c r="D12" s="37">
        <f>IF(ISERROR(TER_rest_gas_kWh/1000),0,TER_rest_gas_kWh/1000)*0.902</f>
        <v>94.797494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5385.1890380000004</v>
      </c>
      <c r="C16" s="21">
        <f t="shared" ca="1" si="1"/>
        <v>0</v>
      </c>
      <c r="D16" s="21">
        <f t="shared" ca="1" si="1"/>
        <v>2012.3228532000001</v>
      </c>
      <c r="E16" s="21">
        <f t="shared" si="1"/>
        <v>138.89556905633629</v>
      </c>
      <c r="F16" s="21">
        <f t="shared" ca="1" si="1"/>
        <v>985.86159773179816</v>
      </c>
      <c r="G16" s="21">
        <f t="shared" si="1"/>
        <v>0</v>
      </c>
      <c r="H16" s="21">
        <f t="shared" si="1"/>
        <v>0</v>
      </c>
      <c r="I16" s="21">
        <f t="shared" si="1"/>
        <v>0</v>
      </c>
      <c r="J16" s="21">
        <f t="shared" si="1"/>
        <v>4.9309919242680562E-3</v>
      </c>
      <c r="K16" s="21">
        <f t="shared" si="1"/>
        <v>0</v>
      </c>
      <c r="L16" s="21">
        <f t="shared" ca="1" si="1"/>
        <v>0</v>
      </c>
      <c r="M16" s="21">
        <f t="shared" si="1"/>
        <v>0</v>
      </c>
      <c r="N16" s="21">
        <f t="shared" ca="1" si="1"/>
        <v>202.4642937085726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0.18289831917038532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984.94202346498435</v>
      </c>
      <c r="C20" s="23">
        <f t="shared" ref="C20:P20" ca="1" si="2">C16*C18</f>
        <v>0</v>
      </c>
      <c r="D20" s="23">
        <f t="shared" ca="1" si="2"/>
        <v>406.48921634640004</v>
      </c>
      <c r="E20" s="23">
        <f t="shared" si="2"/>
        <v>31.529294175788337</v>
      </c>
      <c r="F20" s="23">
        <f t="shared" ca="1" si="2"/>
        <v>263.22504659439011</v>
      </c>
      <c r="G20" s="23">
        <f t="shared" si="2"/>
        <v>0</v>
      </c>
      <c r="H20" s="23">
        <f t="shared" si="2"/>
        <v>0</v>
      </c>
      <c r="I20" s="23">
        <f t="shared" si="2"/>
        <v>0</v>
      </c>
      <c r="J20" s="23">
        <f t="shared" si="2"/>
        <v>1.7455711411908919E-3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947.40906299999995</v>
      </c>
      <c r="C26" s="39">
        <f>IF(ISERROR(B26*3.6/1000000/'E Balans VL '!Z12*100),0,B26*3.6/1000000/'E Balans VL '!Z12*100)</f>
        <v>2.0026726774635593E-2</v>
      </c>
      <c r="D26" s="237" t="s">
        <v>754</v>
      </c>
      <c r="F26" s="6"/>
    </row>
    <row r="27" spans="1:18">
      <c r="A27" s="231" t="s">
        <v>53</v>
      </c>
      <c r="B27" s="33">
        <f>IF(ISERROR(TER_horeca_ele_kWh/1000),0,TER_horeca_ele_kWh/1000)</f>
        <v>255.77500000000001</v>
      </c>
      <c r="C27" s="39">
        <f>IF(ISERROR(B27*3.6/1000000/'E Balans VL '!Z9*100),0,B27*3.6/1000000/'E Balans VL '!Z9*100)</f>
        <v>2.0162647917790617E-2</v>
      </c>
      <c r="D27" s="237" t="s">
        <v>754</v>
      </c>
      <c r="F27" s="6"/>
    </row>
    <row r="28" spans="1:18">
      <c r="A28" s="171" t="s">
        <v>52</v>
      </c>
      <c r="B28" s="33">
        <f>IF(ISERROR(TER_handel_ele_kWh/1000),0,TER_handel_ele_kWh/1000)</f>
        <v>3708.1739750000002</v>
      </c>
      <c r="C28" s="39">
        <f>IF(ISERROR(B28*3.6/1000000/'E Balans VL '!Z13*100),0,B28*3.6/1000000/'E Balans VL '!Z13*100)</f>
        <v>0.1076261914562622</v>
      </c>
      <c r="D28" s="237" t="s">
        <v>754</v>
      </c>
      <c r="F28" s="6"/>
    </row>
    <row r="29" spans="1:18">
      <c r="A29" s="231" t="s">
        <v>51</v>
      </c>
      <c r="B29" s="33">
        <f>IF(ISERROR(TER_gezond_ele_kWh/1000),0,TER_gezond_ele_kWh/1000)</f>
        <v>216.995</v>
      </c>
      <c r="C29" s="39">
        <f>IF(ISERROR(B29*3.6/1000000/'E Balans VL '!Z10*100),0,B29*3.6/1000000/'E Balans VL '!Z10*100)</f>
        <v>2.2853136651953439E-2</v>
      </c>
      <c r="D29" s="237" t="s">
        <v>754</v>
      </c>
      <c r="F29" s="6"/>
    </row>
    <row r="30" spans="1:18">
      <c r="A30" s="231" t="s">
        <v>50</v>
      </c>
      <c r="B30" s="33">
        <f>IF(ISERROR(TER_ander_ele_kWh/1000),0,TER_ander_ele_kWh/1000)</f>
        <v>227.17099999999999</v>
      </c>
      <c r="C30" s="39">
        <f>IF(ISERROR(B30*3.6/1000000/'E Balans VL '!Z14*100),0,B30*3.6/1000000/'E Balans VL '!Z14*100)</f>
        <v>1.6756182301295757E-2</v>
      </c>
      <c r="D30" s="237" t="s">
        <v>754</v>
      </c>
      <c r="F30" s="6"/>
    </row>
    <row r="31" spans="1:18">
      <c r="A31" s="231" t="s">
        <v>55</v>
      </c>
      <c r="B31" s="33">
        <f>IF(ISERROR(TER_onderwijs_ele_kWh/1000),0,TER_onderwijs_ele_kWh/1000)</f>
        <v>29.664999999999999</v>
      </c>
      <c r="C31" s="39">
        <f>IF(ISERROR(B31*3.6/1000000/'E Balans VL '!Z11*100),0,B31*3.6/1000000/'E Balans VL '!Z11*100)</f>
        <v>7.3672090904358415E-3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808.14369299999987</v>
      </c>
      <c r="C5" s="17">
        <f>IF(ISERROR('Eigen informatie GS &amp; warmtenet'!B59),0,'Eigen informatie GS &amp; warmtenet'!B59)</f>
        <v>0</v>
      </c>
      <c r="D5" s="30">
        <f>SUM(D6:D15)</f>
        <v>187.19206000000003</v>
      </c>
      <c r="E5" s="17">
        <f>SUM(E6:E15)</f>
        <v>96.616008608296127</v>
      </c>
      <c r="F5" s="17">
        <f>SUM(F6:F15)</f>
        <v>294.97072011411751</v>
      </c>
      <c r="G5" s="18"/>
      <c r="H5" s="17"/>
      <c r="I5" s="17"/>
      <c r="J5" s="17">
        <f>SUM(J6:J15)</f>
        <v>1.4383203958781999E-2</v>
      </c>
      <c r="K5" s="17"/>
      <c r="L5" s="17"/>
      <c r="M5" s="17"/>
      <c r="N5" s="17">
        <f>SUM(N6:N15)</f>
        <v>160.85894952226084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162.52785</v>
      </c>
      <c r="C8" s="33"/>
      <c r="D8" s="37">
        <f>IF( ISERROR(IND_metaal_Gas_kWH/1000),0,IND_metaal_Gas_kWH/1000)*0.902</f>
        <v>0</v>
      </c>
      <c r="E8" s="33">
        <f>C30*'E Balans VL '!I18/100/3.6*1000000</f>
        <v>1.4942866098596721</v>
      </c>
      <c r="F8" s="33">
        <f>C30*'E Balans VL '!L18/100/3.6*1000000+C30*'E Balans VL '!N18/100/3.6*1000000</f>
        <v>15.239701230137163</v>
      </c>
      <c r="G8" s="34"/>
      <c r="H8" s="33"/>
      <c r="I8" s="33"/>
      <c r="J8" s="40">
        <f>C30*'E Balans VL '!D18/100/3.6*1000000+C30*'E Balans VL '!E18/100/3.6*1000000</f>
        <v>0</v>
      </c>
      <c r="K8" s="33"/>
      <c r="L8" s="33"/>
      <c r="M8" s="33"/>
      <c r="N8" s="33">
        <f>C30*'E Balans VL '!Y18/100/3.6*1000000</f>
        <v>2.3187283688326716</v>
      </c>
      <c r="O8" s="33"/>
      <c r="P8" s="33"/>
      <c r="R8" s="32"/>
    </row>
    <row r="9" spans="1:18">
      <c r="A9" s="6" t="s">
        <v>33</v>
      </c>
      <c r="B9" s="37">
        <f t="shared" si="0"/>
        <v>322.43973800000003</v>
      </c>
      <c r="C9" s="33"/>
      <c r="D9" s="37">
        <f>IF( ISERROR(IND_andere_gas_kWh/1000),0,IND_andere_gas_kWh/1000)*0.902</f>
        <v>126.33051200000001</v>
      </c>
      <c r="E9" s="33">
        <f>C31*'E Balans VL '!I19/100/3.6*1000000</f>
        <v>94.255412578711955</v>
      </c>
      <c r="F9" s="33">
        <f>C31*'E Balans VL '!L19/100/3.6*1000000+C31*'E Balans VL '!N19/100/3.6*1000000</f>
        <v>259.10473592855783</v>
      </c>
      <c r="G9" s="34"/>
      <c r="H9" s="33"/>
      <c r="I9" s="33"/>
      <c r="J9" s="40">
        <f>C31*'E Balans VL '!D19/100/3.6*1000000+C31*'E Balans VL '!E19/100/3.6*1000000</f>
        <v>0</v>
      </c>
      <c r="K9" s="33"/>
      <c r="L9" s="33"/>
      <c r="M9" s="33"/>
      <c r="N9" s="33">
        <f>C31*'E Balans VL '!Y19/100/3.6*1000000</f>
        <v>106.53909012098745</v>
      </c>
      <c r="O9" s="33"/>
      <c r="P9" s="33"/>
      <c r="R9" s="32"/>
    </row>
    <row r="10" spans="1:18">
      <c r="A10" s="6" t="s">
        <v>41</v>
      </c>
      <c r="B10" s="37">
        <f t="shared" si="0"/>
        <v>309.33210499999996</v>
      </c>
      <c r="C10" s="33"/>
      <c r="D10" s="37">
        <f>IF( ISERROR(IND_voed_gas_kWh/1000),0,IND_voed_gas_kWh/1000)*0.902</f>
        <v>0</v>
      </c>
      <c r="E10" s="33">
        <f>C32*'E Balans VL '!I20/100/3.6*1000000</f>
        <v>0.65439686437859412</v>
      </c>
      <c r="F10" s="33">
        <f>C32*'E Balans VL '!L20/100/3.6*1000000+C32*'E Balans VL '!N20/100/3.6*1000000</f>
        <v>19.667651209379475</v>
      </c>
      <c r="G10" s="34"/>
      <c r="H10" s="33"/>
      <c r="I10" s="33"/>
      <c r="J10" s="40">
        <f>C32*'E Balans VL '!D20/100/3.6*1000000+C32*'E Balans VL '!E20/100/3.6*1000000</f>
        <v>0</v>
      </c>
      <c r="K10" s="33"/>
      <c r="L10" s="33"/>
      <c r="M10" s="33"/>
      <c r="N10" s="33">
        <f>C32*'E Balans VL '!Y20/100/3.6*1000000</f>
        <v>21.346967808800255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10.27</v>
      </c>
      <c r="C13" s="33"/>
      <c r="D13" s="37">
        <f>IF( ISERROR(IND_papier_gas_kWh/1000),0,IND_papier_gas_kWh/1000)*0.902</f>
        <v>0</v>
      </c>
      <c r="E13" s="33">
        <f>C35*'E Balans VL '!I23/100/3.6*1000000</f>
        <v>1.4570781269233153E-2</v>
      </c>
      <c r="F13" s="33">
        <f>C35*'E Balans VL '!L23/100/3.6*1000000+C35*'E Balans VL '!N23/100/3.6*1000000</f>
        <v>0.25072931768985279</v>
      </c>
      <c r="G13" s="34"/>
      <c r="H13" s="33"/>
      <c r="I13" s="33"/>
      <c r="J13" s="40">
        <f>C35*'E Balans VL '!D23/100/3.6*1000000+C35*'E Balans VL '!E23/100/3.6*1000000</f>
        <v>1.5883519206356285E-3</v>
      </c>
      <c r="K13" s="33"/>
      <c r="L13" s="33"/>
      <c r="M13" s="33"/>
      <c r="N13" s="33">
        <f>C35*'E Balans VL '!Y23/100/3.6*1000000</f>
        <v>29.852458924017764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3.5739999999999998</v>
      </c>
      <c r="C15" s="33"/>
      <c r="D15" s="37">
        <f>IF( ISERROR(IND_rest_gas_kWh/1000),0,IND_rest_gas_kWh/1000)*0.902</f>
        <v>60.861548000000006</v>
      </c>
      <c r="E15" s="33">
        <f>C37*'E Balans VL '!I15/100/3.6*1000000</f>
        <v>0.1973417740766735</v>
      </c>
      <c r="F15" s="33">
        <f>C37*'E Balans VL '!L15/100/3.6*1000000+C37*'E Balans VL '!N15/100/3.6*1000000</f>
        <v>0.70790242835322559</v>
      </c>
      <c r="G15" s="34"/>
      <c r="H15" s="33"/>
      <c r="I15" s="33"/>
      <c r="J15" s="40">
        <f>C37*'E Balans VL '!D15/100/3.6*1000000+C37*'E Balans VL '!E15/100/3.6*1000000</f>
        <v>1.279485203814637E-2</v>
      </c>
      <c r="K15" s="33"/>
      <c r="L15" s="33"/>
      <c r="M15" s="33"/>
      <c r="N15" s="33">
        <f>C37*'E Balans VL '!Y15/100/3.6*1000000</f>
        <v>0.80170429962270928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808.14369299999987</v>
      </c>
      <c r="C18" s="21">
        <f>C5+C16</f>
        <v>0</v>
      </c>
      <c r="D18" s="21">
        <f>MAX((D5+D16),0)</f>
        <v>187.19206000000003</v>
      </c>
      <c r="E18" s="21">
        <f>MAX((E5+E16),0)</f>
        <v>96.616008608296127</v>
      </c>
      <c r="F18" s="21">
        <f>MAX((F5+F16),0)</f>
        <v>294.97072011411751</v>
      </c>
      <c r="G18" s="21"/>
      <c r="H18" s="21"/>
      <c r="I18" s="21"/>
      <c r="J18" s="21">
        <f>MAX((J5+J16),0)</f>
        <v>1.4383203958781999E-2</v>
      </c>
      <c r="K18" s="21"/>
      <c r="L18" s="21">
        <f>MAX((L5+L16),0)</f>
        <v>0</v>
      </c>
      <c r="M18" s="21"/>
      <c r="N18" s="21">
        <f>MAX((N5+N16),0)</f>
        <v>160.85894952226084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0.18289831917038532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147.80812309784787</v>
      </c>
      <c r="C22" s="23">
        <f ca="1">C18*C20</f>
        <v>0</v>
      </c>
      <c r="D22" s="23">
        <f>D18*D20</f>
        <v>37.812796120000009</v>
      </c>
      <c r="E22" s="23">
        <f>E18*E20</f>
        <v>21.931833954083221</v>
      </c>
      <c r="F22" s="23">
        <f>F18*F20</f>
        <v>78.757182270469386</v>
      </c>
      <c r="G22" s="23"/>
      <c r="H22" s="23"/>
      <c r="I22" s="23"/>
      <c r="J22" s="23">
        <f>J18*J20</f>
        <v>5.0916542014088273E-3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162.52785</v>
      </c>
      <c r="C30" s="39">
        <f>IF(ISERROR(B30*3.6/1000000/'E Balans VL '!Z18*100),0,B30*3.6/1000000/'E Balans VL '!Z18*100)</f>
        <v>9.2108700081647791E-3</v>
      </c>
      <c r="D30" s="237" t="s">
        <v>754</v>
      </c>
    </row>
    <row r="31" spans="1:18">
      <c r="A31" s="6" t="s">
        <v>33</v>
      </c>
      <c r="B31" s="37">
        <f>IF( ISERROR(IND_ander_ele_kWh/1000),0,IND_ander_ele_kWh/1000)</f>
        <v>322.43973800000003</v>
      </c>
      <c r="C31" s="39">
        <f>IF(ISERROR(B31*3.6/1000000/'E Balans VL '!Z19*100),0,B31*3.6/1000000/'E Balans VL '!Z19*100)</f>
        <v>1.4624523899978785E-2</v>
      </c>
      <c r="D31" s="237" t="s">
        <v>754</v>
      </c>
    </row>
    <row r="32" spans="1:18">
      <c r="A32" s="171" t="s">
        <v>41</v>
      </c>
      <c r="B32" s="37">
        <f>IF( ISERROR(IND_voed_ele_kWh/1000),0,IND_voed_ele_kWh/1000)</f>
        <v>309.33210499999996</v>
      </c>
      <c r="C32" s="39">
        <f>IF(ISERROR(B32*3.6/1000000/'E Balans VL '!Z20*100),0,B32*3.6/1000000/'E Balans VL '!Z20*100)</f>
        <v>9.5690462568382255E-3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10.27</v>
      </c>
      <c r="C35" s="39">
        <f>IF(ISERROR(B35*3.6/1000000/'E Balans VL '!Z22*100),0,B35*3.6/1000000/'E Balans VL '!Z22*100)</f>
        <v>1.8472525796902541E-3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3.5739999999999998</v>
      </c>
      <c r="C37" s="39">
        <f>IF(ISERROR(B37*3.6/1000000/'E Balans VL '!Z15*100),0,B37*3.6/1000000/'E Balans VL '!Z15*100)</f>
        <v>2.8328339289442557E-5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2496.5897999999997</v>
      </c>
      <c r="C5" s="17">
        <f>'Eigen informatie GS &amp; warmtenet'!B60</f>
        <v>0</v>
      </c>
      <c r="D5" s="30">
        <f>IF(ISERROR(SUM(LB_lb_gas_kWh,LB_rest_gas_kWh,onbekend_gas_kWh)/1000),0,SUM(LB_lb_gas_kWh,LB_rest_gas_kWh,onbekend_gas_kWh)/1000)*0.902</f>
        <v>459.74939999999998</v>
      </c>
      <c r="E5" s="17">
        <f>B17*'E Balans VL '!I25/3.6*1000000/100</f>
        <v>73.382399687391853</v>
      </c>
      <c r="F5" s="17">
        <f>B17*('E Balans VL '!L25/3.6*1000000+'E Balans VL '!N25/3.6*1000000)/100</f>
        <v>10400.658198168247</v>
      </c>
      <c r="G5" s="18"/>
      <c r="H5" s="17"/>
      <c r="I5" s="17"/>
      <c r="J5" s="17">
        <f>('E Balans VL '!D25+'E Balans VL '!E25)/3.6*1000000*landbouw!B17/100</f>
        <v>361.70224714032156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2496.5897999999997</v>
      </c>
      <c r="C8" s="21">
        <f>C5+C6</f>
        <v>0</v>
      </c>
      <c r="D8" s="21">
        <f>MAX((D5+D6),0)</f>
        <v>459.74939999999998</v>
      </c>
      <c r="E8" s="21">
        <f>MAX((E5+E6),0)</f>
        <v>73.382399687391853</v>
      </c>
      <c r="F8" s="21">
        <f>MAX((F5+F6),0)</f>
        <v>10400.658198168247</v>
      </c>
      <c r="G8" s="21"/>
      <c r="H8" s="21"/>
      <c r="I8" s="21"/>
      <c r="J8" s="21">
        <f>MAX((J5+J6),0)</f>
        <v>361.70224714032156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0.18289831917038532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456.62207807792839</v>
      </c>
      <c r="C12" s="23">
        <f ca="1">C8*C10</f>
        <v>0</v>
      </c>
      <c r="D12" s="23">
        <f>D8*D10</f>
        <v>92.869378800000007</v>
      </c>
      <c r="E12" s="23">
        <f>E8*E10</f>
        <v>16.657804729037952</v>
      </c>
      <c r="F12" s="23">
        <f>F8*F10</f>
        <v>2776.9757389109218</v>
      </c>
      <c r="G12" s="23"/>
      <c r="H12" s="23"/>
      <c r="I12" s="23"/>
      <c r="J12" s="23">
        <f>J8*J10</f>
        <v>128.04259548767382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0.35427392543162112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226.7523961540179</v>
      </c>
      <c r="C26" s="247">
        <f>B26*'GWP N2O_CH4'!B5</f>
        <v>4761.8003192343758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85.540898039358055</v>
      </c>
      <c r="C27" s="247">
        <f>B27*'GWP N2O_CH4'!B5</f>
        <v>1796.3588588265191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3.090016199716874</v>
      </c>
      <c r="C28" s="247">
        <f>B28*'GWP N2O_CH4'!B4</f>
        <v>957.90502191223095</v>
      </c>
      <c r="D28" s="50"/>
    </row>
    <row r="29" spans="1:4">
      <c r="A29" s="41" t="s">
        <v>277</v>
      </c>
      <c r="B29" s="247">
        <f>B34*'ha_N2O bodem landbouw'!B4</f>
        <v>11.1190346931902</v>
      </c>
      <c r="C29" s="247">
        <f>B29*'GWP N2O_CH4'!B4</f>
        <v>3446.9007548889617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2.5373253990877993E-3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6.516726328254287E-5</v>
      </c>
      <c r="C5" s="463" t="s">
        <v>211</v>
      </c>
      <c r="D5" s="448">
        <f>SUM(D6:D11)</f>
        <v>2.4332638783900834E-4</v>
      </c>
      <c r="E5" s="448">
        <f>SUM(E6:E11)</f>
        <v>3.2137798362592585E-4</v>
      </c>
      <c r="F5" s="461" t="s">
        <v>211</v>
      </c>
      <c r="G5" s="448">
        <f>SUM(G6:G11)</f>
        <v>0.13434256126769301</v>
      </c>
      <c r="H5" s="448">
        <f>SUM(H6:H11)</f>
        <v>2.7336034582947918E-2</v>
      </c>
      <c r="I5" s="463" t="s">
        <v>211</v>
      </c>
      <c r="J5" s="463" t="s">
        <v>211</v>
      </c>
      <c r="K5" s="463" t="s">
        <v>211</v>
      </c>
      <c r="L5" s="463" t="s">
        <v>211</v>
      </c>
      <c r="M5" s="448">
        <f>SUM(M6:M11)</f>
        <v>8.6603840365743895E-3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4.4657207656726588E-5</v>
      </c>
      <c r="C6" s="449"/>
      <c r="D6" s="962">
        <f>vkm_2011_GW_PW*SUMIFS(TableVerdeelsleutelVkm[CNG],TableVerdeelsleutelVkm[Voertuigtype],"Lichte voertuigen")*SUMIFS(TableECFTransport[EnergieConsumptieFactor (PJ per km)],TableECFTransport[Index],CONCATENATE($A6,"_CNG_CNG"))</f>
        <v>1.339459920643973E-4</v>
      </c>
      <c r="E6" s="962">
        <f>vkm_2011_GW_PW*SUMIFS(TableVerdeelsleutelVkm[LPG],TableVerdeelsleutelVkm[Voertuigtype],"Lichte voertuigen")*SUMIFS(TableECFTransport[EnergieConsumptieFactor (PJ per km)],TableECFTransport[Index],CONCATENATE($A6,"_LPG_LPG"))</f>
        <v>1.8298946555351676E-4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4.7312687424660708E-2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1.5232150677648625E-2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3.2163094611720585E-3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5.0535086683765523E-2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1.5399373624244756E-5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2.9531026640131708E-3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2.0510055625816285E-5</v>
      </c>
      <c r="C8" s="449"/>
      <c r="D8" s="451">
        <f>vkm_2011_NGW_PW*SUMIFS(TableVerdeelsleutelVkm[CNG],TableVerdeelsleutelVkm[Voertuigtype],"Lichte voertuigen")*SUMIFS(TableECFTransport[EnergieConsumptieFactor (PJ per km)],TableECFTransport[Index],CONCATENATE($A8,"_CNG_CNG"))</f>
        <v>1.0938039577461103E-4</v>
      </c>
      <c r="E8" s="451">
        <f>vkm_2011_NGW_PW*SUMIFS(TableVerdeelsleutelVkm[LPG],TableVerdeelsleutelVkm[Voertuigtype],"Lichte voertuigen")*SUMIFS(TableECFTransport[EnergieConsumptieFactor (PJ per km)],TableECFTransport[Index],CONCATENATE($A8,"_LPG_LPG"))</f>
        <v>1.3838851807240909E-4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3.3344037982980038E-2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1.2087580665104567E-2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2.3068542605338997E-3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3.1507491762867105E-3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9.0386657048322828E-7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1.8411765085526034E-4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18.10201757848413</v>
      </c>
      <c r="C14" s="21"/>
      <c r="D14" s="21">
        <f t="shared" ref="D14:M14" si="0">((D5)*10^9/3600)+D12</f>
        <v>67.590663288613428</v>
      </c>
      <c r="E14" s="21">
        <f t="shared" si="0"/>
        <v>89.271662118312733</v>
      </c>
      <c r="F14" s="21"/>
      <c r="G14" s="21">
        <f t="shared" si="0"/>
        <v>37317.378129914723</v>
      </c>
      <c r="H14" s="21">
        <f t="shared" si="0"/>
        <v>7593.3429397077552</v>
      </c>
      <c r="I14" s="21"/>
      <c r="J14" s="21"/>
      <c r="K14" s="21"/>
      <c r="L14" s="21"/>
      <c r="M14" s="21">
        <f t="shared" si="0"/>
        <v>2405.6622323817751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0.18289831917038532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3.310828588697516</v>
      </c>
      <c r="C18" s="23"/>
      <c r="D18" s="23">
        <f t="shared" ref="D18:M18" si="1">D14*D16</f>
        <v>13.653313984299913</v>
      </c>
      <c r="E18" s="23">
        <f t="shared" si="1"/>
        <v>20.264667300856992</v>
      </c>
      <c r="F18" s="23"/>
      <c r="G18" s="23">
        <f t="shared" si="1"/>
        <v>9963.7399606872314</v>
      </c>
      <c r="H18" s="23">
        <f t="shared" si="1"/>
        <v>1890.742391987231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1.8346056777961781E-3</v>
      </c>
      <c r="H50" s="321">
        <f t="shared" si="2"/>
        <v>0</v>
      </c>
      <c r="I50" s="321">
        <f t="shared" si="2"/>
        <v>0</v>
      </c>
      <c r="J50" s="321">
        <f t="shared" si="2"/>
        <v>0</v>
      </c>
      <c r="K50" s="321">
        <f t="shared" si="2"/>
        <v>0</v>
      </c>
      <c r="L50" s="321">
        <f t="shared" si="2"/>
        <v>0</v>
      </c>
      <c r="M50" s="321">
        <f t="shared" si="2"/>
        <v>1.0419750349192272E-4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1.8346056777961781E-3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1.0419750349192272E-4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509.61268827671614</v>
      </c>
      <c r="H54" s="21">
        <f t="shared" si="3"/>
        <v>0</v>
      </c>
      <c r="I54" s="21">
        <f t="shared" si="3"/>
        <v>0</v>
      </c>
      <c r="J54" s="21">
        <f t="shared" si="3"/>
        <v>0</v>
      </c>
      <c r="K54" s="21">
        <f t="shared" si="3"/>
        <v>0</v>
      </c>
      <c r="L54" s="21">
        <f t="shared" si="3"/>
        <v>0</v>
      </c>
      <c r="M54" s="21">
        <f t="shared" si="3"/>
        <v>28.943750969978534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0.18289831917038532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136.06658776988323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3179.6682759568057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3179.6682759568057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2019-01-01T21:19:04Z</dcterms:modified>
</cp:coreProperties>
</file>