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D10" i="14" s="1"/>
  <c r="L6" i="17"/>
  <c r="L5" s="1"/>
  <c r="O4" i="48"/>
  <c r="O21" s="1"/>
  <c r="E16"/>
  <c r="I16"/>
  <c r="F16"/>
  <c r="J16"/>
  <c r="K16"/>
  <c r="D16"/>
  <c r="D27" s="1"/>
  <c r="H16"/>
  <c r="L16" i="16"/>
  <c r="L18" s="1"/>
  <c r="L22" s="1"/>
  <c r="M39" i="14" s="1"/>
  <c r="I14" i="15"/>
  <c r="I16" s="1"/>
  <c r="J10" i="14" s="1"/>
  <c r="B13" i="16"/>
  <c r="C35"/>
  <c r="D8" i="17"/>
  <c r="E9" i="14"/>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G19" i="18"/>
  <c r="K19"/>
  <c r="G9" i="14"/>
  <c r="M4" i="48"/>
  <c r="F11"/>
  <c r="K19" i="19"/>
  <c r="L35" i="14" s="1"/>
  <c r="I19" i="19"/>
  <c r="J35" i="14" s="1"/>
  <c r="E31" i="20"/>
  <c r="F43" i="14" s="1"/>
  <c r="B6" i="48"/>
  <c r="Q6" s="1"/>
  <c r="L12" i="13"/>
  <c r="M37" i="14" s="1"/>
  <c r="E8" i="16"/>
  <c r="B16" i="18"/>
  <c r="B78" i="14" s="1"/>
  <c r="F17"/>
  <c r="E13" i="48"/>
  <c r="E30" s="1"/>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I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K28" i="48" l="1"/>
  <c r="D28"/>
  <c r="D30"/>
  <c r="M13" i="14"/>
  <c r="F28" i="48"/>
  <c r="G22" i="14"/>
  <c r="P22" i="16"/>
  <c r="Q39" i="14" s="1"/>
  <c r="G11"/>
  <c r="J12" i="17"/>
  <c r="K48" i="14" s="1"/>
  <c r="Q13"/>
  <c r="B35" i="13"/>
  <c r="J15" i="14"/>
  <c r="J23" s="1"/>
  <c r="P8" i="48"/>
  <c r="P25" s="1"/>
  <c r="D18" i="16"/>
  <c r="G31" i="20"/>
  <c r="H43" i="14" s="1"/>
  <c r="G12" i="22"/>
  <c r="D16" i="15"/>
  <c r="K22" i="14"/>
  <c r="E8" i="17"/>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10"/>
  <c r="J5" i="15"/>
  <c r="F4" i="48"/>
  <c r="F21" s="1"/>
  <c r="B69" i="14"/>
  <c r="B4" i="6" s="1"/>
  <c r="L53" i="14"/>
  <c r="F5" i="15"/>
  <c r="F16" s="1"/>
  <c r="B5"/>
  <c r="B16" s="1"/>
  <c r="E13" i="14"/>
  <c r="B5" i="16"/>
  <c r="B18" s="1"/>
  <c r="N5" i="15"/>
  <c r="N16" s="1"/>
  <c r="F12" i="13"/>
  <c r="G37" i="14" s="1"/>
  <c r="P5" i="48"/>
  <c r="P22" s="1"/>
  <c r="F13" i="16"/>
  <c r="E13"/>
  <c r="N13"/>
  <c r="J13"/>
  <c r="B47" i="13"/>
  <c r="N12" i="16"/>
  <c r="J12"/>
  <c r="F12"/>
  <c r="E12"/>
  <c r="Q11" i="48"/>
  <c r="O5"/>
  <c r="R9" i="14"/>
  <c r="O28" i="48"/>
  <c r="H22"/>
  <c r="B46" i="13"/>
  <c r="E5" s="1"/>
  <c r="E8" s="1"/>
  <c r="K31" i="48"/>
  <c r="M25"/>
  <c r="M24"/>
  <c r="I31"/>
  <c r="C50" i="13"/>
  <c r="J5" s="1"/>
  <c r="J8" s="1"/>
  <c r="E12" i="17"/>
  <c r="F48" i="14" s="1"/>
  <c r="C5" i="48"/>
  <c r="Q41" i="14" l="1"/>
  <c r="Q53" s="1"/>
  <c r="Q55" s="1"/>
  <c r="Q15"/>
  <c r="Q23" s="1"/>
  <c r="H14" i="22"/>
  <c r="H18" i="14"/>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5" i="48" l="1"/>
  <c r="J22" s="1"/>
  <c r="R18" i="14"/>
  <c r="E41"/>
  <c r="F10"/>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Q4" i="48"/>
  <c r="N22"/>
  <c r="R11" i="14"/>
  <c r="J21" i="48"/>
  <c r="R10" i="14"/>
  <c r="C17" i="49" l="1"/>
  <c r="C29" i="20"/>
  <c r="C17" i="19"/>
  <c r="C19" s="1"/>
  <c r="D35" i="14" s="1"/>
  <c r="C20" i="16"/>
  <c r="C22" s="1"/>
  <c r="D39" i="14" s="1"/>
  <c r="C18" i="15"/>
  <c r="C20" s="1"/>
  <c r="D36" i="14" s="1"/>
  <c r="C10" i="13"/>
  <c r="C16" i="22"/>
  <c r="C10" i="17"/>
  <c r="C12" s="1"/>
  <c r="D48" i="14" s="1"/>
  <c r="C56" i="22"/>
  <c r="C58" s="1"/>
  <c r="D44" i="14" s="1"/>
  <c r="D46" s="1"/>
  <c r="Q5" i="48"/>
  <c r="C16"/>
  <c r="E22" i="16"/>
  <c r="F39" i="14" s="1"/>
  <c r="F41" s="1"/>
  <c r="F53" s="1"/>
  <c r="K13"/>
  <c r="K15" s="1"/>
  <c r="K23" s="1"/>
  <c r="G13"/>
  <c r="G15" s="1"/>
  <c r="G23" s="1"/>
  <c r="N8" i="48"/>
  <c r="N14" s="1"/>
  <c r="F8"/>
  <c r="F22" i="16"/>
  <c r="G39" i="14" s="1"/>
  <c r="G41" s="1"/>
  <c r="G53" s="1"/>
  <c r="O13"/>
  <c r="O15" s="1"/>
  <c r="N22" i="16"/>
  <c r="O39" i="14" s="1"/>
  <c r="O41" s="1"/>
  <c r="O53" s="1"/>
  <c r="E8" i="48"/>
  <c r="E25" s="1"/>
  <c r="E31" s="1"/>
  <c r="F13" i="14"/>
  <c r="F15" s="1"/>
  <c r="F23" s="1"/>
  <c r="J22" i="16"/>
  <c r="K39" i="14" s="1"/>
  <c r="K41" s="1"/>
  <c r="K53" s="1"/>
  <c r="K55" s="1"/>
  <c r="J8" i="48"/>
  <c r="J25" s="1"/>
  <c r="J31" s="1"/>
  <c r="E14"/>
  <c r="N55" i="14"/>
  <c r="H55"/>
  <c r="E55"/>
  <c r="C78"/>
  <c r="C81" s="1"/>
  <c r="J14" i="48"/>
  <c r="R19" i="14"/>
  <c r="R20" s="1"/>
  <c r="H14" i="48"/>
  <c r="G31"/>
  <c r="H26"/>
  <c r="H31" s="1"/>
  <c r="M53" i="14"/>
  <c r="M55" s="1"/>
  <c r="C12" i="13"/>
  <c r="D37" i="14" s="1"/>
  <c r="F25" i="48"/>
  <c r="F31" s="1"/>
  <c r="F14"/>
  <c r="N25" l="1"/>
  <c r="N31" s="1"/>
  <c r="D41" i="14"/>
  <c r="D53" s="1"/>
  <c r="D55" s="1"/>
  <c r="C28" i="48"/>
  <c r="C25"/>
  <c r="C22"/>
  <c r="C21"/>
  <c r="C24"/>
  <c r="G55" i="14"/>
  <c r="O69" s="1"/>
  <c r="B9" i="6" s="1"/>
  <c r="B12" s="1"/>
  <c r="B20" i="16" s="1"/>
  <c r="B22" s="1"/>
  <c r="C39" i="14" s="1"/>
  <c r="R39" s="1"/>
  <c r="F55"/>
  <c r="R13"/>
  <c r="R15" s="1"/>
  <c r="R23" s="1"/>
  <c r="Q8" i="48"/>
  <c r="Q14" s="1"/>
  <c r="O23" i="14"/>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<sst xmlns="http://schemas.openxmlformats.org/spreadsheetml/2006/main" count="2124" uniqueCount="860">
  <si>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</si>
  <si>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</si>
  <si>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</si>
  <si>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</si>
  <si>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</si>
  <si>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</si>
  <si>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</si>
  <si>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</si>
  <si>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</si>
  <si>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</si>
  <si>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</si>
  <si>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</si>
  <si>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</si>
  <si>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</si>
  <si>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</si>
  <si>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</si>
  <si>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</si>
  <si>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</si>
  <si>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</si>
  <si>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</si>
  <si>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</si>
  <si>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</si>
  <si>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</si>
  <si>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</si>
  <si>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</si>
  <si>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</si>
  <si>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</si>
  <si>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</si>
  <si>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</si>
  <si>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</si>
  <si>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</si>
  <si>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</si>
  <si>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</si>
  <si>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</si>
  <si>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</si>
  <si>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</si>
  <si>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</si>
  <si>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</si>
  <si>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</si>
  <si>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</si>
  <si>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</si>
  <si>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</si>
  <si>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</si>
  <si>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</si>
  <si>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</si>
  <si>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</si>
  <si>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</si>
  <si>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</si>
  <si>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</si>
  <si>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</si>
  <si>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</si>
  <si>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</si>
  <si>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</si>
  <si>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</si>
  <si>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</si>
  <si>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</si>
  <si>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</si>
  <si>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</si>
  <si>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</si>
  <si>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</si>
  <si>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</si>
  <si>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</si>
  <si>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</si>
  <si>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</si>
  <si>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</si>
  <si>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</si>
  <si>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</si>
  <si>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</si>
  <si>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</si>
  <si>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</si>
  <si>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</si>
  <si>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</si>
  <si>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</si>
  <si>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</si>
  <si>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</si>
  <si>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</si>
  <si>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</si>
  <si>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</si>
  <si>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</si>
  <si>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</si>
  <si>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</si>
  <si>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</si>
  <si>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</si>
  <si>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</si>
  <si>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</si>
  <si>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</si>
  <si>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</si>
  <si>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</si>
  <si>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</si>
  <si>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</si>
  <si>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</si>
  <si>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</si>
  <si>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</si>
  <si>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</si>
  <si>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</si>
  <si>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</si>
  <si>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</si>
  <si>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</si>
  <si>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</si>
  <si>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</si>
  <si>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</si>
  <si>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</si>
  <si>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</si>
  <si>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</si>
  <si>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</si>
  <si>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</si>
  <si>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</si>
  <si>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</si>
  <si>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</si>
  <si>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</si>
  <si>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</si>
  <si>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</si>
  <si>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</si>
  <si>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</si>
  <si>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</si>
  <si>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</si>
  <si>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</si>
  <si>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</si>
  <si>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</si>
  <si>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</si>
  <si>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</si>
  <si>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</si>
  <si>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</si>
  <si>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</si>
  <si>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</si>
  <si>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</si>
  <si>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</si>
  <si>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</si>
  <si>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</si>
  <si>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</si>
  <si>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</si>
  <si>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</si>
  <si>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</si>
  <si>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</si>
  <si>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</si>
  <si>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</si>
  <si>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</si>
  <si>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</si>
  <si>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</si>
  <si>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</si>
  <si>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</si>
  <si>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</si>
  <si>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</si>
  <si>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</si>
  <si>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</si>
  <si>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</si>
  <si>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</si>
  <si>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</si>
  <si>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</si>
  <si>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</si>
  <si>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</si>
  <si>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</si>
  <si>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</si>
  <si>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</si>
  <si>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</si>
  <si>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</si>
  <si>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</si>
  <si>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</si>
  <si>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</si>
  <si>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</si>
  <si>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</si>
  <si>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</si>
  <si>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</si>
  <si>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</si>
  <si>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</si>
  <si>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</si>
  <si>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</si>
  <si>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</si>
  <si>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</si>
  <si>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</si>
  <si>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</si>
  <si>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</si>
  <si>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</si>
  <si>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</si>
  <si>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</si>
  <si>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</si>
  <si>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</si>
  <si>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</si>
  <si>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</si>
  <si>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</si>
  <si>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</si>
  <si>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</si>
  <si>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</si>
  <si>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</si>
  <si>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</si>
  <si>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</si>
  <si>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</si>
  <si>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</si>
  <si>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</si>
  <si>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</si>
  <si>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</si>
  <si>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</si>
  <si>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</si>
  <si>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</si>
  <si>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</si>
  <si>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</si>
  <si>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</si>
  <si>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</si>
  <si>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</si>
  <si>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</si>
  <si>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</si>
  <si>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</si>
  <si>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</si>
  <si>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</si>
  <si>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</si>
  <si>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</si>
  <si>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</si>
  <si>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</si>
  <si>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</si>
  <si>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</si>
  <si>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</si>
  <si>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</si>
  <si>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</si>
  <si>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</si>
  <si>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</si>
  <si>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</si>
  <si>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</si>
  <si>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</si>
  <si>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</si>
  <si>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</si>
  <si>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</si>
  <si>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</si>
  <si>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</si>
  <si>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</si>
  <si>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</si>
  <si>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</si>
  <si>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</si>
  <si>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</si>
  <si>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</si>
  <si>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</si>
  <si>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</si>
  <si>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</si>
  <si>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</si>
  <si>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</si>
  <si>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</si>
  <si>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</si>
  <si>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</si>
  <si>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</si>
  <si>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</si>
  <si>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</si>
  <si>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</si>
  <si>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</si>
  <si>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</si>
  <si>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</si>
  <si>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</si>
  <si>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</si>
  <si>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</si>
  <si>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</si>
  <si>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</si>
  <si>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</si>
  <si>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</si>
  <si>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</si>
  <si>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</si>
  <si>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</si>
  <si>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</si>
  <si>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</si>
  <si>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</si>
  <si>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</si>
  <si>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</si>
  <si>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</si>
  <si>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</si>
  <si>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</si>
  <si>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</si>
  <si>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</si>
  <si>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</si>
  <si>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</si>
  <si>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</si>
  <si>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</si>
  <si>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</si>
  <si>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</si>
  <si>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</si>
  <si>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</si>
  <si>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</si>
  <si>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</si>
  <si>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</si>
  <si>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</si>
  <si>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</si>
  <si>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</si>
  <si>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</si>
  <si>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</si>
  <si>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</si>
  <si>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</si>
  <si>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</si>
  <si>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</si>
  <si>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</si>
  <si>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</si>
  <si>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</si>
  <si>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</si>
  <si>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</si>
  <si>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</si>
  <si>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</si>
  <si>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</si>
  <si>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</si>
  <si>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</si>
  <si>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</si>
  <si>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</si>
  <si>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</si>
  <si>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</si>
  <si>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</si>
  <si>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</si>
  <si>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</si>
  <si>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</si>
  <si>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</si>
  <si>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</si>
  <si>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</si>
  <si>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</si>
  <si>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</si>
  <si>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</si>
  <si>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</si>
  <si>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</si>
  <si>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</si>
  <si>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</si>
  <si>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</si>
  <si>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</si>
  <si>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</si>
  <si>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</si>
  <si>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</si>
  <si>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</si>
  <si>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</si>
  <si>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</si>
  <si>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</si>
  <si>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</si>
  <si>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</si>
  <si>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</si>
  <si>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</si>
  <si>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</si>
  <si>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</si>
  <si>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</si>
  <si>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</si>
  <si>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</si>
  <si>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</si>
  <si>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</si>
  <si>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</si>
  <si>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</si>
  <si>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</si>
  <si>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</si>
  <si>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</si>
  <si>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</si>
  <si>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</si>
  <si>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</si>
  <si>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</si>
  <si>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</si>
  <si>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</si>
  <si>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</si>
  <si>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</si>
  <si>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</si>
  <si>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</si>
  <si>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</si>
  <si>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</si>
  <si>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</si>
  <si>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</si>
  <si>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</si>
  <si>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</si>
  <si>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</si>
  <si>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</si>
  <si>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</si>
  <si>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</si>
  <si>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</si>
  <si>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</si>
  <si>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</si>
  <si>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</si>
  <si>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</si>
  <si>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</si>
  <si>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</si>
  <si>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</si>
  <si>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</si>
  <si>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</si>
  <si>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</si>
  <si>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</si>
  <si>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</si>
  <si>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</si>
  <si>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</si>
  <si>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</si>
  <si>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</si>
  <si>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</si>
  <si>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</si>
  <si>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</si>
  <si>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</si>
  <si>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</si>
  <si>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</si>
  <si>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</si>
  <si>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</si>
  <si>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</si>
  <si>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</si>
  <si>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</si>
  <si>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</si>
  <si>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</si>
  <si>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</si>
  <si>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</si>
  <si>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</si>
  <si>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</si>
  <si>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</si>
  <si>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</si>
  <si>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</si>
  <si>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</si>
  <si>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</si>
  <si>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</si>
  <si>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</si>
  <si>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</si>
  <si>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</si>
  <si>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</si>
  <si>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</si>
  <si>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</si>
  <si>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</si>
  <si>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</si>
  <si>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</si>
  <si>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</si>
  <si>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</si>
  <si>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</si>
  <si>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</si>
  <si>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</si>
  <si>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</si>
  <si>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</si>
  <si>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</si>
  <si>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</si>
  <si>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</si>
  <si>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</si>
  <si>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</si>
  <si>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</si>
  <si>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</si>
  <si>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</si>
  <si>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</si>
  <si>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</si>
  <si>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</si>
  <si>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</si>
  <si>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</si>
  <si>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</si>
  <si>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</si>
  <si>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</si>
  <si>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</si>
  <si>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</si>
  <si>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</si>
  <si>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</si>
  <si>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</si>
  <si>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</si>
  <si>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</si>
  <si>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</si>
  <si>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</si>
  <si>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</si>
  <si>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</si>
  <si>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</si>
  <si>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</si>
  <si>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</si>
  <si>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</si>
  <si>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</si>
  <si>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</si>
  <si>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</si>
  <si>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</si>
  <si>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</si>
  <si>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</si>
  <si>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</si>
  <si>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</si>
  <si>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</si>
  <si>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</si>
  <si>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</si>
  <si>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</si>
  <si>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</si>
  <si>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</si>
  <si>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</si>
  <si>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</si>
  <si>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</si>
  <si>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</si>
  <si>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</si>
  <si>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</si>
  <si>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</si>
  <si>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</si>
  <si>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</si>
  <si>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</si>
  <si>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</si>
  <si>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</si>
  <si>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</si>
  <si>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</si>
  <si>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</si>
  <si>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</si>
  <si>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</si>
  <si>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</si>
  <si>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</si>
  <si>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</si>
  <si>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</si>
  <si>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</si>
  <si>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</si>
  <si>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</si>
  <si>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</si>
  <si>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</si>
  <si>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</si>
  <si>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</si>
  <si>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</si>
  <si>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</si>
  <si>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</si>
  <si>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</si>
  <si>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</si>
  <si>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</si>
  <si>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</si>
  <si>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</si>
  <si>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</si>
  <si>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</si>
  <si>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</si>
  <si>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</si>
  <si>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</si>
  <si>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</si>
  <si>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</si>
  <si>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</si>
  <si>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</si>
  <si>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</si>
  <si>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</si>
  <si>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</si>
  <si>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</si>
  <si>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</si>
  <si>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</si>
  <si>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</si>
  <si>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</si>
  <si>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</si>
  <si>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</si>
  <si>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</si>
  <si>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</si>
  <si>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</si>
  <si>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</si>
  <si>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</si>
  <si>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</si>
  <si>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</si>
  <si>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</si>
  <si>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</si>
  <si>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</si>
  <si>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</si>
  <si>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</si>
  <si>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</si>
  <si>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</si>
  <si>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</si>
  <si>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</si>
  <si>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</si>
  <si>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</si>
  <si>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</si>
  <si>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</si>
  <si>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</si>
  <si>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</si>
  <si>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</si>
  <si>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</si>
  <si>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</si>
  <si>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</si>
  <si>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</si>
  <si>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</si>
  <si>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</si>
  <si>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</si>
  <si>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</si>
  <si>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</si>
  <si>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</si>
  <si>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</si>
  <si>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</si>
  <si>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</si>
  <si>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</si>
  <si>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</si>
  <si>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</si>
  <si>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</si>
  <si>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</si>
  <si>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</si>
  <si>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</si>
  <si>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</si>
  <si>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</si>
  <si>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</si>
  <si>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</si>
  <si>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</si>
  <si>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</si>
  <si>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</si>
  <si>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</si>
  <si>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</si>
  <si>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</si>
  <si>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</si>
  <si>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</si>
  <si>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</si>
  <si>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</si>
  <si>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</si>
  <si>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</si>
  <si>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</si>
  <si>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</si>
  <si>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</si>
  <si>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</si>
  <si>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</si>
  <si>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</si>
  <si>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</si>
  <si>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</si>
  <si>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</si>
  <si>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</si>
  <si>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</si>
  <si>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</si>
  <si>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</si>
  <si>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</si>
  <si>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</si>
  <si>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</si>
  <si>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</si>
  <si>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</si>
  <si>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</si>
  <si>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</si>
  <si>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</si>
  <si>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</si>
  <si>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</si>
  <si>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</si>
  <si>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</si>
  <si>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</si>
  <si>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</si>
  <si>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</si>
  <si>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</si>
  <si>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</si>
  <si>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</si>
  <si>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</si>
  <si>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</si>
  <si>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</si>
  <si>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</si>
  <si>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</si>
  <si>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</si>
  <si>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</si>
  <si>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</si>
  <si>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</si>
  <si>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</si>
  <si>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</si>
  <si>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</si>
  <si>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</si>
  <si>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</si>
  <si>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</si>
  <si>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</si>
  <si>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</si>
  <si>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</si>
  <si>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</si>
  <si>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</si>
  <si>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</si>
  <si>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</si>
  <si>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</si>
  <si>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</si>
  <si>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</si>
  <si>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</si>
  <si>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</si>
  <si>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</si>
  <si>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</si>
  <si>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</si>
  <si>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</si>
  <si>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</si>
  <si>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</si>
  <si>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</si>
  <si>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</si>
  <si>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</si>
  <si>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</si>
  <si>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</si>
  <si>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</si>
  <si>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</si>
  <si>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</si>
  <si>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</si>
  <si>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</si>
  <si>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</si>
  <si>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</si>
  <si>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</si>
  <si>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</si>
  <si>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</si>
  <si>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</si>
  <si>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</si>
  <si>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</si>
  <si>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</si>
  <si>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</si>
  <si>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</si>
  <si>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</si>
  <si>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</si>
  <si>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</si>
  <si>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</si>
  <si>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</si>
  <si>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</si>
  <si>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</si>
  <si>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</si>
  <si>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</si>
  <si>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</si>
  <si>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</si>
  <si>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</si>
  <si>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</si>
  <si>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</si>
  <si>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</si>
  <si>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</si>
  <si>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</si>
  <si>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</si>
  <si>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</si>
  <si>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</si>
  <si>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</si>
  <si>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</si>
  <si>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</si>
  <si>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</si>
  <si>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</si>
  <si>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</si>
  <si>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</si>
  <si>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</si>
  <si>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</si>
  <si>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</si>
  <si>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</si>
  <si>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</si>
  <si>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</si>
  <si>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</si>
  <si>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</si>
  <si>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</si>
  <si>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</si>
  <si>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</si>
  <si>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</si>
  <si>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</si>
  <si>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</si>
  <si>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</si>
  <si>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</si>
  <si>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</si>
  <si>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</si>
  <si>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</si>
  <si>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</si>
  <si>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</si>
  <si>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</si>
  <si>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</si>
  <si>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</si>
  <si>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</si>
  <si>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</si>
  <si>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</si>
  <si>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</si>
  <si>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</si>
  <si>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</si>
  <si>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</si>
  <si>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</si>
  <si>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</si>
  <si>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</si>
  <si>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</si>
  <si>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</si>
  <si>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</si>
  <si>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</si>
  <si>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</si>
  <si>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</si>
  <si>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</si>
  <si>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</si>
  <si>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</si>
  <si>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</si>
  <si>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</si>
  <si>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</si>
  <si>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</si>
  <si>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</si>
  <si>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</si>
  <si>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</si>
  <si>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</si>
  <si>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</si>
  <si>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</si>
  <si>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</si>
  <si>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</si>
  <si>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</si>
  <si>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</si>
  <si>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</si>
  <si>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</si>
  <si>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</si>
  <si>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</si>
  <si>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</si>
  <si>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</si>
  <si>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</si>
  <si>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</si>
  <si>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</si>
  <si>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</si>
  <si>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</si>
  <si>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</si>
  <si>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</si>
  <si>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</si>
  <si>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</si>
  <si>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</si>
  <si>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</si>
  <si>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</si>
  <si>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</si>
  <si>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</si>
  <si>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</si>
  <si>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</si>
  <si>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</si>
  <si>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</si>
  <si>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</si>
  <si>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</si>
  <si>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</si>
  <si>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</si>
  <si>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</si>
  <si>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</si>
  <si>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</si>
  <si>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</si>
  <si>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</si>
  <si>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</si>
  <si>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</si>
  <si>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</si>
  <si>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</si>
  <si>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</si>
  <si>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</si>
  <si>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</si>
  <si>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</si>
  <si>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</si>
  <si>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</si>
  <si>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</si>
  <si>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</si>
  <si>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</si>
  <si>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</si>
  <si>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</si>
  <si>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</si>
  <si>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</si>
  <si>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</si>
  <si>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</si>
  <si>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</si>
  <si>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</si>
  <si>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</si>
  <si>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</si>
  <si>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</si>
  <si>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</si>
  <si>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</si>
  <si>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</si>
  <si>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</si>
  <si>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</si>
  <si>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</si>
  <si>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</si>
  <si>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</si>
  <si>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</si>
  <si>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</si>
  <si>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</si>
  <si>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</si>
  <si>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</si>
  <si>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</si>
  <si>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</si>
  <si>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</si>
  <si>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</si>
  <si>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</si>
  <si>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</si>
  <si>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</si>
  <si>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</si>
  <si>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</si>
  <si>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</si>
  <si>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</si>
  <si>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</si>
  <si>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</si>
  <si>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</si>
  <si>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</si>
  <si>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</si>
  <si>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</si>
  <si>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</si>
  <si>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</si>
  <si>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</si>
  <si>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</si>
  <si>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</si>
  <si>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</si>
  <si>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</si>
  <si>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</si>
  <si>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24062</t>
  </si>
  <si>
    <t>LEUVEN</t>
  </si>
  <si>
    <t>Eandis (januari 2018); Infrax (juni 2018)</t>
  </si>
  <si>
    <t>MOW (september 2017)</t>
  </si>
  <si>
    <t>referentietaak LNE (2017); Jaarverslag De Lijn (2016)</t>
  </si>
  <si>
    <t>VEA (april 2018)</t>
  </si>
  <si>
    <t>VEA (januari 2017)</t>
  </si>
  <si>
    <t>VEA (juni 2018)</t>
  </si>
  <si>
    <t>Sterrekes Kinderdagverblijf vzw</t>
  </si>
  <si>
    <t>Geldenaaksebaan 438 , 3001 Heverlee</t>
  </si>
  <si>
    <t>WKK-0431 De Sterrekes Kinderdagverblijf</t>
  </si>
  <si>
    <t>interne verbrandingsmotor</t>
  </si>
  <si>
    <t>WKK interne verbrandinsgmotor (gas)</t>
  </si>
  <si>
    <t>IVERLEK</t>
  </si>
  <si>
    <t>WKK-0698 Lieven Herbots</t>
  </si>
  <si>
    <t>brandstofcel</t>
  </si>
  <si>
    <t>Bertemstraat 25 , 3001 Heverlee</t>
  </si>
  <si>
    <t>Aquafin NV</t>
  </si>
  <si>
    <t>Dijkstraat 8 , 2630 Aartselaar</t>
  </si>
  <si>
    <t>BGS-0016 RWZI Leuven (GSC rest)</t>
  </si>
  <si>
    <t>biogas - RWZI</t>
  </si>
  <si>
    <t>niet WKK interne verbrandingsmotor (gas)</t>
  </si>
  <si>
    <t>Aarschotsesteenweg 208 , 3010 Kessel-Lo</t>
  </si>
  <si>
    <t>Iverlek</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</si>
</sst>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721549.36847993673</c:v>
                </c:pt>
                <c:pt idx="1">
                  <c:v>1098410.3418381992</c:v>
                </c:pt>
                <c:pt idx="2">
                  <c:v>5448.2659999999996</c:v>
                </c:pt>
                <c:pt idx="3">
                  <c:v>44298.8609357163</c:v>
                </c:pt>
                <c:pt idx="4">
                  <c:v>286069.97985308623</c:v>
                </c:pt>
                <c:pt idx="5">
                  <c:v>581921.69587766053</c:v>
                </c:pt>
                <c:pt idx="6">
                  <c:v>24559.844238758895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29536"/>
        <c:axId val="183760000"/>
      </c:barChart>
      <c:catAx>
        <c:axId val="183729536"/>
        <c:scaling>
          <c:orientation val="minMax"/>
        </c:scaling>
        <c:axPos val="b"/>
        <c:numFmt formatCode="General" sourceLinked="0"/>
        <c:tickLblPos val="nextTo"/>
        <c:crossAx val="183760000"/>
        <c:crosses val="autoZero"/>
        <c:auto val="1"/>
        <c:lblAlgn val="ctr"/>
        <c:lblOffset val="100"/>
      </c:catAx>
      <c:valAx>
        <c:axId val="183760000"/>
        <c:scaling>
          <c:orientation val="minMax"/>
        </c:scaling>
        <c:axPos val="l"/>
        <c:majorGridlines>
          <c:spPr>
            <a:ln>
              <a:noFill/>
            </a:ln>
          </c:spPr>
        </c:majorGridlines>
        <c:numFmt formatCode="#,##0" sourceLinked="1"/>
        <c:tickLblPos val="nextTo"/>
        <c:crossAx val="18372953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721549.36847993673</c:v>
                </c:pt>
                <c:pt idx="1">
                  <c:v>1098410.3418381992</c:v>
                </c:pt>
                <c:pt idx="2">
                  <c:v>5448.2659999999996</c:v>
                </c:pt>
                <c:pt idx="3">
                  <c:v>44298.8609357163</c:v>
                </c:pt>
                <c:pt idx="4">
                  <c:v>286069.97985308623</c:v>
                </c:pt>
                <c:pt idx="5">
                  <c:v>581921.69587766053</c:v>
                </c:pt>
                <c:pt idx="6">
                  <c:v>24559.844238758895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150868.1674641647</c:v>
                </c:pt>
                <c:pt idx="1">
                  <c:v>229327.91999216122</c:v>
                </c:pt>
                <c:pt idx="2">
                  <c:v>1180.801963609531</c:v>
                </c:pt>
                <c:pt idx="3">
                  <c:v>9409.5815860864495</c:v>
                </c:pt>
                <c:pt idx="4">
                  <c:v>56375.090750321666</c:v>
                </c:pt>
                <c:pt idx="5">
                  <c:v>145555.85468492762</c:v>
                </c:pt>
                <c:pt idx="6">
                  <c:v>6205.0584826393524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78560"/>
        <c:axId val="184180096"/>
      </c:barChart>
      <c:catAx>
        <c:axId val="184178560"/>
        <c:scaling>
          <c:orientation val="minMax"/>
        </c:scaling>
        <c:axPos val="b"/>
        <c:numFmt formatCode="General" sourceLinked="0"/>
        <c:tickLblPos val="nextTo"/>
        <c:crossAx val="184180096"/>
        <c:crosses val="autoZero"/>
        <c:auto val="1"/>
        <c:lblAlgn val="ctr"/>
        <c:lblOffset val="100"/>
      </c:catAx>
      <c:valAx>
        <c:axId val="184180096"/>
        <c:scaling>
          <c:orientation val="minMax"/>
        </c:scaling>
        <c:axPos val="l"/>
        <c:majorGridlines>
          <c:spPr>
            <a:ln>
              <a:noFill/>
            </a:ln>
          </c:spPr>
        </c:majorGridlines>
        <c:numFmt formatCode="#,##0" sourceLinked="1"/>
        <c:tickLblPos val="nextTo"/>
        <c:crossAx val="18417856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150868.1674641647</c:v>
                </c:pt>
                <c:pt idx="1">
                  <c:v>229327.91999216122</c:v>
                </c:pt>
                <c:pt idx="2">
                  <c:v>1180.801963609531</c:v>
                </c:pt>
                <c:pt idx="3">
                  <c:v>9409.5815860864495</c:v>
                </c:pt>
                <c:pt idx="4">
                  <c:v>56375.090750321666</c:v>
                </c:pt>
                <c:pt idx="5">
                  <c:v>145555.85468492762</c:v>
                </c:pt>
                <c:pt idx="6">
                  <c:v>6205.0584826393524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24062</v>
      </c>
      <c r="B6" s="415"/>
      <c r="C6" s="416"/>
    </row>
    <row r="7" spans="1:7" s="413" customFormat="1" ht="15.75" customHeight="1">
      <c r="A7" s="417" t="str">
        <f>txtMunicipality</f>
        <v>LEUVEN</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24062</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48854</v>
      </c>
      <c r="C9" s="342">
        <v>48019</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1080.4100000000001</v>
      </c>
    </row>
    <row r="15" spans="1:6">
      <c r="A15" s="348" t="s">
        <v>184</v>
      </c>
      <c r="B15" s="334">
        <v>3</v>
      </c>
    </row>
    <row r="16" spans="1:6">
      <c r="A16" s="348" t="s">
        <v>6</v>
      </c>
      <c r="B16" s="334">
        <v>106</v>
      </c>
    </row>
    <row r="17" spans="1:6">
      <c r="A17" s="348" t="s">
        <v>7</v>
      </c>
      <c r="B17" s="334">
        <v>149</v>
      </c>
    </row>
    <row r="18" spans="1:6">
      <c r="A18" s="348" t="s">
        <v>8</v>
      </c>
      <c r="B18" s="334">
        <v>155</v>
      </c>
    </row>
    <row r="19" spans="1:6">
      <c r="A19" s="348" t="s">
        <v>9</v>
      </c>
      <c r="B19" s="334">
        <v>135</v>
      </c>
    </row>
    <row r="20" spans="1:6">
      <c r="A20" s="348" t="s">
        <v>10</v>
      </c>
      <c r="B20" s="334">
        <v>102</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212</v>
      </c>
    </row>
    <row r="27" spans="1:6">
      <c r="A27" s="348" t="s">
        <v>17</v>
      </c>
      <c r="B27" s="334">
        <v>2</v>
      </c>
    </row>
    <row r="28" spans="1:6" s="356" customFormat="1">
      <c r="A28" s="355" t="s">
        <v>18</v>
      </c>
      <c r="B28" s="355">
        <v>30</v>
      </c>
    </row>
    <row r="29" spans="1:6">
      <c r="A29" s="355" t="s">
        <v>744</v>
      </c>
      <c r="B29" s="355">
        <v>84</v>
      </c>
      <c r="C29" s="356"/>
      <c r="D29" s="356"/>
      <c r="E29" s="356"/>
      <c r="F29" s="356"/>
    </row>
    <row r="30" spans="1:6">
      <c r="A30" s="341" t="s">
        <v>745</v>
      </c>
      <c r="B30" s="341">
        <v>18</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7</v>
      </c>
      <c r="D36" s="334">
        <v>2042479.70712584</v>
      </c>
      <c r="E36" s="334">
        <v>10</v>
      </c>
      <c r="F36" s="334">
        <v>596667.67338985903</v>
      </c>
    </row>
    <row r="37" spans="1:6">
      <c r="A37" s="348" t="s">
        <v>25</v>
      </c>
      <c r="B37" s="348" t="s">
        <v>28</v>
      </c>
      <c r="C37" s="334">
        <v>0</v>
      </c>
      <c r="D37" s="334">
        <v>0</v>
      </c>
      <c r="E37" s="334">
        <v>0</v>
      </c>
      <c r="F37" s="334">
        <v>0</v>
      </c>
    </row>
    <row r="38" spans="1:6">
      <c r="A38" s="348" t="s">
        <v>25</v>
      </c>
      <c r="B38" s="348" t="s">
        <v>29</v>
      </c>
      <c r="C38" s="334">
        <v>2</v>
      </c>
      <c r="D38" s="334">
        <v>1056138.16932803</v>
      </c>
      <c r="E38" s="334">
        <v>11</v>
      </c>
      <c r="F38" s="334">
        <v>391158.96333048702</v>
      </c>
    </row>
    <row r="39" spans="1:6">
      <c r="A39" s="348" t="s">
        <v>30</v>
      </c>
      <c r="B39" s="348" t="s">
        <v>31</v>
      </c>
      <c r="C39" s="334">
        <v>29477</v>
      </c>
      <c r="D39" s="334">
        <v>455388476.07320398</v>
      </c>
      <c r="E39" s="334">
        <v>46326</v>
      </c>
      <c r="F39" s="334">
        <v>133251110.348225</v>
      </c>
    </row>
    <row r="40" spans="1:6">
      <c r="A40" s="348" t="s">
        <v>30</v>
      </c>
      <c r="B40" s="348" t="s">
        <v>29</v>
      </c>
      <c r="C40" s="334">
        <v>0</v>
      </c>
      <c r="D40" s="334">
        <v>0</v>
      </c>
      <c r="E40" s="334">
        <v>0</v>
      </c>
      <c r="F40" s="334">
        <v>0</v>
      </c>
    </row>
    <row r="41" spans="1:6">
      <c r="A41" s="348" t="s">
        <v>32</v>
      </c>
      <c r="B41" s="348" t="s">
        <v>33</v>
      </c>
      <c r="C41" s="334">
        <v>220</v>
      </c>
      <c r="D41" s="334">
        <v>26836184.023727499</v>
      </c>
      <c r="E41" s="334">
        <v>537</v>
      </c>
      <c r="F41" s="334">
        <v>26934261.735626999</v>
      </c>
    </row>
    <row r="42" spans="1:6">
      <c r="A42" s="348" t="s">
        <v>32</v>
      </c>
      <c r="B42" s="348" t="s">
        <v>34</v>
      </c>
      <c r="C42" s="334">
        <v>0</v>
      </c>
      <c r="D42" s="334">
        <v>0</v>
      </c>
      <c r="E42" s="334">
        <v>3</v>
      </c>
      <c r="F42" s="334">
        <v>24407.996694070898</v>
      </c>
    </row>
    <row r="43" spans="1:6">
      <c r="A43" s="348" t="s">
        <v>32</v>
      </c>
      <c r="B43" s="348" t="s">
        <v>35</v>
      </c>
      <c r="C43" s="334">
        <v>0</v>
      </c>
      <c r="D43" s="334">
        <v>0</v>
      </c>
      <c r="E43" s="334">
        <v>0</v>
      </c>
      <c r="F43" s="334">
        <v>0</v>
      </c>
    </row>
    <row r="44" spans="1:6">
      <c r="A44" s="348" t="s">
        <v>32</v>
      </c>
      <c r="B44" s="348" t="s">
        <v>36</v>
      </c>
      <c r="C44" s="334">
        <v>4</v>
      </c>
      <c r="D44" s="334">
        <v>104909.720733232</v>
      </c>
      <c r="E44" s="334">
        <v>34</v>
      </c>
      <c r="F44" s="334">
        <v>1835470.65858953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28</v>
      </c>
      <c r="D47" s="334">
        <v>1927991.22026227</v>
      </c>
      <c r="E47" s="334">
        <v>44</v>
      </c>
      <c r="F47" s="334">
        <v>1833189.0681624601</v>
      </c>
    </row>
    <row r="48" spans="1:6">
      <c r="A48" s="348" t="s">
        <v>32</v>
      </c>
      <c r="B48" s="348" t="s">
        <v>29</v>
      </c>
      <c r="C48" s="334">
        <v>105</v>
      </c>
      <c r="D48" s="334">
        <v>82539363.787051097</v>
      </c>
      <c r="E48" s="334">
        <v>133</v>
      </c>
      <c r="F48" s="334">
        <v>47609320.146550201</v>
      </c>
    </row>
    <row r="49" spans="1:6">
      <c r="A49" s="348" t="s">
        <v>32</v>
      </c>
      <c r="B49" s="348" t="s">
        <v>40</v>
      </c>
      <c r="C49" s="334">
        <v>8</v>
      </c>
      <c r="D49" s="334">
        <v>196909.26086645099</v>
      </c>
      <c r="E49" s="334">
        <v>12</v>
      </c>
      <c r="F49" s="334">
        <v>121314.842545622</v>
      </c>
    </row>
    <row r="50" spans="1:6">
      <c r="A50" s="348" t="s">
        <v>32</v>
      </c>
      <c r="B50" s="348" t="s">
        <v>41</v>
      </c>
      <c r="C50" s="334">
        <v>38</v>
      </c>
      <c r="D50" s="334">
        <v>6754404.34318191</v>
      </c>
      <c r="E50" s="334">
        <v>63</v>
      </c>
      <c r="F50" s="334">
        <v>29976498.106290601</v>
      </c>
    </row>
    <row r="51" spans="1:6">
      <c r="A51" s="348" t="s">
        <v>42</v>
      </c>
      <c r="B51" s="348" t="s">
        <v>43</v>
      </c>
      <c r="C51" s="334">
        <v>24</v>
      </c>
      <c r="D51" s="334">
        <v>1063750.9782010301</v>
      </c>
      <c r="E51" s="334">
        <v>42</v>
      </c>
      <c r="F51" s="334">
        <v>539423.34277153003</v>
      </c>
    </row>
    <row r="52" spans="1:6">
      <c r="A52" s="348" t="s">
        <v>42</v>
      </c>
      <c r="B52" s="348" t="s">
        <v>29</v>
      </c>
      <c r="C52" s="334">
        <v>20</v>
      </c>
      <c r="D52" s="334">
        <v>874367.54469814396</v>
      </c>
      <c r="E52" s="334">
        <v>24</v>
      </c>
      <c r="F52" s="334">
        <v>956692.44242032303</v>
      </c>
    </row>
    <row r="53" spans="1:6">
      <c r="A53" s="348" t="s">
        <v>44</v>
      </c>
      <c r="B53" s="348" t="s">
        <v>45</v>
      </c>
      <c r="C53" s="334">
        <v>1549</v>
      </c>
      <c r="D53" s="334">
        <v>38316069.032374598</v>
      </c>
      <c r="E53" s="334">
        <v>3090</v>
      </c>
      <c r="F53" s="334">
        <v>11225564.970216099</v>
      </c>
    </row>
    <row r="54" spans="1:6">
      <c r="A54" s="348" t="s">
        <v>46</v>
      </c>
      <c r="B54" s="348" t="s">
        <v>47</v>
      </c>
      <c r="C54" s="334">
        <v>0</v>
      </c>
      <c r="D54" s="334">
        <v>0</v>
      </c>
      <c r="E54" s="334">
        <v>1</v>
      </c>
      <c r="F54" s="334">
        <v>5448266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282</v>
      </c>
      <c r="D57" s="334">
        <v>20410641.661614299</v>
      </c>
      <c r="E57" s="334">
        <v>491</v>
      </c>
      <c r="F57" s="334">
        <v>25545778.4251993</v>
      </c>
    </row>
    <row r="58" spans="1:6">
      <c r="A58" s="348" t="s">
        <v>49</v>
      </c>
      <c r="B58" s="348" t="s">
        <v>51</v>
      </c>
      <c r="C58" s="334">
        <v>312</v>
      </c>
      <c r="D58" s="334">
        <v>24066206.9822933</v>
      </c>
      <c r="E58" s="334">
        <v>449</v>
      </c>
      <c r="F58" s="334">
        <v>8683786.2001868095</v>
      </c>
    </row>
    <row r="59" spans="1:6">
      <c r="A59" s="348" t="s">
        <v>49</v>
      </c>
      <c r="B59" s="348" t="s">
        <v>52</v>
      </c>
      <c r="C59" s="334">
        <v>624</v>
      </c>
      <c r="D59" s="334">
        <v>26688469.492465802</v>
      </c>
      <c r="E59" s="334">
        <v>1158</v>
      </c>
      <c r="F59" s="334">
        <v>41944775.505364299</v>
      </c>
    </row>
    <row r="60" spans="1:6">
      <c r="A60" s="348" t="s">
        <v>49</v>
      </c>
      <c r="B60" s="348" t="s">
        <v>53</v>
      </c>
      <c r="C60" s="334">
        <v>664</v>
      </c>
      <c r="D60" s="334">
        <v>225202189.30607399</v>
      </c>
      <c r="E60" s="334">
        <v>768</v>
      </c>
      <c r="F60" s="334">
        <v>257435560.510297</v>
      </c>
    </row>
    <row r="61" spans="1:6">
      <c r="A61" s="348" t="s">
        <v>49</v>
      </c>
      <c r="B61" s="348" t="s">
        <v>54</v>
      </c>
      <c r="C61" s="334">
        <v>1852</v>
      </c>
      <c r="D61" s="334">
        <v>153469820.75454101</v>
      </c>
      <c r="E61" s="334">
        <v>3825</v>
      </c>
      <c r="F61" s="334">
        <v>106592150.932666</v>
      </c>
    </row>
    <row r="62" spans="1:6">
      <c r="A62" s="348" t="s">
        <v>49</v>
      </c>
      <c r="B62" s="348" t="s">
        <v>55</v>
      </c>
      <c r="C62" s="334">
        <v>92</v>
      </c>
      <c r="D62" s="334">
        <v>21515513.700772598</v>
      </c>
      <c r="E62" s="334">
        <v>118</v>
      </c>
      <c r="F62" s="334">
        <v>6147653.5528529696</v>
      </c>
    </row>
    <row r="63" spans="1:6">
      <c r="A63" s="348" t="s">
        <v>49</v>
      </c>
      <c r="B63" s="348" t="s">
        <v>29</v>
      </c>
      <c r="C63" s="334">
        <v>410</v>
      </c>
      <c r="D63" s="334">
        <v>112488816.130051</v>
      </c>
      <c r="E63" s="334">
        <v>451</v>
      </c>
      <c r="F63" s="334">
        <v>26884185.339225899</v>
      </c>
    </row>
    <row r="64" spans="1:6">
      <c r="A64" s="348" t="s">
        <v>56</v>
      </c>
      <c r="B64" s="348" t="s">
        <v>57</v>
      </c>
      <c r="C64" s="334">
        <v>0</v>
      </c>
      <c r="D64" s="334">
        <v>0</v>
      </c>
      <c r="E64" s="334">
        <v>0</v>
      </c>
      <c r="F64" s="334">
        <v>0</v>
      </c>
    </row>
    <row r="65" spans="1:6">
      <c r="A65" s="348" t="s">
        <v>56</v>
      </c>
      <c r="B65" s="348" t="s">
        <v>29</v>
      </c>
      <c r="C65" s="334">
        <v>13</v>
      </c>
      <c r="D65" s="334">
        <v>3628652.3009434799</v>
      </c>
      <c r="E65" s="334">
        <v>7</v>
      </c>
      <c r="F65" s="334">
        <v>73847.547392084103</v>
      </c>
    </row>
    <row r="66" spans="1:6">
      <c r="A66" s="348" t="s">
        <v>56</v>
      </c>
      <c r="B66" s="348" t="s">
        <v>58</v>
      </c>
      <c r="C66" s="334">
        <v>0</v>
      </c>
      <c r="D66" s="334">
        <v>0</v>
      </c>
      <c r="E66" s="334">
        <v>63</v>
      </c>
      <c r="F66" s="334">
        <v>3422202.7619016501</v>
      </c>
    </row>
    <row r="67" spans="1:6">
      <c r="A67" s="355" t="s">
        <v>56</v>
      </c>
      <c r="B67" s="355" t="s">
        <v>59</v>
      </c>
      <c r="C67" s="334">
        <v>0</v>
      </c>
      <c r="D67" s="334">
        <v>0</v>
      </c>
      <c r="E67" s="334">
        <v>0</v>
      </c>
      <c r="F67" s="334">
        <v>0</v>
      </c>
    </row>
    <row r="68" spans="1:6">
      <c r="A68" s="341" t="s">
        <v>56</v>
      </c>
      <c r="B68" s="341" t="s">
        <v>60</v>
      </c>
      <c r="C68" s="334">
        <v>13</v>
      </c>
      <c r="D68" s="334">
        <v>602101.65642908297</v>
      </c>
      <c r="E68" s="334">
        <v>24</v>
      </c>
      <c r="F68" s="334">
        <v>1204868.0192778099</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180798950</v>
      </c>
      <c r="E73" s="476">
        <v>199881438.02433458</v>
      </c>
    </row>
    <row r="74" spans="1:6">
      <c r="A74" s="348" t="s">
        <v>64</v>
      </c>
      <c r="B74" s="348" t="s">
        <v>657</v>
      </c>
      <c r="C74" s="1272" t="s">
        <v>659</v>
      </c>
      <c r="D74" s="476">
        <v>6380243.8898864454</v>
      </c>
      <c r="E74" s="476">
        <v>6542007.0372506846</v>
      </c>
    </row>
    <row r="75" spans="1:6">
      <c r="A75" s="348" t="s">
        <v>65</v>
      </c>
      <c r="B75" s="348" t="s">
        <v>656</v>
      </c>
      <c r="C75" s="1272" t="s">
        <v>660</v>
      </c>
      <c r="D75" s="476">
        <v>114287333</v>
      </c>
      <c r="E75" s="476">
        <v>126372646.0874704</v>
      </c>
    </row>
    <row r="76" spans="1:6">
      <c r="A76" s="348" t="s">
        <v>65</v>
      </c>
      <c r="B76" s="348" t="s">
        <v>657</v>
      </c>
      <c r="C76" s="1272" t="s">
        <v>661</v>
      </c>
      <c r="D76" s="476">
        <v>678638.88988644537</v>
      </c>
      <c r="E76" s="476">
        <v>818371.3312086598</v>
      </c>
    </row>
    <row r="77" spans="1:6">
      <c r="A77" s="348" t="s">
        <v>66</v>
      </c>
      <c r="B77" s="348" t="s">
        <v>656</v>
      </c>
      <c r="C77" s="1272" t="s">
        <v>662</v>
      </c>
      <c r="D77" s="476">
        <v>383796837</v>
      </c>
      <c r="E77" s="476">
        <v>394661232.63375366</v>
      </c>
    </row>
    <row r="78" spans="1:6">
      <c r="A78" s="341" t="s">
        <v>66</v>
      </c>
      <c r="B78" s="341" t="s">
        <v>657</v>
      </c>
      <c r="C78" s="341" t="s">
        <v>663</v>
      </c>
      <c r="D78" s="1273">
        <v>36312031</v>
      </c>
      <c r="E78" s="1273">
        <v>37352927.311322875</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6661040.2202271093</v>
      </c>
      <c r="C83" s="476">
        <v>6670104.9103517374</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8651.0608370321352</v>
      </c>
    </row>
    <row r="92" spans="1:6">
      <c r="A92" s="341" t="s">
        <v>69</v>
      </c>
      <c r="B92" s="342">
        <v>4094.2378732580946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21126</v>
      </c>
    </row>
    <row r="98" spans="1:6">
      <c r="A98" s="348" t="s">
        <v>72</v>
      </c>
      <c r="B98" s="334">
        <v>27</v>
      </c>
    </row>
    <row r="99" spans="1:6">
      <c r="A99" s="348" t="s">
        <v>73</v>
      </c>
      <c r="B99" s="334">
        <v>177</v>
      </c>
    </row>
    <row r="100" spans="1:6">
      <c r="A100" s="348" t="s">
        <v>74</v>
      </c>
      <c r="B100" s="334">
        <v>3087</v>
      </c>
    </row>
    <row r="101" spans="1:6">
      <c r="A101" s="348" t="s">
        <v>75</v>
      </c>
      <c r="B101" s="334">
        <v>75</v>
      </c>
    </row>
    <row r="102" spans="1:6">
      <c r="A102" s="348" t="s">
        <v>76</v>
      </c>
      <c r="B102" s="334">
        <v>1071</v>
      </c>
    </row>
    <row r="103" spans="1:6">
      <c r="A103" s="348" t="s">
        <v>77</v>
      </c>
      <c r="B103" s="334">
        <v>267</v>
      </c>
    </row>
    <row r="104" spans="1:6">
      <c r="A104" s="348" t="s">
        <v>78</v>
      </c>
      <c r="B104" s="334">
        <v>12359</v>
      </c>
    </row>
    <row r="105" spans="1:6">
      <c r="A105" s="341" t="s">
        <v>79</v>
      </c>
      <c r="B105" s="341">
        <v>69</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2</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3</v>
      </c>
      <c r="C121" s="334">
        <v>0</v>
      </c>
    </row>
    <row r="122" spans="1:6">
      <c r="A122" s="348" t="s">
        <v>87</v>
      </c>
      <c r="B122" s="334">
        <v>1</v>
      </c>
      <c r="C122" s="334">
        <v>0</v>
      </c>
    </row>
    <row r="123" spans="1:6">
      <c r="A123" s="348" t="s">
        <v>88</v>
      </c>
      <c r="B123" s="334">
        <v>113</v>
      </c>
      <c r="C123" s="334">
        <v>211</v>
      </c>
    </row>
    <row r="124" spans="1:6">
      <c r="A124" s="341" t="s">
        <v>89</v>
      </c>
      <c r="B124" s="334">
        <v>3</v>
      </c>
      <c r="C124" s="334">
        <v>16</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492</v>
      </c>
    </row>
    <row r="130" spans="1:6">
      <c r="A130" s="348" t="s">
        <v>295</v>
      </c>
      <c r="B130" s="334">
        <v>8</v>
      </c>
    </row>
    <row r="131" spans="1:6">
      <c r="A131" s="348" t="s">
        <v>296</v>
      </c>
      <c r="B131" s="334">
        <v>18</v>
      </c>
    </row>
    <row r="132" spans="1:6">
      <c r="A132" s="341" t="s">
        <v>297</v>
      </c>
      <c r="B132" s="342">
        <v>38</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732128.98919290141</v>
      </c>
      <c r="C3" s="43" t="s">
        <v>170</v>
      </c>
      <c r="D3" s="43"/>
      <c r="E3" s="154"/>
      <c r="F3" s="43"/>
      <c r="G3" s="43"/>
      <c r="H3" s="43"/>
      <c r="I3" s="43"/>
      <c r="J3" s="43"/>
      <c r="K3" s="96"/>
    </row>
    <row r="4" spans="1:11">
      <c r="A4" s="383" t="s">
        <v>171</v>
      </c>
      <c r="B4" s="49">
        <f>IF(ISERROR('SEAP template'!B69),0,'SEAP template'!B69)</f>
        <v>14192.307043623563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10.211437447158671</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0.2167298666418877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14.588417121695903</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61.443211068211077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0.23742927604321648</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5448.2659999999996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5448.2659999999996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0.2167298666418877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1180.801963609531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133251.11034822499</v>
      </c>
      <c r="C5" s="17">
        <f>IF(ISERROR('Eigen informatie GS &amp; warmtenet'!B57),0,'Eigen informatie GS &amp; warmtenet'!B57)</f>
        <v>0</v>
      </c>
      <c r="D5" s="30">
        <f>(SUM(HH_hh_gas_kWh,HH_rest_gas_kWh)/1000)*0.902</f>
        <v>410760.40541802999</v>
      </c>
      <c r="E5" s="17">
        <f>B46*B57</f>
        <v>16140.018223016936</v>
      </c>
      <c r="F5" s="17">
        <f>B51*B62</f>
        <v>125379.56103341833</v>
      </c>
      <c r="G5" s="18"/>
      <c r="H5" s="17"/>
      <c r="I5" s="17"/>
      <c r="J5" s="17">
        <f>B50*B61+C50*C61</f>
        <v>0</v>
      </c>
      <c r="K5" s="17"/>
      <c r="L5" s="17"/>
      <c r="M5" s="17"/>
      <c r="N5" s="17">
        <f>B48*B59+C48*C59</f>
        <v>23306.909286880949</v>
      </c>
      <c r="O5" s="17">
        <f>B69*B70*B71</f>
        <v>1124.0366666666669</v>
      </c>
      <c r="P5" s="17">
        <f>B77*B78*B79/1000-B77*B78*B79/1000/B80</f>
        <v>2936.2666666666664</v>
      </c>
    </row>
    <row r="6" spans="1:16">
      <c r="A6" s="16" t="s">
        <v>621</v>
      </c>
      <c r="B6" s="843">
        <f>kWh_PV_kleiner_dan_10kW</f>
        <v>8651.0608370321352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141902.17118525712</v>
      </c>
      <c r="C8" s="21">
        <f>C5</f>
        <v>0</v>
      </c>
      <c r="D8" s="21">
        <f>D5</f>
        <v>410760.40541802999</v>
      </c>
      <c r="E8" s="21">
        <f>E5</f>
        <v>16140.018223016936</v>
      </c>
      <c r="F8" s="21">
        <f>F5</f>
        <v>125379.56103341833</v>
      </c>
      <c r="G8" s="21"/>
      <c r="H8" s="21"/>
      <c r="I8" s="21"/>
      <c r="J8" s="21">
        <f>J5</f>
        <v>0</v>
      </c>
      <c r="K8" s="21"/>
      <c r="L8" s="21">
        <f>L5</f>
        <v>0</v>
      </c>
      <c r="M8" s="21">
        <f>M5</f>
        <v>0</v>
      </c>
      <c r="N8" s="21">
        <f>N5</f>
        <v>23306.909286880949</v>
      </c>
      <c r="O8" s="21">
        <f>O5</f>
        <v>1124.0366666666669</v>
      </c>
      <c r="P8" s="21">
        <f>P5</f>
        <v>2936.2666666666664</v>
      </c>
    </row>
    <row r="9" spans="1:16">
      <c r="B9" s="19"/>
      <c r="C9" s="19"/>
      <c r="D9" s="258"/>
      <c r="E9" s="19"/>
      <c r="F9" s="19"/>
      <c r="G9" s="19"/>
      <c r="H9" s="19"/>
      <c r="I9" s="19"/>
      <c r="J9" s="19"/>
      <c r="K9" s="19"/>
      <c r="L9" s="19"/>
      <c r="M9" s="19"/>
      <c r="N9" s="19"/>
      <c r="O9" s="19"/>
      <c r="P9" s="19"/>
    </row>
    <row r="10" spans="1:16">
      <c r="A10" s="24" t="s">
        <v>214</v>
      </c>
      <c r="B10" s="25">
        <f ca="1">'EF ele_warmte'!B12</f>
        <v>0.2167298666418877</v>
      </c>
      <c r="C10" s="25">
        <f ca="1">'EF ele_warmte'!B22</f>
        <v>0.23742927604321648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30754.438637175095</v>
      </c>
      <c r="C12" s="23">
        <f ca="1">C10*C8</f>
        <v>0</v>
      </c>
      <c r="D12" s="23">
        <f>D8*D10</f>
        <v>82973.601894442065</v>
      </c>
      <c r="E12" s="23">
        <f>E10*E8</f>
        <v>3663.7841366248445</v>
      </c>
      <c r="F12" s="23">
        <f>F10*F8</f>
        <v>33476.342795922697</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21126</v>
      </c>
      <c r="C18" s="166" t="s">
        <v>111</v>
      </c>
      <c r="D18" s="228"/>
      <c r="E18" s="15"/>
    </row>
    <row r="19" spans="1:7">
      <c r="A19" s="171" t="s">
        <v>72</v>
      </c>
      <c r="B19" s="37">
        <f>aantalw2001_ander</f>
        <v>27</v>
      </c>
      <c r="C19" s="166" t="s">
        <v>111</v>
      </c>
      <c r="D19" s="229"/>
      <c r="E19" s="15"/>
    </row>
    <row r="20" spans="1:7">
      <c r="A20" s="171" t="s">
        <v>73</v>
      </c>
      <c r="B20" s="37">
        <f>aantalw2001_propaan</f>
        <v>177</v>
      </c>
      <c r="C20" s="167">
        <f>IF(ISERROR(B20/SUM($B$20,$B$21,$B$22)*100),0,B20/SUM($B$20,$B$21,$B$22)*100)</f>
        <v>5.3009883198562449</v>
      </c>
      <c r="D20" s="229"/>
      <c r="E20" s="15"/>
    </row>
    <row r="21" spans="1:7">
      <c r="A21" s="171" t="s">
        <v>74</v>
      </c>
      <c r="B21" s="37">
        <f>aantalw2001_elektriciteit</f>
        <v>3087</v>
      </c>
      <c r="C21" s="167">
        <f>IF(ISERROR(B21/SUM($B$20,$B$21,$B$22)*100),0,B21/SUM($B$20,$B$21,$B$22)*100)</f>
        <v>92.452830188679243</v>
      </c>
      <c r="D21" s="229"/>
      <c r="E21" s="15"/>
    </row>
    <row r="22" spans="1:7">
      <c r="A22" s="171" t="s">
        <v>75</v>
      </c>
      <c r="B22" s="37">
        <f>aantalw2001_hout</f>
        <v>75</v>
      </c>
      <c r="C22" s="167">
        <f>IF(ISERROR(B22/SUM($B$20,$B$21,$B$22)*100),0,B22/SUM($B$20,$B$21,$B$22)*100)</f>
        <v>2.2461814914645104</v>
      </c>
      <c r="D22" s="229"/>
      <c r="E22" s="15"/>
    </row>
    <row r="23" spans="1:7">
      <c r="A23" s="171" t="s">
        <v>76</v>
      </c>
      <c r="B23" s="37">
        <f>aantalw2001_niet_gespec</f>
        <v>1071</v>
      </c>
      <c r="C23" s="166" t="s">
        <v>111</v>
      </c>
      <c r="D23" s="228"/>
      <c r="E23" s="15"/>
    </row>
    <row r="24" spans="1:7">
      <c r="A24" s="171" t="s">
        <v>77</v>
      </c>
      <c r="B24" s="37">
        <f>aantalw2001_steenkool</f>
        <v>267</v>
      </c>
      <c r="C24" s="166" t="s">
        <v>111</v>
      </c>
      <c r="D24" s="229"/>
      <c r="E24" s="15"/>
    </row>
    <row r="25" spans="1:7">
      <c r="A25" s="171" t="s">
        <v>78</v>
      </c>
      <c r="B25" s="37">
        <f>aantalw2001_stookolie</f>
        <v>12359</v>
      </c>
      <c r="C25" s="166" t="s">
        <v>111</v>
      </c>
      <c r="D25" s="228"/>
      <c r="E25" s="52"/>
    </row>
    <row r="26" spans="1:7">
      <c r="A26" s="171" t="s">
        <v>79</v>
      </c>
      <c r="B26" s="37">
        <f>aantalw2001_WP</f>
        <v>69</v>
      </c>
      <c r="C26" s="166" t="s">
        <v>111</v>
      </c>
      <c r="D26" s="228"/>
      <c r="E26" s="15"/>
    </row>
    <row r="27" spans="1:7" s="15" customFormat="1">
      <c r="A27" s="171"/>
      <c r="B27" s="29"/>
      <c r="C27" s="36"/>
      <c r="D27" s="228"/>
    </row>
    <row r="28" spans="1:7" s="15" customFormat="1">
      <c r="A28" s="230" t="s">
        <v>794</v>
      </c>
      <c r="B28" s="37">
        <f>aantalHuishoudens2011</f>
        <v>48854</v>
      </c>
      <c r="C28" s="36"/>
      <c r="D28" s="228"/>
    </row>
    <row r="29" spans="1:7" s="15" customFormat="1">
      <c r="A29" s="230" t="s">
        <v>795</v>
      </c>
      <c r="B29" s="37">
        <f>SUM(HH_hh_gas_aantal,HH_rest_gas_aantal)</f>
        <v>29477</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29477</v>
      </c>
      <c r="C32" s="167">
        <f>IF(ISERROR(B32/SUM($B$32,$B$34,$B$35,$B$36,$B$38,$B$39)*100),0,B32/SUM($B$32,$B$34,$B$35,$B$36,$B$38,$B$39)*100)</f>
        <v>60.527720739219717</v>
      </c>
      <c r="D32" s="233"/>
      <c r="G32" s="15"/>
    </row>
    <row r="33" spans="1:7">
      <c r="A33" s="171" t="s">
        <v>72</v>
      </c>
      <c r="B33" s="34" t="s">
        <v>111</v>
      </c>
      <c r="C33" s="167"/>
      <c r="D33" s="233"/>
      <c r="G33" s="15"/>
    </row>
    <row r="34" spans="1:7">
      <c r="A34" s="171" t="s">
        <v>73</v>
      </c>
      <c r="B34" s="33">
        <f>IF((($B$28-$B$32-$B$39-$B$77-$B$38)*C20/100)&lt;0,0,($B$28-$B$32-$B$39-$B$77-$B$38)*C20/100)</f>
        <v>762.27681940700825</v>
      </c>
      <c r="C34" s="167">
        <f>IF(ISERROR(B34/SUM($B$32,$B$34,$B$35,$B$36,$B$38,$B$39)*100),0,B34/SUM($B$32,$B$34,$B$35,$B$36,$B$38,$B$39)*100)</f>
        <v>1.5652501425195242</v>
      </c>
      <c r="D34" s="233"/>
      <c r="G34" s="15"/>
    </row>
    <row r="35" spans="1:7">
      <c r="A35" s="171" t="s">
        <v>74</v>
      </c>
      <c r="B35" s="33">
        <f>IF((($B$28-$B$32-$B$39-$B$77-$B$38)*C21/100)&lt;0,0,($B$28-$B$32-$B$39-$B$77-$B$38)*C21/100)</f>
        <v>13294.624528301887</v>
      </c>
      <c r="C35" s="167">
        <f>IF(ISERROR(B35/SUM($B$32,$B$34,$B$35,$B$36,$B$38,$B$39)*100),0,B35/SUM($B$32,$B$34,$B$35,$B$36,$B$38,$B$39)*100)</f>
        <v>27.299023672077798</v>
      </c>
      <c r="D35" s="233"/>
      <c r="G35" s="15"/>
    </row>
    <row r="36" spans="1:7">
      <c r="A36" s="171" t="s">
        <v>75</v>
      </c>
      <c r="B36" s="33">
        <f>IF((($B$28-$B$32-$B$39-$B$77-$B$38)*C22/100)&lt;0,0,($B$28-$B$32-$B$39-$B$77-$B$38)*C22/100)</f>
        <v>322.99865229110515</v>
      </c>
      <c r="C36" s="167">
        <f>IF(ISERROR(B36/SUM($B$32,$B$34,$B$35,$B$36,$B$38,$B$39)*100),0,B36/SUM($B$32,$B$34,$B$35,$B$36,$B$38,$B$39)*100)</f>
        <v>0.66324158581335757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4843.0999999999995</v>
      </c>
      <c r="C39" s="167">
        <f>IF(ISERROR(B39/SUM($B$32,$B$34,$B$35,$B$36,$B$38,$B$39)*100),0,B39/SUM($B$32,$B$34,$B$35,$B$36,$B$38,$B$39)*100)</f>
        <v>9.9447638603696085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29477</v>
      </c>
      <c r="C44" s="34" t="s">
        <v>111</v>
      </c>
      <c r="D44" s="174"/>
    </row>
    <row r="45" spans="1:7">
      <c r="A45" s="171" t="s">
        <v>72</v>
      </c>
      <c r="B45" s="33" t="str">
        <f t="shared" si="0"/>
        <v>-</v>
      </c>
      <c r="C45" s="34" t="s">
        <v>111</v>
      </c>
      <c r="D45" s="174"/>
    </row>
    <row r="46" spans="1:7">
      <c r="A46" s="171" t="s">
        <v>73</v>
      </c>
      <c r="B46" s="33">
        <f t="shared" si="0"/>
        <v>762.27681940700825</v>
      </c>
      <c r="C46" s="34" t="s">
        <v>111</v>
      </c>
      <c r="D46" s="174"/>
    </row>
    <row r="47" spans="1:7">
      <c r="A47" s="171" t="s">
        <v>74</v>
      </c>
      <c r="B47" s="33">
        <f t="shared" si="0"/>
        <v>13294.624528301887</v>
      </c>
      <c r="C47" s="34" t="s">
        <v>111</v>
      </c>
      <c r="D47" s="174"/>
    </row>
    <row r="48" spans="1:7">
      <c r="A48" s="171" t="s">
        <v>75</v>
      </c>
      <c r="B48" s="33">
        <f t="shared" si="0"/>
        <v>322.99865229110515</v>
      </c>
      <c r="C48" s="33">
        <f>B48*10</f>
        <v>3229.9865229110515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4843.0999999999995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719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154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473233.89046579233</v>
      </c>
      <c r="C5" s="17">
        <f>IF(ISERROR('Eigen informatie GS &amp; warmtenet'!B58),0,'Eigen informatie GS &amp; warmtenet'!B58)</f>
        <v>0</v>
      </c>
      <c r="D5" s="30">
        <f>SUM(D6:D12)</f>
        <v>526625.17554108636</v>
      </c>
      <c r="E5" s="17">
        <f>SUM(E6:E12)</f>
        <v>5666.0331408111888</v>
      </c>
      <c r="F5" s="17">
        <f>SUM(F6:F12)</f>
        <v>70396.663726422878</v>
      </c>
      <c r="G5" s="18"/>
      <c r="H5" s="17"/>
      <c r="I5" s="17"/>
      <c r="J5" s="17">
        <f>SUM(J6:J12)</f>
        <v>0.61959944618678664</v>
      </c>
      <c r="K5" s="17"/>
      <c r="L5" s="17"/>
      <c r="M5" s="17"/>
      <c r="N5" s="17">
        <f>SUM(N6:N12)</f>
        <v>24681.73461560583</v>
      </c>
      <c r="O5" s="17">
        <f>B38*B39*B40</f>
        <v>12.506666666666668</v>
      </c>
      <c r="P5" s="17">
        <f>B46*B47*B48/1000-B46*B47*B48/1000/B49</f>
        <v>419.4666666666667</v>
      </c>
      <c r="R5" s="32"/>
    </row>
    <row r="6" spans="1:18">
      <c r="A6" s="32" t="s">
        <v>54</v>
      </c>
      <c r="B6" s="37">
        <f>B26</f>
        <v>106592.150932666</v>
      </c>
      <c r="C6" s="33"/>
      <c r="D6" s="37">
        <f>IF(ISERROR(TER_kantoor_gas_kWh/1000),0,TER_kantoor_gas_kWh/1000)*0.902</f>
        <v>138429.77832059597</v>
      </c>
      <c r="E6" s="33">
        <f>$C$26*'E Balans VL '!I12/100/3.6*1000000</f>
        <v>0.66808415005195587</v>
      </c>
      <c r="F6" s="33">
        <f>$C$26*('E Balans VL '!L12+'E Balans VL '!N12)/100/3.6*1000000</f>
        <v>16017.821816414871</v>
      </c>
      <c r="G6" s="34"/>
      <c r="H6" s="33"/>
      <c r="I6" s="33"/>
      <c r="J6" s="33">
        <f>$C$26*('E Balans VL '!D12+'E Balans VL '!E12)/100/3.6*1000000</f>
        <v>0</v>
      </c>
      <c r="K6" s="33"/>
      <c r="L6" s="33"/>
      <c r="M6" s="33"/>
      <c r="N6" s="33">
        <f>$C$26*'E Balans VL '!Y12/100/3.6*1000000</f>
        <v>101.93958834632019</v>
      </c>
      <c r="O6" s="33"/>
      <c r="P6" s="33"/>
      <c r="R6" s="32"/>
    </row>
    <row r="7" spans="1:18">
      <c r="A7" s="32" t="s">
        <v>53</v>
      </c>
      <c r="B7" s="37">
        <f t="shared" ref="B7:B12" si="0">B27</f>
        <v>257435.56051029701</v>
      </c>
      <c r="C7" s="33"/>
      <c r="D7" s="37">
        <f>IF(ISERROR(TER_horeca_gas_kWh/1000),0,TER_horeca_gas_kWh/1000)*0.902</f>
        <v>203132.37475407874</v>
      </c>
      <c r="E7" s="33">
        <f>$C$27*'E Balans VL '!I9/100/3.6*1000000</f>
        <v>3686.434345928893</v>
      </c>
      <c r="F7" s="33">
        <f>$C$27*('E Balans VL '!L9+'E Balans VL '!N9)/100/3.6*1000000</f>
        <v>32599.832512495075</v>
      </c>
      <c r="G7" s="34"/>
      <c r="H7" s="33"/>
      <c r="I7" s="33"/>
      <c r="J7" s="33">
        <f>$C$27*('E Balans VL '!D9+'E Balans VL '!E9)/100/3.6*1000000</f>
        <v>0</v>
      </c>
      <c r="K7" s="33"/>
      <c r="L7" s="33"/>
      <c r="M7" s="33"/>
      <c r="N7" s="33">
        <f>$C$27*'E Balans VL '!Y9/100/3.6*1000000</f>
        <v>74.007047679824225</v>
      </c>
      <c r="O7" s="33"/>
      <c r="P7" s="33"/>
      <c r="R7" s="32"/>
    </row>
    <row r="8" spans="1:18">
      <c r="A8" s="6" t="s">
        <v>52</v>
      </c>
      <c r="B8" s="37">
        <f t="shared" si="0"/>
        <v>41944.775505364298</v>
      </c>
      <c r="C8" s="33"/>
      <c r="D8" s="37">
        <f>IF(ISERROR(TER_handel_gas_kWh/1000),0,TER_handel_gas_kWh/1000)*0.902</f>
        <v>24072.999482204155</v>
      </c>
      <c r="E8" s="33">
        <f>$C$28*'E Balans VL '!I13/100/3.6*1000000</f>
        <v>1521.3318351815788</v>
      </c>
      <c r="F8" s="33">
        <f>$C$28*('E Balans VL '!L13+'E Balans VL '!N13)/100/3.6*1000000</f>
        <v>8078.9884801878725</v>
      </c>
      <c r="G8" s="34"/>
      <c r="H8" s="33"/>
      <c r="I8" s="33"/>
      <c r="J8" s="33">
        <f>$C$28*('E Balans VL '!D13+'E Balans VL '!E13)/100/3.6*1000000</f>
        <v>0</v>
      </c>
      <c r="K8" s="33"/>
      <c r="L8" s="33"/>
      <c r="M8" s="33"/>
      <c r="N8" s="33">
        <f>$C$28*'E Balans VL '!Y13/100/3.6*1000000</f>
        <v>58.103165137348846</v>
      </c>
      <c r="O8" s="33"/>
      <c r="P8" s="33"/>
      <c r="R8" s="32"/>
    </row>
    <row r="9" spans="1:18">
      <c r="A9" s="32" t="s">
        <v>51</v>
      </c>
      <c r="B9" s="37">
        <f t="shared" si="0"/>
        <v>8683.7862001868089</v>
      </c>
      <c r="C9" s="33"/>
      <c r="D9" s="37">
        <f>IF(ISERROR(TER_gezond_gas_kWh/1000),0,TER_gezond_gas_kWh/1000)*0.902</f>
        <v>21707.718698028559</v>
      </c>
      <c r="E9" s="33">
        <f>$C$29*'E Balans VL '!I10/100/3.6*1000000</f>
        <v>0.54369075303115466</v>
      </c>
      <c r="F9" s="33">
        <f>$C$29*('E Balans VL '!L10+'E Balans VL '!N10)/100/3.6*1000000</f>
        <v>1290.0028796487547</v>
      </c>
      <c r="G9" s="34"/>
      <c r="H9" s="33"/>
      <c r="I9" s="33"/>
      <c r="J9" s="33">
        <f>$C$29*('E Balans VL '!D10+'E Balans VL '!E10)/100/3.6*1000000</f>
        <v>0</v>
      </c>
      <c r="K9" s="33"/>
      <c r="L9" s="33"/>
      <c r="M9" s="33"/>
      <c r="N9" s="33">
        <f>$C$29*'E Balans VL '!Y10/100/3.6*1000000</f>
        <v>134.32164285823291</v>
      </c>
      <c r="O9" s="33"/>
      <c r="P9" s="33"/>
      <c r="R9" s="32"/>
    </row>
    <row r="10" spans="1:18">
      <c r="A10" s="32" t="s">
        <v>50</v>
      </c>
      <c r="B10" s="37">
        <f t="shared" si="0"/>
        <v>25545.7784251993</v>
      </c>
      <c r="C10" s="33"/>
      <c r="D10" s="37">
        <f>IF(ISERROR(TER_ander_gas_kWh/1000),0,TER_ander_gas_kWh/1000)*0.902</f>
        <v>18410.3987787761</v>
      </c>
      <c r="E10" s="33">
        <f>$C$30*'E Balans VL '!I14/100/3.6*1000000</f>
        <v>30.449655030961516</v>
      </c>
      <c r="F10" s="33">
        <f>$C$30*('E Balans VL '!L14+'E Balans VL '!N14)/100/3.6*1000000</f>
        <v>6683.9113121413529</v>
      </c>
      <c r="G10" s="34"/>
      <c r="H10" s="33"/>
      <c r="I10" s="33"/>
      <c r="J10" s="33">
        <f>$C$30*('E Balans VL '!D14+'E Balans VL '!E14)/100/3.6*1000000</f>
        <v>0.55449871292462027</v>
      </c>
      <c r="K10" s="33"/>
      <c r="L10" s="33"/>
      <c r="M10" s="33"/>
      <c r="N10" s="33">
        <f>$C$30*'E Balans VL '!Y14/100/3.6*1000000</f>
        <v>21692.849942280041</v>
      </c>
      <c r="O10" s="33"/>
      <c r="P10" s="33"/>
      <c r="R10" s="32"/>
    </row>
    <row r="11" spans="1:18">
      <c r="A11" s="32" t="s">
        <v>55</v>
      </c>
      <c r="B11" s="37">
        <f t="shared" si="0"/>
        <v>6147.6535528529694</v>
      </c>
      <c r="C11" s="33"/>
      <c r="D11" s="37">
        <f>IF(ISERROR(TER_onderwijs_gas_kWh/1000),0,TER_onderwijs_gas_kWh/1000)*0.902</f>
        <v>19406.993358096883</v>
      </c>
      <c r="E11" s="33">
        <f>$C$31*'E Balans VL '!I11/100/3.6*1000000</f>
        <v>92.758190374951226</v>
      </c>
      <c r="F11" s="33">
        <f>$C$31*('E Balans VL '!L11+'E Balans VL '!N11)/100/3.6*1000000</f>
        <v>1077.1671141471118</v>
      </c>
      <c r="G11" s="34"/>
      <c r="H11" s="33"/>
      <c r="I11" s="33"/>
      <c r="J11" s="33">
        <f>$C$31*('E Balans VL '!D11+'E Balans VL '!E11)/100/3.6*1000000</f>
        <v>0</v>
      </c>
      <c r="K11" s="33"/>
      <c r="L11" s="33"/>
      <c r="M11" s="33"/>
      <c r="N11" s="33">
        <f>$C$31*'E Balans VL '!Y11/100/3.6*1000000</f>
        <v>17.299964460149379</v>
      </c>
      <c r="O11" s="33"/>
      <c r="P11" s="33"/>
      <c r="R11" s="32"/>
    </row>
    <row r="12" spans="1:18">
      <c r="A12" s="32" t="s">
        <v>260</v>
      </c>
      <c r="B12" s="37">
        <f t="shared" si="0"/>
        <v>26884.1853392259</v>
      </c>
      <c r="C12" s="33"/>
      <c r="D12" s="37">
        <f>IF(ISERROR(TER_rest_gas_kWh/1000),0,TER_rest_gas_kWh/1000)*0.902</f>
        <v>101464.91214930601</v>
      </c>
      <c r="E12" s="33">
        <f>$C$32*'E Balans VL '!I8/100/3.6*1000000</f>
        <v>333.84733939172082</v>
      </c>
      <c r="F12" s="33">
        <f>$C$32*('E Balans VL '!L8+'E Balans VL '!N8)/100/3.6*1000000</f>
        <v>4648.9396113878265</v>
      </c>
      <c r="G12" s="34"/>
      <c r="H12" s="33"/>
      <c r="I12" s="33"/>
      <c r="J12" s="33">
        <f>$C$32*('E Balans VL '!D8+'E Balans VL '!E8)/100/3.6*1000000</f>
        <v>6.5100733262166324E-2</v>
      </c>
      <c r="K12" s="33"/>
      <c r="L12" s="33"/>
      <c r="M12" s="33"/>
      <c r="N12" s="33">
        <f>$C$32*'E Balans VL '!Y8/100/3.6*1000000</f>
        <v>2603.2132648439156</v>
      </c>
      <c r="O12" s="33"/>
      <c r="P12" s="33"/>
      <c r="R12" s="32"/>
    </row>
    <row r="13" spans="1:18">
      <c r="A13" s="16" t="s">
        <v>488</v>
      </c>
      <c r="B13" s="247">
        <f ca="1">'lokale energieproductie'!N90+'lokale energieproductie'!N59</f>
        <v>1447.0083333333334</v>
      </c>
      <c r="C13" s="247">
        <f ca="1">'lokale energieproductie'!O90+'lokale energieproductie'!O59</f>
        <v>61.443211068211077</v>
      </c>
      <c r="D13" s="310">
        <f ca="1">('lokale energieproductie'!P59+'lokale energieproductie'!P90)*(-1)</f>
        <v>-122.77155727155728</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-4011.4285714285716</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474680.89879912569</v>
      </c>
      <c r="C16" s="21">
        <f t="shared" ca="1" si="1"/>
        <v>61.443211068211077</v>
      </c>
      <c r="D16" s="21">
        <f t="shared" ca="1" si="1"/>
        <v>526502.40398381476</v>
      </c>
      <c r="E16" s="21">
        <f t="shared" si="1"/>
        <v>5666.0331408111888</v>
      </c>
      <c r="F16" s="21">
        <f t="shared" ca="1" si="1"/>
        <v>70396.663726422878</v>
      </c>
      <c r="G16" s="21">
        <f t="shared" si="1"/>
        <v>0</v>
      </c>
      <c r="H16" s="21">
        <f t="shared" si="1"/>
        <v>0</v>
      </c>
      <c r="I16" s="21">
        <f t="shared" si="1"/>
        <v>0</v>
      </c>
      <c r="J16" s="21">
        <f t="shared" si="1"/>
        <v>0.61959944618678664</v>
      </c>
      <c r="K16" s="21">
        <f t="shared" si="1"/>
        <v>0</v>
      </c>
      <c r="L16" s="21">
        <f t="shared" ca="1" si="1"/>
        <v>0</v>
      </c>
      <c r="M16" s="21">
        <f t="shared" si="1"/>
        <v>0</v>
      </c>
      <c r="N16" s="21">
        <f t="shared" ca="1" si="1"/>
        <v>20670.306044177258</v>
      </c>
      <c r="O16" s="21">
        <f>O5</f>
        <v>12.506666666666668</v>
      </c>
      <c r="P16" s="21">
        <f>P5</f>
        <v>419.4666666666667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0.2167298666418877</v>
      </c>
      <c r="C18" s="25">
        <f ca="1">'EF ele_warmte'!B22</f>
        <v>0.23742927604321648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102877.5278941859</v>
      </c>
      <c r="C20" s="23">
        <f t="shared" ref="C20:P20" ca="1" si="2">C16*C18</f>
        <v>14.588417121695903</v>
      </c>
      <c r="D20" s="23">
        <f t="shared" ca="1" si="2"/>
        <v>106353.48560473059</v>
      </c>
      <c r="E20" s="23">
        <f t="shared" si="2"/>
        <v>1286.18952296414</v>
      </c>
      <c r="F20" s="23">
        <f t="shared" ca="1" si="2"/>
        <v>18795.909214954911</v>
      </c>
      <c r="G20" s="23">
        <f t="shared" si="2"/>
        <v>0</v>
      </c>
      <c r="H20" s="23">
        <f t="shared" si="2"/>
        <v>0</v>
      </c>
      <c r="I20" s="23">
        <f t="shared" si="2"/>
        <v>0</v>
      </c>
      <c r="J20" s="23">
        <f t="shared" si="2"/>
        <v>0.21933820395012246</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106592.150932666</v>
      </c>
      <c r="C26" s="39">
        <f>IF(ISERROR(B26*3.6/1000000/'E Balans VL '!Z12*100),0,B26*3.6/1000000/'E Balans VL '!Z12*100)</f>
        <v>2.2531892151101589</v>
      </c>
      <c r="D26" s="237" t="s">
        <v>754</v>
      </c>
      <c r="F26" s="6"/>
    </row>
    <row r="27" spans="1:18">
      <c r="A27" s="231" t="s">
        <v>53</v>
      </c>
      <c r="B27" s="33">
        <f>IF(ISERROR(TER_horeca_ele_kWh/1000),0,TER_horeca_ele_kWh/1000)</f>
        <v>257435.56051029701</v>
      </c>
      <c r="C27" s="39">
        <f>IF(ISERROR(B27*3.6/1000000/'E Balans VL '!Z9*100),0,B27*3.6/1000000/'E Balans VL '!Z9*100)</f>
        <v>20.293549283894826</v>
      </c>
      <c r="D27" s="237" t="s">
        <v>754</v>
      </c>
      <c r="F27" s="6"/>
    </row>
    <row r="28" spans="1:18">
      <c r="A28" s="171" t="s">
        <v>52</v>
      </c>
      <c r="B28" s="33">
        <f>IF(ISERROR(TER_handel_ele_kWh/1000),0,TER_handel_ele_kWh/1000)</f>
        <v>41944.775505364298</v>
      </c>
      <c r="C28" s="39">
        <f>IF(ISERROR(B28*3.6/1000000/'E Balans VL '!Z13*100),0,B28*3.6/1000000/'E Balans VL '!Z13*100)</f>
        <v>1.2174068610495208</v>
      </c>
      <c r="D28" s="237" t="s">
        <v>754</v>
      </c>
      <c r="F28" s="6"/>
    </row>
    <row r="29" spans="1:18">
      <c r="A29" s="231" t="s">
        <v>51</v>
      </c>
      <c r="B29" s="33">
        <f>IF(ISERROR(TER_gezond_ele_kWh/1000),0,TER_gezond_ele_kWh/1000)</f>
        <v>8683.7862001868089</v>
      </c>
      <c r="C29" s="39">
        <f>IF(ISERROR(B29*3.6/1000000/'E Balans VL '!Z10*100),0,B29*3.6/1000000/'E Balans VL '!Z10*100)</f>
        <v>0.91454527841294353</v>
      </c>
      <c r="D29" s="237" t="s">
        <v>754</v>
      </c>
      <c r="F29" s="6"/>
    </row>
    <row r="30" spans="1:18">
      <c r="A30" s="231" t="s">
        <v>50</v>
      </c>
      <c r="B30" s="33">
        <f>IF(ISERROR(TER_ander_ele_kWh/1000),0,TER_ander_ele_kWh/1000)</f>
        <v>25545.7784251993</v>
      </c>
      <c r="C30" s="39">
        <f>IF(ISERROR(B30*3.6/1000000/'E Balans VL '!Z14*100),0,B30*3.6/1000000/'E Balans VL '!Z14*100)</f>
        <v>1.8842621651581744</v>
      </c>
      <c r="D30" s="237" t="s">
        <v>754</v>
      </c>
      <c r="F30" s="6"/>
    </row>
    <row r="31" spans="1:18">
      <c r="A31" s="231" t="s">
        <v>55</v>
      </c>
      <c r="B31" s="33">
        <f>IF(ISERROR(TER_onderwijs_ele_kWh/1000),0,TER_onderwijs_ele_kWh/1000)</f>
        <v>6147.6535528529694</v>
      </c>
      <c r="C31" s="39">
        <f>IF(ISERROR(B31*3.6/1000000/'E Balans VL '!Z11*100),0,B31*3.6/1000000/'E Balans VL '!Z11*100)</f>
        <v>1.5267503502251341</v>
      </c>
      <c r="D31" s="237" t="s">
        <v>754</v>
      </c>
    </row>
    <row r="32" spans="1:18">
      <c r="A32" s="231" t="s">
        <v>260</v>
      </c>
      <c r="B32" s="33">
        <f>IF(ISERROR(TER_rest_ele_kWh/1000),0,TER_rest_ele_kWh/1000)</f>
        <v>26884.1853392259</v>
      </c>
      <c r="C32" s="39">
        <f>IF(ISERROR(B32*3.6/1000000/'E Balans VL '!Z8*100),0,B32*3.6/1000000/'E Balans VL '!Z8*100)</f>
        <v>0.22122116021327881</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8</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108334.46255445947</v>
      </c>
      <c r="C5" s="17">
        <f>IF(ISERROR('Eigen informatie GS &amp; warmtenet'!B59),0,'Eigen informatie GS &amp; warmtenet'!B59)</f>
        <v>0</v>
      </c>
      <c r="D5" s="30">
        <f>SUM(D6:D15)</f>
        <v>106760.50564495186</v>
      </c>
      <c r="E5" s="17">
        <f>SUM(E6:E15)</f>
        <v>10585.51486105708</v>
      </c>
      <c r="F5" s="17">
        <f>SUM(F6:F15)</f>
        <v>33209.014326830184</v>
      </c>
      <c r="G5" s="18"/>
      <c r="H5" s="17"/>
      <c r="I5" s="17"/>
      <c r="J5" s="17">
        <f>SUM(J6:J15)</f>
        <v>170.72398070395874</v>
      </c>
      <c r="K5" s="17"/>
      <c r="L5" s="17"/>
      <c r="M5" s="17"/>
      <c r="N5" s="17">
        <f>SUM(N6:N15)</f>
        <v>27009.758485083628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1835.4706585895301</v>
      </c>
      <c r="C8" s="33"/>
      <c r="D8" s="37">
        <f>IF( ISERROR(IND_metaal_Gas_kWH/1000),0,IND_metaal_Gas_kWH/1000)*0.902</f>
        <v>94.628568101375265</v>
      </c>
      <c r="E8" s="33">
        <f>C30*'E Balans VL '!I18/100/3.6*1000000</f>
        <v>16.875379991310098</v>
      </c>
      <c r="F8" s="33">
        <f>C30*'E Balans VL '!L18/100/3.6*1000000+C30*'E Balans VL '!N18/100/3.6*1000000</f>
        <v>172.10603877173995</v>
      </c>
      <c r="G8" s="34"/>
      <c r="H8" s="33"/>
      <c r="I8" s="33"/>
      <c r="J8" s="40">
        <f>C30*'E Balans VL '!D18/100/3.6*1000000+C30*'E Balans VL '!E18/100/3.6*1000000</f>
        <v>0</v>
      </c>
      <c r="K8" s="33"/>
      <c r="L8" s="33"/>
      <c r="M8" s="33"/>
      <c r="N8" s="33">
        <f>C30*'E Balans VL '!Y18/100/3.6*1000000</f>
        <v>26.186022187776008</v>
      </c>
      <c r="O8" s="33"/>
      <c r="P8" s="33"/>
      <c r="R8" s="32"/>
    </row>
    <row r="9" spans="1:18">
      <c r="A9" s="6" t="s">
        <v>33</v>
      </c>
      <c r="B9" s="37">
        <f t="shared" si="0"/>
        <v>26934.261735626998</v>
      </c>
      <c r="C9" s="33"/>
      <c r="D9" s="37">
        <f>IF( ISERROR(IND_andere_gas_kWh/1000),0,IND_andere_gas_kWh/1000)*0.902</f>
        <v>24206.237989402205</v>
      </c>
      <c r="E9" s="33">
        <f>C31*'E Balans VL '!I19/100/3.6*1000000</f>
        <v>7873.4090535532468</v>
      </c>
      <c r="F9" s="33">
        <f>C31*'E Balans VL '!L19/100/3.6*1000000+C31*'E Balans VL '!N19/100/3.6*1000000</f>
        <v>21643.718040858515</v>
      </c>
      <c r="G9" s="34"/>
      <c r="H9" s="33"/>
      <c r="I9" s="33"/>
      <c r="J9" s="40">
        <f>C31*'E Balans VL '!D19/100/3.6*1000000+C31*'E Balans VL '!E19/100/3.6*1000000</f>
        <v>0</v>
      </c>
      <c r="K9" s="33"/>
      <c r="L9" s="33"/>
      <c r="M9" s="33"/>
      <c r="N9" s="33">
        <f>C31*'E Balans VL '!Y19/100/3.6*1000000</f>
        <v>8899.4977982342516</v>
      </c>
      <c r="O9" s="33"/>
      <c r="P9" s="33"/>
      <c r="R9" s="32"/>
    </row>
    <row r="10" spans="1:18">
      <c r="A10" s="6" t="s">
        <v>41</v>
      </c>
      <c r="B10" s="37">
        <f t="shared" si="0"/>
        <v>29976.498106290601</v>
      </c>
      <c r="C10" s="33"/>
      <c r="D10" s="37">
        <f>IF( ISERROR(IND_voed_gas_kWh/1000),0,IND_voed_gas_kWh/1000)*0.902</f>
        <v>6092.472717550083</v>
      </c>
      <c r="E10" s="33">
        <f>C32*'E Balans VL '!I20/100/3.6*1000000</f>
        <v>63.41574653496582</v>
      </c>
      <c r="F10" s="33">
        <f>C32*'E Balans VL '!L20/100/3.6*1000000+C32*'E Balans VL '!N20/100/3.6*1000000</f>
        <v>1905.936369692851</v>
      </c>
      <c r="G10" s="34"/>
      <c r="H10" s="33"/>
      <c r="I10" s="33"/>
      <c r="J10" s="40">
        <f>C32*'E Balans VL '!D20/100/3.6*1000000+C32*'E Balans VL '!E20/100/3.6*1000000</f>
        <v>0</v>
      </c>
      <c r="K10" s="33"/>
      <c r="L10" s="33"/>
      <c r="M10" s="33"/>
      <c r="N10" s="33">
        <f>C32*'E Balans VL '!Y20/100/3.6*1000000</f>
        <v>2068.674184645487</v>
      </c>
      <c r="O10" s="33"/>
      <c r="P10" s="33"/>
      <c r="R10" s="32"/>
    </row>
    <row r="11" spans="1:18">
      <c r="A11" s="6" t="s">
        <v>40</v>
      </c>
      <c r="B11" s="37">
        <f t="shared" si="0"/>
        <v>121.314842545622</v>
      </c>
      <c r="C11" s="33"/>
      <c r="D11" s="37">
        <f>IF( ISERROR(IND_textiel_gas_kWh/1000),0,IND_textiel_gas_kWh/1000)*0.902</f>
        <v>177.6121533015388</v>
      </c>
      <c r="E11" s="33">
        <f>C33*'E Balans VL '!I21/100/3.6*1000000</f>
        <v>0.36029462301033754</v>
      </c>
      <c r="F11" s="33">
        <f>C33*'E Balans VL '!L21/100/3.6*1000000+C33*'E Balans VL '!N21/100/3.6*1000000</f>
        <v>12.25612968894195</v>
      </c>
      <c r="G11" s="34"/>
      <c r="H11" s="33"/>
      <c r="I11" s="33"/>
      <c r="J11" s="40">
        <f>C33*'E Balans VL '!D21/100/3.6*1000000+C33*'E Balans VL '!E21/100/3.6*1000000</f>
        <v>0</v>
      </c>
      <c r="K11" s="33"/>
      <c r="L11" s="33"/>
      <c r="M11" s="33"/>
      <c r="N11" s="33">
        <f>C33*'E Balans VL '!Y21/100/3.6*1000000</f>
        <v>6.6909007250295547</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1833.1890681624602</v>
      </c>
      <c r="C13" s="33"/>
      <c r="D13" s="37">
        <f>IF( ISERROR(IND_papier_gas_kWh/1000),0,IND_papier_gas_kWh/1000)*0.902</f>
        <v>1739.0480806765675</v>
      </c>
      <c r="E13" s="33">
        <f>C35*'E Balans VL '!I23/100/3.6*1000000</f>
        <v>2.6008760406372495</v>
      </c>
      <c r="F13" s="33">
        <f>C35*'E Balans VL '!L23/100/3.6*1000000+C35*'E Balans VL '!N23/100/3.6*1000000</f>
        <v>44.755038389179226</v>
      </c>
      <c r="G13" s="34"/>
      <c r="H13" s="33"/>
      <c r="I13" s="33"/>
      <c r="J13" s="40">
        <f>C35*'E Balans VL '!D23/100/3.6*1000000+C35*'E Balans VL '!E23/100/3.6*1000000</f>
        <v>0.28351990041909264</v>
      </c>
      <c r="K13" s="33"/>
      <c r="L13" s="33"/>
      <c r="M13" s="33"/>
      <c r="N13" s="33">
        <f>C35*'E Balans VL '!Y23/100/3.6*1000000</f>
        <v>5328.6466754896046</v>
      </c>
      <c r="O13" s="33"/>
      <c r="P13" s="33"/>
      <c r="R13" s="32"/>
    </row>
    <row r="14" spans="1:18">
      <c r="A14" s="6" t="s">
        <v>34</v>
      </c>
      <c r="B14" s="37">
        <f t="shared" si="0"/>
        <v>24.407996694070899</v>
      </c>
      <c r="C14" s="33"/>
      <c r="D14" s="37">
        <f>IF( ISERROR(IND_chemie_gas_kWh/1000),0,IND_chemie_gas_kWh/1000)*0.902</f>
        <v>0</v>
      </c>
      <c r="E14" s="33">
        <f>C36*'E Balans VL '!I24/100/3.6*1000000</f>
        <v>6.0085494510734028E-2</v>
      </c>
      <c r="F14" s="33">
        <f>C36*'E Balans VL '!L24/100/3.6*1000000+C36*'E Balans VL '!N24/100/3.6*1000000</f>
        <v>0.26135968384342961</v>
      </c>
      <c r="G14" s="34"/>
      <c r="H14" s="33"/>
      <c r="I14" s="33"/>
      <c r="J14" s="40">
        <f>C36*'E Balans VL '!D24/100/3.6*1000000+C36*'E Balans VL '!E24/100/3.6*1000000</f>
        <v>0</v>
      </c>
      <c r="K14" s="33"/>
      <c r="L14" s="33"/>
      <c r="M14" s="33"/>
      <c r="N14" s="33">
        <f>C36*'E Balans VL '!Y24/100/3.6*1000000</f>
        <v>0.54509081788512881</v>
      </c>
      <c r="O14" s="33"/>
      <c r="P14" s="33"/>
      <c r="R14" s="32"/>
    </row>
    <row r="15" spans="1:18">
      <c r="A15" s="6" t="s">
        <v>270</v>
      </c>
      <c r="B15" s="37">
        <f t="shared" si="0"/>
        <v>47609.320146550199</v>
      </c>
      <c r="C15" s="33"/>
      <c r="D15" s="37">
        <f>IF( ISERROR(IND_rest_gas_kWh/1000),0,IND_rest_gas_kWh/1000)*0.902</f>
        <v>74450.506135920092</v>
      </c>
      <c r="E15" s="33">
        <f>C37*'E Balans VL '!I15/100/3.6*1000000</f>
        <v>2628.7934248193978</v>
      </c>
      <c r="F15" s="33">
        <f>C37*'E Balans VL '!L15/100/3.6*1000000+C37*'E Balans VL '!N15/100/3.6*1000000</f>
        <v>9429.9813497451123</v>
      </c>
      <c r="G15" s="34"/>
      <c r="H15" s="33"/>
      <c r="I15" s="33"/>
      <c r="J15" s="40">
        <f>C37*'E Balans VL '!D15/100/3.6*1000000+C37*'E Balans VL '!E15/100/3.6*1000000</f>
        <v>170.44046080353965</v>
      </c>
      <c r="K15" s="33"/>
      <c r="L15" s="33"/>
      <c r="M15" s="33"/>
      <c r="N15" s="33">
        <f>C37*'E Balans VL '!Y15/100/3.6*1000000</f>
        <v>10679.517812983595</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108334.46255445947</v>
      </c>
      <c r="C18" s="21">
        <f>C5+C16</f>
        <v>0</v>
      </c>
      <c r="D18" s="21">
        <f>MAX((D5+D16),0)</f>
        <v>106760.50564495186</v>
      </c>
      <c r="E18" s="21">
        <f>MAX((E5+E16),0)</f>
        <v>10585.51486105708</v>
      </c>
      <c r="F18" s="21">
        <f>MAX((F5+F16),0)</f>
        <v>33209.014326830184</v>
      </c>
      <c r="G18" s="21"/>
      <c r="H18" s="21"/>
      <c r="I18" s="21"/>
      <c r="J18" s="21">
        <f>MAX((J5+J16),0)</f>
        <v>170.72398070395874</v>
      </c>
      <c r="K18" s="21"/>
      <c r="L18" s="21">
        <f>MAX((L5+L16),0)</f>
        <v>0</v>
      </c>
      <c r="M18" s="21"/>
      <c r="N18" s="21">
        <f>MAX((N5+N16),0)</f>
        <v>27009.758485083628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0.2167298666418877</v>
      </c>
      <c r="C20" s="25">
        <f ca="1">'EF ele_warmte'!B22</f>
        <v>0.23742927604321648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23479.31362214858</v>
      </c>
      <c r="C22" s="23">
        <f ca="1">C18*C20</f>
        <v>0</v>
      </c>
      <c r="D22" s="23">
        <f>D18*D20</f>
        <v>21565.622140280277</v>
      </c>
      <c r="E22" s="23">
        <f>E18*E20</f>
        <v>2402.911873459957</v>
      </c>
      <c r="F22" s="23">
        <f>F18*F20</f>
        <v>8866.8068252636604</v>
      </c>
      <c r="G22" s="23"/>
      <c r="H22" s="23"/>
      <c r="I22" s="23"/>
      <c r="J22" s="23">
        <f>J18*J20</f>
        <v>60.436289169201395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1835.4706585895301</v>
      </c>
      <c r="C30" s="39">
        <f>IF(ISERROR(B30*3.6/1000000/'E Balans VL '!Z18*100),0,B30*3.6/1000000/'E Balans VL '!Z18*100)</f>
        <v>0.1040208286768622</v>
      </c>
      <c r="D30" s="237" t="s">
        <v>754</v>
      </c>
    </row>
    <row r="31" spans="1:18">
      <c r="A31" s="6" t="s">
        <v>33</v>
      </c>
      <c r="B31" s="37">
        <f>IF( ISERROR(IND_ander_ele_kWh/1000),0,IND_ander_ele_kWh/1000)</f>
        <v>26934.261735626998</v>
      </c>
      <c r="C31" s="39">
        <f>IF(ISERROR(B31*3.6/1000000/'E Balans VL '!Z19*100),0,B31*3.6/1000000/'E Balans VL '!Z19*100)</f>
        <v>1.2216259600141501</v>
      </c>
      <c r="D31" s="237" t="s">
        <v>754</v>
      </c>
    </row>
    <row r="32" spans="1:18">
      <c r="A32" s="171" t="s">
        <v>41</v>
      </c>
      <c r="B32" s="37">
        <f>IF( ISERROR(IND_voed_ele_kWh/1000),0,IND_voed_ele_kWh/1000)</f>
        <v>29976.498106290601</v>
      </c>
      <c r="C32" s="39">
        <f>IF(ISERROR(B32*3.6/1000000/'E Balans VL '!Z20*100),0,B32*3.6/1000000/'E Balans VL '!Z20*100)</f>
        <v>0.9273091682388358</v>
      </c>
      <c r="D32" s="237" t="s">
        <v>754</v>
      </c>
    </row>
    <row r="33" spans="1:5">
      <c r="A33" s="171" t="s">
        <v>40</v>
      </c>
      <c r="B33" s="37">
        <f>IF( ISERROR(IND_textiel_ele_kWh/1000),0,IND_textiel_ele_kWh/1000)</f>
        <v>121.314842545622</v>
      </c>
      <c r="C33" s="39">
        <f>IF(ISERROR(B33*3.6/1000000/'E Balans VL '!Z21*100),0,B33*3.6/1000000/'E Balans VL '!Z21*100)</f>
        <v>1.5818106984809271E-2</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1833.1890681624602</v>
      </c>
      <c r="C35" s="39">
        <f>IF(ISERROR(B35*3.6/1000000/'E Balans VL '!Z22*100),0,B35*3.6/1000000/'E Balans VL '!Z22*100)</f>
        <v>0.32973351852220811</v>
      </c>
      <c r="D35" s="237" t="s">
        <v>754</v>
      </c>
    </row>
    <row r="36" spans="1:5">
      <c r="A36" s="171" t="s">
        <v>34</v>
      </c>
      <c r="B36" s="37">
        <f>IF( ISERROR(IND_chemie_ele_kWh/1000),0,IND_chemie_ele_kWh/1000)</f>
        <v>24.407996694070899</v>
      </c>
      <c r="C36" s="39">
        <f>IF(ISERROR(B36*3.6/1000000/'E Balans VL '!Z24*100),0,B36*3.6/1000000/'E Balans VL '!Z24*100)</f>
        <v>7.4429805816333277E-4</v>
      </c>
      <c r="D36" s="237" t="s">
        <v>754</v>
      </c>
    </row>
    <row r="37" spans="1:5">
      <c r="A37" s="171" t="s">
        <v>270</v>
      </c>
      <c r="B37" s="37">
        <f>IF( ISERROR(IND_rest_ele_kWh/1000),0,IND_rest_ele_kWh/1000)</f>
        <v>47609.320146550199</v>
      </c>
      <c r="C37" s="39">
        <f>IF(ISERROR(B37*3.6/1000000/'E Balans VL '!Z15*100),0,B37*3.6/1000000/'E Balans VL '!Z15*100)</f>
        <v>0.37736233196731028</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1496.1157851918531</v>
      </c>
      <c r="C5" s="17">
        <f>'Eigen informatie GS &amp; warmtenet'!B60</f>
        <v>0</v>
      </c>
      <c r="D5" s="30">
        <f>IF(ISERROR(SUM(LB_lb_gas_kWh,LB_rest_gas_kWh,onbekend_gas_kWh)/1000),0,SUM(LB_lb_gas_kWh,LB_rest_gas_kWh,onbekend_gas_kWh)/1000)*0.902</f>
        <v>36309.277174856943</v>
      </c>
      <c r="E5" s="17">
        <f>B17*'E Balans VL '!I25/3.6*1000000/100</f>
        <v>43.975412591834129</v>
      </c>
      <c r="F5" s="17">
        <f>B17*('E Balans VL '!L25/3.6*1000000+'E Balans VL '!N25/3.6*1000000)/100</f>
        <v>6232.7375152556388</v>
      </c>
      <c r="G5" s="18"/>
      <c r="H5" s="17"/>
      <c r="I5" s="17"/>
      <c r="J5" s="17">
        <f>('E Balans VL '!D25+'E Balans VL '!E25)/3.6*1000000*landbouw!B17/100</f>
        <v>216.75504782003031</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1496.1157851918531</v>
      </c>
      <c r="C8" s="21">
        <f>C5+C6</f>
        <v>0</v>
      </c>
      <c r="D8" s="21">
        <f>MAX((D5+D6),0)</f>
        <v>36309.277174856943</v>
      </c>
      <c r="E8" s="21">
        <f>MAX((E5+E6),0)</f>
        <v>43.975412591834129</v>
      </c>
      <c r="F8" s="21">
        <f>MAX((F5+F6),0)</f>
        <v>6232.7375152556388</v>
      </c>
      <c r="G8" s="21"/>
      <c r="H8" s="21"/>
      <c r="I8" s="21"/>
      <c r="J8" s="21">
        <f>MAX((J5+J6),0)</f>
        <v>216.75504782003031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0.2167298666418877</v>
      </c>
      <c r="C10" s="31">
        <f ca="1">'EF ele_warmte'!B22</f>
        <v>0.23742927604321648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324.2529746054534</v>
      </c>
      <c r="C12" s="23">
        <f ca="1">C8*C10</f>
        <v>0</v>
      </c>
      <c r="D12" s="23">
        <f>D8*D10</f>
        <v>7334.4739893211026</v>
      </c>
      <c r="E12" s="23">
        <f>E8*E10</f>
        <v>9.9824186583463472</v>
      </c>
      <c r="F12" s="23">
        <f>F8*F10</f>
        <v>1664.1409165732557</v>
      </c>
      <c r="G12" s="23"/>
      <c r="H12" s="23"/>
      <c r="I12" s="23"/>
      <c r="J12" s="23">
        <f>J8*J10</f>
        <v>76.731286928290729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0.21230352383885004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49.522797948227499</v>
      </c>
      <c r="C26" s="247">
        <f>B26*'GWP N2O_CH4'!B5</f>
        <v>1039.9787569127775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5.7821507779581509</v>
      </c>
      <c r="C27" s="247">
        <f>B27*'GWP N2O_CH4'!B5</f>
        <v>121.42516633712117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0.5916670812561351</v>
      </c>
      <c r="C28" s="247">
        <f>B28*'GWP N2O_CH4'!B4</f>
        <v>183.41679518940188</v>
      </c>
      <c r="D28" s="50"/>
    </row>
    <row r="29" spans="1:4">
      <c r="A29" s="41" t="s">
        <v>277</v>
      </c>
      <c r="B29" s="247">
        <f>B34*'ha_N2O bodem landbouw'!B4</f>
        <v>7.0294071743786493</v>
      </c>
      <c r="C29" s="247">
        <f>B29*'GWP N2O_CH4'!B4</f>
        <v>2179.1162240573813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1.6040864927784114E-3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9.614695279224402E-4</v>
      </c>
      <c r="C5" s="463" t="s">
        <v>211</v>
      </c>
      <c r="D5" s="448">
        <f>SUM(D6:D11)</f>
        <v>3.3366362173963158E-3</v>
      </c>
      <c r="E5" s="448">
        <f>SUM(E6:E11)</f>
        <v>5.0428832637393079E-3</v>
      </c>
      <c r="F5" s="461" t="s">
        <v>211</v>
      </c>
      <c r="G5" s="448">
        <f>SUM(G6:G11)</f>
        <v>1.5960252870572551</v>
      </c>
      <c r="H5" s="448">
        <f>SUM(H6:H11)</f>
        <v>0.38488036563093381</v>
      </c>
      <c r="I5" s="463" t="s">
        <v>211</v>
      </c>
      <c r="J5" s="463" t="s">
        <v>211</v>
      </c>
      <c r="K5" s="463" t="s">
        <v>211</v>
      </c>
      <c r="L5" s="463" t="s">
        <v>211</v>
      </c>
      <c r="M5" s="448">
        <f>SUM(M6:M11)</f>
        <v>0.10467146346233092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2.5605686160730119E-4</v>
      </c>
      <c r="C6" s="449"/>
      <c r="D6" s="962">
        <f>vkm_2011_GW_PW*SUMIFS(TableVerdeelsleutelVkm[CNG],TableVerdeelsleutelVkm[Voertuigtype],"Lichte voertuigen")*SUMIFS(TableECFTransport[EnergieConsumptieFactor (PJ per km)],TableECFTransport[Index],CONCATENATE($A6,"_CNG_CNG"))</f>
        <v>7.6802362155126527E-4</v>
      </c>
      <c r="E6" s="962">
        <f>vkm_2011_GW_PW*SUMIFS(TableVerdeelsleutelVkm[LPG],TableVerdeelsleutelVkm[Voertuigtype],"Lichte voertuigen")*SUMIFS(TableECFTransport[EnergieConsumptieFactor (PJ per km)],TableECFTransport[Index],CONCATENATE($A6,"_LPG_LPG"))</f>
        <v>1.0492305881953886E-3</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0.27128293262960068</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8.7338570920717729E-2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1.8441773451581607E-2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5.9872521853455901E-2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1.8244736367362763E-5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3.4987513703707142E-3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1.6185965576375608E-4</v>
      </c>
      <c r="C8" s="449"/>
      <c r="D8" s="451">
        <f>vkm_2011_NGW_PW*SUMIFS(TableVerdeelsleutelVkm[CNG],TableVerdeelsleutelVkm[Voertuigtype],"Lichte voertuigen")*SUMIFS(TableECFTransport[EnergieConsumptieFactor (PJ per km)],TableECFTransport[Index],CONCATENATE($A8,"_CNG_CNG"))</f>
        <v>8.6319966802514826E-4</v>
      </c>
      <c r="E8" s="451">
        <f>vkm_2011_NGW_PW*SUMIFS(TableVerdeelsleutelVkm[LPG],TableVerdeelsleutelVkm[Voertuigtype],"Lichte voertuigen")*SUMIFS(TableECFTransport[EnergieConsumptieFactor (PJ per km)],TableECFTransport[Index],CONCATENATE($A8,"_LPG_LPG"))</f>
        <v>1.0921237029051201E-3</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0.26314187577850406</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9.5391825413081596E-2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1.820505235671737E-2</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8.1658159663274658E-3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2.3425565348810743E-6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4.7717884506709413E-4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5.4355301055138291E-4</v>
      </c>
      <c r="C10" s="449"/>
      <c r="D10" s="451">
        <f>vkm_2011_SW_PW*SUMIFS(TableVerdeelsleutelVkm[CNG],TableVerdeelsleutelVkm[Voertuigtype],"Lichte voertuigen")*SUMIFS(TableECFTransport[EnergieConsumptieFactor (PJ per km)],TableECFTransport[Index],CONCATENATE($A10,"_CNG_CNG"))</f>
        <v>1.7054129278199024E-3</v>
      </c>
      <c r="E10" s="451">
        <f>vkm_2011_SW_PW*SUMIFS(TableVerdeelsleutelVkm[LPG],TableVerdeelsleutelVkm[Voertuigtype],"Lichte voertuigen")*SUMIFS(TableECFTransport[EnergieConsumptieFactor (PJ per km)],TableECFTransport[Index],CONCATENATE($A10,"_LPG_LPG"))</f>
        <v>2.9015289726387994E-3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0.66880900218043615</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0.20202251517468181</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4.5070977786865439E-2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0.32475313864893091</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1.0686682955039575E-4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1.8977729651728701E-2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267.07486886734449</v>
      </c>
      <c r="C14" s="21"/>
      <c r="D14" s="21">
        <f t="shared" ref="D14:M14" si="0">((D5)*10^9/3600)+D12</f>
        <v>926.84339372119882</v>
      </c>
      <c r="E14" s="21">
        <f t="shared" si="0"/>
        <v>1400.8009065942524</v>
      </c>
      <c r="F14" s="21"/>
      <c r="G14" s="21">
        <f t="shared" si="0"/>
        <v>443340.35751590418</v>
      </c>
      <c r="H14" s="21">
        <f t="shared" si="0"/>
        <v>106911.21267525939</v>
      </c>
      <c r="I14" s="21"/>
      <c r="J14" s="21"/>
      <c r="K14" s="21"/>
      <c r="L14" s="21"/>
      <c r="M14" s="21">
        <f t="shared" si="0"/>
        <v>29075.406517314146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0.2167298666418877</v>
      </c>
      <c r="C16" s="56">
        <f ca="1">'EF ele_warmte'!B22</f>
        <v>0.23742927604321648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57.883100713019218</v>
      </c>
      <c r="C18" s="23"/>
      <c r="D18" s="23">
        <f t="shared" ref="D18:M18" si="1">D14*D16</f>
        <v>187.22236553168219</v>
      </c>
      <c r="E18" s="23">
        <f t="shared" si="1"/>
        <v>317.98180579689529</v>
      </c>
      <c r="F18" s="23"/>
      <c r="G18" s="23">
        <f t="shared" si="1"/>
        <v>118371.87545674642</v>
      </c>
      <c r="H18" s="23">
        <f t="shared" si="1"/>
        <v>26620.891956139589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8.3663709878283393E-2</v>
      </c>
      <c r="H50" s="321">
        <f t="shared" si="2"/>
        <v>0</v>
      </c>
      <c r="I50" s="321">
        <f t="shared" si="2"/>
        <v>0</v>
      </c>
      <c r="J50" s="321">
        <f t="shared" si="2"/>
        <v>0</v>
      </c>
      <c r="K50" s="321">
        <f t="shared" si="2"/>
        <v>0</v>
      </c>
      <c r="L50" s="321">
        <f t="shared" si="2"/>
        <v>0</v>
      </c>
      <c r="M50" s="321">
        <f t="shared" si="2"/>
        <v>4.7517293812486226E-3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8.3663709878283393E-2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4.7517293812486226E-3</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23239.919410634277</v>
      </c>
      <c r="H54" s="21">
        <f t="shared" si="3"/>
        <v>0</v>
      </c>
      <c r="I54" s="21">
        <f t="shared" si="3"/>
        <v>0</v>
      </c>
      <c r="J54" s="21">
        <f t="shared" si="3"/>
        <v>0</v>
      </c>
      <c r="K54" s="21">
        <f t="shared" si="3"/>
        <v>0</v>
      </c>
      <c r="L54" s="21">
        <f t="shared" si="3"/>
        <v>0</v>
      </c>
      <c r="M54" s="21">
        <f t="shared" si="3"/>
        <v>1319.9248281246173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0.2167298666418877</v>
      </c>
      <c r="C56" s="56">
        <f ca="1">'EF ele_warmte'!B22</f>
        <v>0.23742927604321648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6205.0584826393524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12745.29871029023</v>
      </c>
      <c r="C6" s="1263"/>
      <c r="D6" s="1248"/>
      <c r="E6" s="1248"/>
      <c r="F6" s="1266"/>
      <c r="G6" s="1269"/>
      <c r="H6" s="1260"/>
      <c r="I6" s="1248"/>
      <c r="J6" s="1248"/>
      <c r="K6" s="1248"/>
      <c r="L6" s="1252"/>
      <c r="M6" s="575"/>
      <c r="N6" s="1226"/>
      <c r="O6" s="1227"/>
      <c r="Q6" s="573"/>
      <c r="R6" s="1214"/>
      <c r="S6" s="1214"/>
    </row>
    <row r="7" spans="1:19" s="563" customFormat="1">
      <c r="A7" s="576" t="s">
        <v>252</v>
      </c>
      <c r="B7" s="577">
        <f>N57</f>
        <v>43.00833333333334</v>
      </c>
      <c r="C7" s="578">
        <f>B100</f>
        <v>50.551670530488465</v>
      </c>
      <c r="D7" s="579"/>
      <c r="E7" s="579">
        <f>E100</f>
        <v>0</v>
      </c>
      <c r="F7" s="580"/>
      <c r="G7" s="581"/>
      <c r="H7" s="579">
        <f>I100</f>
        <v>0</v>
      </c>
      <c r="I7" s="579">
        <f>G100+F100</f>
        <v>0</v>
      </c>
      <c r="J7" s="579">
        <f>H100+D100+C100</f>
        <v>0</v>
      </c>
      <c r="K7" s="579"/>
      <c r="L7" s="582"/>
      <c r="M7" s="583">
        <f>C7*$C$11+D7*$D$11+E7*$E$11+F7*$F$11+G7*$G$11+H7*$H$11+I7*$I$11+J7*$J$11</f>
        <v>10.211437447158671</v>
      </c>
      <c r="N7" s="1226"/>
      <c r="O7" s="1227"/>
      <c r="Q7" s="573"/>
      <c r="R7" s="1214"/>
      <c r="S7" s="1214"/>
    </row>
    <row r="8" spans="1:19" s="563" customFormat="1" ht="17.45" customHeight="1" thickBot="1">
      <c r="A8" s="584" t="s">
        <v>248</v>
      </c>
      <c r="B8" s="585">
        <f>N88+'Eigen informatie GS &amp; warmtenet'!B12</f>
        <v>1404</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4011.4285714285716</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14192.307043623563</v>
      </c>
      <c r="C9" s="594">
        <f t="shared" ref="C9:L9" si="0">SUM(C7:C8)</f>
        <v>50.551670530488465</v>
      </c>
      <c r="D9" s="594">
        <f t="shared" si="0"/>
        <v>0</v>
      </c>
      <c r="E9" s="594">
        <f t="shared" si="0"/>
        <v>0</v>
      </c>
      <c r="F9" s="594">
        <f t="shared" si="0"/>
        <v>0</v>
      </c>
      <c r="G9" s="594">
        <f t="shared" si="0"/>
        <v>0</v>
      </c>
      <c r="H9" s="594">
        <f t="shared" si="0"/>
        <v>0</v>
      </c>
      <c r="I9" s="594">
        <f t="shared" si="0"/>
        <v>0</v>
      </c>
      <c r="J9" s="594">
        <f t="shared" si="0"/>
        <v>4011.4285714285716</v>
      </c>
      <c r="K9" s="594">
        <f t="shared" si="0"/>
        <v>0</v>
      </c>
      <c r="L9" s="594">
        <f t="shared" si="0"/>
        <v>0</v>
      </c>
      <c r="M9" s="595">
        <f>SUM(M4:M8)</f>
        <v>10.211437447158671</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61.443211068211077</v>
      </c>
      <c r="C16" s="610">
        <f>B101</f>
        <v>72.219886741068819</v>
      </c>
      <c r="D16" s="611"/>
      <c r="E16" s="611">
        <f>E101</f>
        <v>0</v>
      </c>
      <c r="F16" s="612"/>
      <c r="G16" s="613"/>
      <c r="H16" s="610">
        <f>I101</f>
        <v>0</v>
      </c>
      <c r="I16" s="611">
        <f>G101+F101</f>
        <v>0</v>
      </c>
      <c r="J16" s="611">
        <f>H101+D101+C101</f>
        <v>0</v>
      </c>
      <c r="K16" s="611"/>
      <c r="L16" s="614"/>
      <c r="M16" s="615">
        <f>C16*$C$21+E16*$E$21+H16*$H$21+I16*$I$21+J16*$J$21+D16*$D$21+F16*$F$21+G16*$G$21+K16*$K$21+L16*$L$21</f>
        <v>14.588417121695903</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61.443211068211077</v>
      </c>
      <c r="C19" s="593">
        <f>SUM(C16:C18)</f>
        <v>72.219886741068819</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14.588417121695903</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24062</v>
      </c>
      <c r="C27" s="851">
        <v>3001</v>
      </c>
      <c r="D27" s="672" t="s">
        <v>844</v>
      </c>
      <c r="E27" s="671" t="s">
        <v>845</v>
      </c>
      <c r="F27" s="671" t="s">
        <v>846</v>
      </c>
      <c r="G27" s="671" t="s">
        <v>847</v>
      </c>
      <c r="H27" s="671" t="s">
        <v>848</v>
      </c>
      <c r="I27" s="671" t="s">
        <v>845</v>
      </c>
      <c r="J27" s="850">
        <v>40940</v>
      </c>
      <c r="K27" s="850">
        <v>41244</v>
      </c>
      <c r="L27" s="671" t="s">
        <v>849</v>
      </c>
      <c r="M27" s="671">
        <v>9.4</v>
      </c>
      <c r="N27" s="671">
        <v>42.300000000000004</v>
      </c>
      <c r="O27" s="671">
        <v>60.428571428571438</v>
      </c>
      <c r="P27" s="671">
        <v>120.85714285714288</v>
      </c>
      <c r="Q27" s="671">
        <v>0</v>
      </c>
      <c r="R27" s="671">
        <v>0</v>
      </c>
      <c r="S27" s="671">
        <v>0</v>
      </c>
      <c r="T27" s="671">
        <v>0</v>
      </c>
      <c r="U27" s="671">
        <v>0</v>
      </c>
      <c r="V27" s="671">
        <v>0</v>
      </c>
      <c r="W27" s="671">
        <v>0</v>
      </c>
      <c r="X27" s="671">
        <v>1500</v>
      </c>
      <c r="Y27" s="671" t="s">
        <v>51</v>
      </c>
      <c r="Z27" s="673" t="s">
        <v>156</v>
      </c>
    </row>
    <row r="28" spans="1:26" s="625" customFormat="1" ht="38.25">
      <c r="A28" s="624"/>
      <c r="B28" s="851">
        <v>24062</v>
      </c>
      <c r="C28" s="851">
        <v>3000</v>
      </c>
      <c r="D28" s="672"/>
      <c r="E28" s="671"/>
      <c r="F28" s="671" t="s">
        <v>850</v>
      </c>
      <c r="G28" s="671" t="s">
        <v>851</v>
      </c>
      <c r="H28" s="671" t="s">
        <v>851</v>
      </c>
      <c r="I28" s="671" t="s">
        <v>852</v>
      </c>
      <c r="J28" s="850">
        <v>42311</v>
      </c>
      <c r="K28" s="850">
        <v>42311</v>
      </c>
      <c r="L28" s="671" t="s">
        <v>849</v>
      </c>
      <c r="M28" s="671">
        <v>1.7</v>
      </c>
      <c r="N28" s="671">
        <v>0.70833333333333326</v>
      </c>
      <c r="O28" s="671">
        <v>1.0146396396396395</v>
      </c>
      <c r="P28" s="671">
        <v>1.9144144144144142</v>
      </c>
      <c r="Q28" s="671">
        <v>0</v>
      </c>
      <c r="R28" s="671">
        <v>0</v>
      </c>
      <c r="S28" s="671">
        <v>0</v>
      </c>
      <c r="T28" s="671">
        <v>0</v>
      </c>
      <c r="U28" s="671">
        <v>0</v>
      </c>
      <c r="V28" s="671">
        <v>0</v>
      </c>
      <c r="W28" s="671">
        <v>0</v>
      </c>
      <c r="X28" s="671">
        <v>1500</v>
      </c>
      <c r="Y28" s="671" t="s">
        <v>51</v>
      </c>
      <c r="Z28" s="673" t="s">
        <v>156</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11.1</v>
      </c>
      <c r="N57" s="629">
        <f>SUM(N27:N56)</f>
        <v>43.00833333333334</v>
      </c>
      <c r="O57" s="629">
        <f t="shared" ref="O57:W57" si="2">SUM(O27:O56)</f>
        <v>61.443211068211077</v>
      </c>
      <c r="P57" s="629">
        <f t="shared" si="2"/>
        <v>122.77155727155728</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11.1</v>
      </c>
      <c r="N59" s="629">
        <f ca="1">SUMIF($Z$27:AB56,"tertiair",N27:N56)</f>
        <v>43.00833333333334</v>
      </c>
      <c r="O59" s="629">
        <f ca="1">SUMIF($Z$27:AC56,"tertiair",O27:O56)</f>
        <v>61.443211068211077</v>
      </c>
      <c r="P59" s="629">
        <f ca="1">SUMIF($Z$27:AD56,"tertiair",P27:P56)</f>
        <v>122.77155727155728</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63.75">
      <c r="A63" s="626"/>
      <c r="B63" s="851">
        <v>24062</v>
      </c>
      <c r="C63" s="851">
        <v>3010</v>
      </c>
      <c r="D63" s="674" t="s">
        <v>853</v>
      </c>
      <c r="E63" s="674" t="s">
        <v>854</v>
      </c>
      <c r="F63" s="674" t="s">
        <v>855</v>
      </c>
      <c r="G63" s="674" t="s">
        <v>856</v>
      </c>
      <c r="H63" s="674" t="s">
        <v>857</v>
      </c>
      <c r="I63" s="674" t="s">
        <v>858</v>
      </c>
      <c r="J63" s="850">
        <v>36898</v>
      </c>
      <c r="K63" s="850">
        <v>37316</v>
      </c>
      <c r="L63" s="674" t="s">
        <v>859</v>
      </c>
      <c r="M63" s="674">
        <v>312</v>
      </c>
      <c r="N63" s="674">
        <v>1404</v>
      </c>
      <c r="O63" s="674">
        <v>0</v>
      </c>
      <c r="P63" s="674">
        <v>0</v>
      </c>
      <c r="Q63" s="674">
        <v>4011.4285714285716</v>
      </c>
      <c r="R63" s="674">
        <v>0</v>
      </c>
      <c r="S63" s="674">
        <v>0</v>
      </c>
      <c r="T63" s="674">
        <v>0</v>
      </c>
      <c r="U63" s="674">
        <v>0</v>
      </c>
      <c r="V63" s="674">
        <v>0</v>
      </c>
      <c r="W63" s="674">
        <v>0</v>
      </c>
      <c r="X63" s="674">
        <v>1600</v>
      </c>
      <c r="Y63" s="674" t="s">
        <v>50</v>
      </c>
      <c r="Z63" s="675" t="s">
        <v>156</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312</v>
      </c>
      <c r="N88" s="629">
        <f t="shared" ref="N88:W88" si="5">SUM(N63:N87)</f>
        <v>1404</v>
      </c>
      <c r="O88" s="629">
        <f t="shared" si="5"/>
        <v>0</v>
      </c>
      <c r="P88" s="629">
        <f t="shared" si="5"/>
        <v>0</v>
      </c>
      <c r="Q88" s="629">
        <f t="shared" si="5"/>
        <v>4011.4285714285716</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312</v>
      </c>
      <c r="N90" s="629">
        <f t="shared" ref="N90:W90" si="7">SUMIF($Z$63:$Z$88,"tertiair",N63:N88)</f>
        <v>1404</v>
      </c>
      <c r="O90" s="629">
        <f t="shared" si="7"/>
        <v>0</v>
      </c>
      <c r="P90" s="629">
        <f t="shared" si="7"/>
        <v>0</v>
      </c>
      <c r="Q90" s="629">
        <f t="shared" si="7"/>
        <v>4011.4285714285716</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0.58824607544340513</v>
      </c>
      <c r="C97" s="654">
        <f>IF(ISERROR(N57/(O57+N57)),0,N57/(N57+O57))</f>
        <v>0.41175392455659487</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50.551670530488465</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72.219886741068819</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480129.16479912569</v>
      </c>
      <c r="D10" s="718">
        <f ca="1">tertiair!C16</f>
        <v>61.443211068211077</v>
      </c>
      <c r="E10" s="718">
        <f ca="1">tertiair!D16</f>
        <v>526502.40398381476</v>
      </c>
      <c r="F10" s="718">
        <f>tertiair!E16</f>
        <v>5666.0331408111888</v>
      </c>
      <c r="G10" s="718">
        <f ca="1">tertiair!F16</f>
        <v>70396.663726422878</v>
      </c>
      <c r="H10" s="718">
        <f>tertiair!G16</f>
        <v>0</v>
      </c>
      <c r="I10" s="718">
        <f>tertiair!H16</f>
        <v>0</v>
      </c>
      <c r="J10" s="718">
        <f>tertiair!I16</f>
        <v>0</v>
      </c>
      <c r="K10" s="718">
        <f>tertiair!J16</f>
        <v>0.61959944618678664</v>
      </c>
      <c r="L10" s="718">
        <f>tertiair!K16</f>
        <v>0</v>
      </c>
      <c r="M10" s="718">
        <f ca="1">tertiair!L16</f>
        <v>0</v>
      </c>
      <c r="N10" s="718">
        <f>tertiair!M16</f>
        <v>0</v>
      </c>
      <c r="O10" s="718">
        <f ca="1">tertiair!N16</f>
        <v>20670.306044177258</v>
      </c>
      <c r="P10" s="718">
        <f>tertiair!O16</f>
        <v>12.506666666666668</v>
      </c>
      <c r="Q10" s="719">
        <f>tertiair!P16</f>
        <v>419.4666666666667</v>
      </c>
      <c r="R10" s="721">
        <f ca="1">SUM(C10:Q10)</f>
        <v>1103858.6078381992</v>
      </c>
      <c r="S10" s="67"/>
    </row>
    <row r="11" spans="1:19" s="474" customFormat="1">
      <c r="A11" s="870" t="s">
        <v>225</v>
      </c>
      <c r="B11" s="875"/>
      <c r="C11" s="718">
        <f>huishoudens!B8</f>
        <v>141902.17118525712</v>
      </c>
      <c r="D11" s="718">
        <f>huishoudens!C8</f>
        <v>0</v>
      </c>
      <c r="E11" s="718">
        <f>huishoudens!D8</f>
        <v>410760.40541802999</v>
      </c>
      <c r="F11" s="718">
        <f>huishoudens!E8</f>
        <v>16140.018223016936</v>
      </c>
      <c r="G11" s="718">
        <f>huishoudens!F8</f>
        <v>125379.56103341833</v>
      </c>
      <c r="H11" s="718">
        <f>huishoudens!G8</f>
        <v>0</v>
      </c>
      <c r="I11" s="718">
        <f>huishoudens!H8</f>
        <v>0</v>
      </c>
      <c r="J11" s="718">
        <f>huishoudens!I8</f>
        <v>0</v>
      </c>
      <c r="K11" s="718">
        <f>huishoudens!J8</f>
        <v>0</v>
      </c>
      <c r="L11" s="718">
        <f>huishoudens!K8</f>
        <v>0</v>
      </c>
      <c r="M11" s="718">
        <f>huishoudens!L8</f>
        <v>0</v>
      </c>
      <c r="N11" s="718">
        <f>huishoudens!M8</f>
        <v>0</v>
      </c>
      <c r="O11" s="718">
        <f>huishoudens!N8</f>
        <v>23306.909286880949</v>
      </c>
      <c r="P11" s="718">
        <f>huishoudens!O8</f>
        <v>1124.0366666666669</v>
      </c>
      <c r="Q11" s="719">
        <f>huishoudens!P8</f>
        <v>2936.2666666666664</v>
      </c>
      <c r="R11" s="721">
        <f>SUM(C11:Q11)</f>
        <v>721549.36847993673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108334.46255445947</v>
      </c>
      <c r="D13" s="718">
        <f>industrie!C18</f>
        <v>0</v>
      </c>
      <c r="E13" s="718">
        <f>industrie!D18</f>
        <v>106760.50564495186</v>
      </c>
      <c r="F13" s="718">
        <f>industrie!E18</f>
        <v>10585.51486105708</v>
      </c>
      <c r="G13" s="718">
        <f>industrie!F18</f>
        <v>33209.014326830184</v>
      </c>
      <c r="H13" s="718">
        <f>industrie!G18</f>
        <v>0</v>
      </c>
      <c r="I13" s="718">
        <f>industrie!H18</f>
        <v>0</v>
      </c>
      <c r="J13" s="718">
        <f>industrie!I18</f>
        <v>0</v>
      </c>
      <c r="K13" s="718">
        <f>industrie!J18</f>
        <v>170.72398070395874</v>
      </c>
      <c r="L13" s="718">
        <f>industrie!K18</f>
        <v>0</v>
      </c>
      <c r="M13" s="718">
        <f>industrie!L18</f>
        <v>0</v>
      </c>
      <c r="N13" s="718">
        <f>industrie!M18</f>
        <v>0</v>
      </c>
      <c r="O13" s="718">
        <f>industrie!N18</f>
        <v>27009.758485083628</v>
      </c>
      <c r="P13" s="718">
        <f>industrie!O18</f>
        <v>0</v>
      </c>
      <c r="Q13" s="719">
        <f>industrie!P18</f>
        <v>0</v>
      </c>
      <c r="R13" s="721">
        <f>SUM(C13:Q13)</f>
        <v>286069.97985308623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730365.79853884224</v>
      </c>
      <c r="D15" s="723">
        <f t="shared" ref="D15:Q15" ca="1" si="0">SUM(D9:D14)</f>
        <v>61.443211068211077</v>
      </c>
      <c r="E15" s="723">
        <f t="shared" ca="1" si="0"/>
        <v>1044023.3150467966</v>
      </c>
      <c r="F15" s="723">
        <f t="shared" si="0"/>
        <v>32391.566224885206</v>
      </c>
      <c r="G15" s="723">
        <f t="shared" ca="1" si="0"/>
        <v>228985.23908667141</v>
      </c>
      <c r="H15" s="723">
        <f t="shared" si="0"/>
        <v>0</v>
      </c>
      <c r="I15" s="723">
        <f t="shared" si="0"/>
        <v>0</v>
      </c>
      <c r="J15" s="723">
        <f t="shared" si="0"/>
        <v>0</v>
      </c>
      <c r="K15" s="723">
        <f t="shared" si="0"/>
        <v>171.34358015014553</v>
      </c>
      <c r="L15" s="723">
        <f t="shared" si="0"/>
        <v>0</v>
      </c>
      <c r="M15" s="723">
        <f t="shared" ca="1" si="0"/>
        <v>0</v>
      </c>
      <c r="N15" s="723">
        <f t="shared" si="0"/>
        <v>0</v>
      </c>
      <c r="O15" s="723">
        <f t="shared" ca="1" si="0"/>
        <v>70986.973816141835</v>
      </c>
      <c r="P15" s="723">
        <f t="shared" si="0"/>
        <v>1136.5433333333335</v>
      </c>
      <c r="Q15" s="724">
        <f t="shared" si="0"/>
        <v>3355.7333333333331</v>
      </c>
      <c r="R15" s="725">
        <f ca="1">SUM(R9:R14)</f>
        <v>2111477.956171222</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23239.919410634277</v>
      </c>
      <c r="I18" s="718">
        <f>transport!H54</f>
        <v>0</v>
      </c>
      <c r="J18" s="718">
        <f>transport!I54</f>
        <v>0</v>
      </c>
      <c r="K18" s="718">
        <f>transport!J54</f>
        <v>0</v>
      </c>
      <c r="L18" s="718">
        <f>transport!K54</f>
        <v>0</v>
      </c>
      <c r="M18" s="718">
        <f>transport!L54</f>
        <v>0</v>
      </c>
      <c r="N18" s="718">
        <f>transport!M54</f>
        <v>1319.9248281246173</v>
      </c>
      <c r="O18" s="718">
        <f>transport!N54</f>
        <v>0</v>
      </c>
      <c r="P18" s="718">
        <f>transport!O54</f>
        <v>0</v>
      </c>
      <c r="Q18" s="719">
        <f>transport!P54</f>
        <v>0</v>
      </c>
      <c r="R18" s="721">
        <f>SUM(C18:Q18)</f>
        <v>24559.844238758895</v>
      </c>
      <c r="S18" s="67"/>
    </row>
    <row r="19" spans="1:19" s="474" customFormat="1" ht="15" thickBot="1">
      <c r="A19" s="870" t="s">
        <v>307</v>
      </c>
      <c r="B19" s="875"/>
      <c r="C19" s="727">
        <f>transport!B14</f>
        <v>267.07486886734449</v>
      </c>
      <c r="D19" s="727">
        <f>transport!C14</f>
        <v>0</v>
      </c>
      <c r="E19" s="727">
        <f>transport!D14</f>
        <v>926.84339372119882</v>
      </c>
      <c r="F19" s="727">
        <f>transport!E14</f>
        <v>1400.8009065942524</v>
      </c>
      <c r="G19" s="727">
        <f>transport!F14</f>
        <v>0</v>
      </c>
      <c r="H19" s="727">
        <f>transport!G14</f>
        <v>443340.35751590418</v>
      </c>
      <c r="I19" s="727">
        <f>transport!H14</f>
        <v>106911.21267525939</v>
      </c>
      <c r="J19" s="727">
        <f>transport!I14</f>
        <v>0</v>
      </c>
      <c r="K19" s="727">
        <f>transport!J14</f>
        <v>0</v>
      </c>
      <c r="L19" s="727">
        <f>transport!K14</f>
        <v>0</v>
      </c>
      <c r="M19" s="727">
        <f>transport!L14</f>
        <v>0</v>
      </c>
      <c r="N19" s="727">
        <f>transport!M14</f>
        <v>29075.406517314146</v>
      </c>
      <c r="O19" s="727">
        <f>transport!N14</f>
        <v>0</v>
      </c>
      <c r="P19" s="727">
        <f>transport!O14</f>
        <v>0</v>
      </c>
      <c r="Q19" s="728">
        <f>transport!P14</f>
        <v>0</v>
      </c>
      <c r="R19" s="729">
        <f>SUM(C19:Q19)</f>
        <v>581921.69587766053</v>
      </c>
      <c r="S19" s="67"/>
    </row>
    <row r="20" spans="1:19" s="474" customFormat="1" ht="15.75" thickBot="1">
      <c r="A20" s="730" t="s">
        <v>230</v>
      </c>
      <c r="B20" s="878"/>
      <c r="C20" s="873">
        <f>SUM(C17:C19)</f>
        <v>267.07486886734449</v>
      </c>
      <c r="D20" s="731">
        <f t="shared" ref="D20:R20" si="1">SUM(D17:D19)</f>
        <v>0</v>
      </c>
      <c r="E20" s="731">
        <f t="shared" si="1"/>
        <v>926.84339372119882</v>
      </c>
      <c r="F20" s="731">
        <f t="shared" si="1"/>
        <v>1400.8009065942524</v>
      </c>
      <c r="G20" s="731">
        <f t="shared" si="1"/>
        <v>0</v>
      </c>
      <c r="H20" s="731">
        <f t="shared" si="1"/>
        <v>466580.27692653844</v>
      </c>
      <c r="I20" s="731">
        <f t="shared" si="1"/>
        <v>106911.21267525939</v>
      </c>
      <c r="J20" s="731">
        <f t="shared" si="1"/>
        <v>0</v>
      </c>
      <c r="K20" s="731">
        <f t="shared" si="1"/>
        <v>0</v>
      </c>
      <c r="L20" s="731">
        <f t="shared" si="1"/>
        <v>0</v>
      </c>
      <c r="M20" s="731">
        <f t="shared" si="1"/>
        <v>0</v>
      </c>
      <c r="N20" s="731">
        <f t="shared" si="1"/>
        <v>30395.331345438764</v>
      </c>
      <c r="O20" s="731">
        <f t="shared" si="1"/>
        <v>0</v>
      </c>
      <c r="P20" s="731">
        <f t="shared" si="1"/>
        <v>0</v>
      </c>
      <c r="Q20" s="732">
        <f t="shared" si="1"/>
        <v>0</v>
      </c>
      <c r="R20" s="733">
        <f t="shared" si="1"/>
        <v>606481.54011641943</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1496.1157851918531</v>
      </c>
      <c r="D22" s="727">
        <f>+landbouw!C8</f>
        <v>0</v>
      </c>
      <c r="E22" s="727">
        <f>+landbouw!D8</f>
        <v>36309.277174856943</v>
      </c>
      <c r="F22" s="727">
        <f>+landbouw!E8</f>
        <v>43.975412591834129</v>
      </c>
      <c r="G22" s="727">
        <f>+landbouw!F8</f>
        <v>6232.7375152556388</v>
      </c>
      <c r="H22" s="727">
        <f>+landbouw!G8</f>
        <v>0</v>
      </c>
      <c r="I22" s="727">
        <f>+landbouw!H8</f>
        <v>0</v>
      </c>
      <c r="J22" s="727">
        <f>+landbouw!I8</f>
        <v>0</v>
      </c>
      <c r="K22" s="727">
        <f>+landbouw!J8</f>
        <v>216.75504782003031</v>
      </c>
      <c r="L22" s="727">
        <f>+landbouw!K8</f>
        <v>0</v>
      </c>
      <c r="M22" s="727">
        <f>+landbouw!L8</f>
        <v>0</v>
      </c>
      <c r="N22" s="727">
        <f>+landbouw!M8</f>
        <v>0</v>
      </c>
      <c r="O22" s="727">
        <f>+landbouw!N8</f>
        <v>0</v>
      </c>
      <c r="P22" s="727">
        <f>+landbouw!O8</f>
        <v>0</v>
      </c>
      <c r="Q22" s="728">
        <f>+landbouw!P8</f>
        <v>0</v>
      </c>
      <c r="R22" s="729">
        <f>SUM(C22:Q22)</f>
        <v>44298.8609357163</v>
      </c>
      <c r="S22" s="67"/>
    </row>
    <row r="23" spans="1:19" s="474" customFormat="1" ht="17.25" thickTop="1" thickBot="1">
      <c r="A23" s="734" t="s">
        <v>116</v>
      </c>
      <c r="B23" s="864"/>
      <c r="C23" s="735">
        <f ca="1">C20+C15+C22</f>
        <v>732128.98919290141</v>
      </c>
      <c r="D23" s="735">
        <f t="shared" ref="D23:Q23" ca="1" si="2">D20+D15+D22</f>
        <v>61.443211068211077</v>
      </c>
      <c r="E23" s="735">
        <f t="shared" ca="1" si="2"/>
        <v>1081259.4356153747</v>
      </c>
      <c r="F23" s="735">
        <f t="shared" si="2"/>
        <v>33836.342544071289</v>
      </c>
      <c r="G23" s="735">
        <f t="shared" ca="1" si="2"/>
        <v>235217.97660192705</v>
      </c>
      <c r="H23" s="735">
        <f t="shared" si="2"/>
        <v>466580.27692653844</v>
      </c>
      <c r="I23" s="735">
        <f t="shared" si="2"/>
        <v>106911.21267525939</v>
      </c>
      <c r="J23" s="735">
        <f t="shared" si="2"/>
        <v>0</v>
      </c>
      <c r="K23" s="735">
        <f t="shared" si="2"/>
        <v>388.09862797017581</v>
      </c>
      <c r="L23" s="735">
        <f t="shared" si="2"/>
        <v>0</v>
      </c>
      <c r="M23" s="735">
        <f t="shared" ca="1" si="2"/>
        <v>0</v>
      </c>
      <c r="N23" s="735">
        <f t="shared" si="2"/>
        <v>30395.331345438764</v>
      </c>
      <c r="O23" s="735">
        <f t="shared" ca="1" si="2"/>
        <v>70986.973816141835</v>
      </c>
      <c r="P23" s="735">
        <f t="shared" si="2"/>
        <v>1136.5433333333335</v>
      </c>
      <c r="Q23" s="736">
        <f t="shared" si="2"/>
        <v>3355.7333333333331</v>
      </c>
      <c r="R23" s="737">
        <f ca="1">R20+R15+R22</f>
        <v>2762258.357223358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104058.32985779543</v>
      </c>
      <c r="D36" s="718">
        <f ca="1">tertiair!C20</f>
        <v>14.588417121695903</v>
      </c>
      <c r="E36" s="718">
        <f ca="1">tertiair!D20</f>
        <v>106353.48560473059</v>
      </c>
      <c r="F36" s="718">
        <f>tertiair!E20</f>
        <v>1286.18952296414</v>
      </c>
      <c r="G36" s="718">
        <f ca="1">tertiair!F20</f>
        <v>18795.909214954911</v>
      </c>
      <c r="H36" s="718">
        <f>tertiair!G20</f>
        <v>0</v>
      </c>
      <c r="I36" s="718">
        <f>tertiair!H20</f>
        <v>0</v>
      </c>
      <c r="J36" s="718">
        <f>tertiair!I20</f>
        <v>0</v>
      </c>
      <c r="K36" s="718">
        <f>tertiair!J20</f>
        <v>0.21933820395012246</v>
      </c>
      <c r="L36" s="718">
        <f>tertiair!K20</f>
        <v>0</v>
      </c>
      <c r="M36" s="718">
        <f ca="1">tertiair!L20</f>
        <v>0</v>
      </c>
      <c r="N36" s="718">
        <f>tertiair!M20</f>
        <v>0</v>
      </c>
      <c r="O36" s="718">
        <f ca="1">tertiair!N20</f>
        <v>0</v>
      </c>
      <c r="P36" s="718">
        <f>tertiair!O20</f>
        <v>0</v>
      </c>
      <c r="Q36" s="828">
        <f>tertiair!P20</f>
        <v>0</v>
      </c>
      <c r="R36" s="917">
        <f ca="1">SUM(C36:Q36)</f>
        <v>230508.72195577074</v>
      </c>
    </row>
    <row r="37" spans="1:18">
      <c r="A37" s="885" t="s">
        <v>225</v>
      </c>
      <c r="B37" s="892"/>
      <c r="C37" s="718">
        <f ca="1">huishoudens!B12</f>
        <v>30754.438637175095</v>
      </c>
      <c r="D37" s="718">
        <f ca="1">huishoudens!C12</f>
        <v>0</v>
      </c>
      <c r="E37" s="718">
        <f>huishoudens!D12</f>
        <v>82973.601894442065</v>
      </c>
      <c r="F37" s="718">
        <f>huishoudens!E12</f>
        <v>3663.7841366248445</v>
      </c>
      <c r="G37" s="718">
        <f>huishoudens!F12</f>
        <v>33476.342795922697</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150868.1674641647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23479.31362214858</v>
      </c>
      <c r="D39" s="718">
        <f ca="1">industrie!C22</f>
        <v>0</v>
      </c>
      <c r="E39" s="718">
        <f>industrie!D22</f>
        <v>21565.622140280277</v>
      </c>
      <c r="F39" s="718">
        <f>industrie!E22</f>
        <v>2402.911873459957</v>
      </c>
      <c r="G39" s="718">
        <f>industrie!F22</f>
        <v>8866.8068252636604</v>
      </c>
      <c r="H39" s="718">
        <f>industrie!G22</f>
        <v>0</v>
      </c>
      <c r="I39" s="718">
        <f>industrie!H22</f>
        <v>0</v>
      </c>
      <c r="J39" s="718">
        <f>industrie!I22</f>
        <v>0</v>
      </c>
      <c r="K39" s="718">
        <f>industrie!J22</f>
        <v>60.436289169201395</v>
      </c>
      <c r="L39" s="718">
        <f>industrie!K22</f>
        <v>0</v>
      </c>
      <c r="M39" s="718">
        <f>industrie!L22</f>
        <v>0</v>
      </c>
      <c r="N39" s="718">
        <f>industrie!M22</f>
        <v>0</v>
      </c>
      <c r="O39" s="718">
        <f>industrie!N22</f>
        <v>0</v>
      </c>
      <c r="P39" s="718">
        <f>industrie!O22</f>
        <v>0</v>
      </c>
      <c r="Q39" s="828">
        <f>industrie!P22</f>
        <v>0</v>
      </c>
      <c r="R39" s="918">
        <f ca="1">SUM(C39:Q39)</f>
        <v>56375.090750321666</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158292.08211711911</v>
      </c>
      <c r="D41" s="763">
        <f t="shared" ref="D41:R41" ca="1" si="4">SUM(D35:D40)</f>
        <v>14.588417121695903</v>
      </c>
      <c r="E41" s="763">
        <f t="shared" ca="1" si="4"/>
        <v>210892.70963945292</v>
      </c>
      <c r="F41" s="763">
        <f t="shared" si="4"/>
        <v>7352.8855330489414</v>
      </c>
      <c r="G41" s="763">
        <f t="shared" ca="1" si="4"/>
        <v>61139.058836141267</v>
      </c>
      <c r="H41" s="763">
        <f t="shared" si="4"/>
        <v>0</v>
      </c>
      <c r="I41" s="763">
        <f t="shared" si="4"/>
        <v>0</v>
      </c>
      <c r="J41" s="763">
        <f t="shared" si="4"/>
        <v>0</v>
      </c>
      <c r="K41" s="763">
        <f t="shared" si="4"/>
        <v>60.655627373151518</v>
      </c>
      <c r="L41" s="763">
        <f t="shared" si="4"/>
        <v>0</v>
      </c>
      <c r="M41" s="763">
        <f t="shared" ca="1" si="4"/>
        <v>0</v>
      </c>
      <c r="N41" s="763">
        <f t="shared" si="4"/>
        <v>0</v>
      </c>
      <c r="O41" s="763">
        <f t="shared" ca="1" si="4"/>
        <v>0</v>
      </c>
      <c r="P41" s="763">
        <f t="shared" si="4"/>
        <v>0</v>
      </c>
      <c r="Q41" s="764">
        <f t="shared" si="4"/>
        <v>0</v>
      </c>
      <c r="R41" s="765">
        <f t="shared" ca="1" si="4"/>
        <v>437751.9801702571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6205.0584826393524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6205.0584826393524</v>
      </c>
    </row>
    <row r="45" spans="1:18" ht="15" thickBot="1">
      <c r="A45" s="888" t="s">
        <v>307</v>
      </c>
      <c r="B45" s="898"/>
      <c r="C45" s="727">
        <f ca="1">transport!B18</f>
        <v>57.883100713019218</v>
      </c>
      <c r="D45" s="727">
        <f>transport!C18</f>
        <v>0</v>
      </c>
      <c r="E45" s="727">
        <f>transport!D18</f>
        <v>187.22236553168219</v>
      </c>
      <c r="F45" s="727">
        <f>transport!E18</f>
        <v>317.98180579689529</v>
      </c>
      <c r="G45" s="727">
        <f>transport!F18</f>
        <v>0</v>
      </c>
      <c r="H45" s="727">
        <f>transport!G18</f>
        <v>118371.87545674642</v>
      </c>
      <c r="I45" s="727">
        <f>transport!H18</f>
        <v>26620.891956139589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145555.85468492762</v>
      </c>
    </row>
    <row r="46" spans="1:18" ht="15.75" thickBot="1">
      <c r="A46" s="886" t="s">
        <v>230</v>
      </c>
      <c r="B46" s="899"/>
      <c r="C46" s="763">
        <f t="shared" ref="C46:R46" ca="1" si="5">SUM(C43:C45)</f>
        <v>57.883100713019218</v>
      </c>
      <c r="D46" s="763">
        <f t="shared" ca="1" si="5"/>
        <v>0</v>
      </c>
      <c r="E46" s="763">
        <f t="shared" si="5"/>
        <v>187.22236553168219</v>
      </c>
      <c r="F46" s="763">
        <f t="shared" si="5"/>
        <v>317.98180579689529</v>
      </c>
      <c r="G46" s="763">
        <f t="shared" si="5"/>
        <v>0</v>
      </c>
      <c r="H46" s="763">
        <f t="shared" si="5"/>
        <v>124576.93393938577</v>
      </c>
      <c r="I46" s="763">
        <f t="shared" si="5"/>
        <v>26620.891956139589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151760.91316756696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324.2529746054534</v>
      </c>
      <c r="D48" s="718">
        <f ca="1">+landbouw!C12</f>
        <v>0</v>
      </c>
      <c r="E48" s="718">
        <f>+landbouw!D12</f>
        <v>7334.4739893211026</v>
      </c>
      <c r="F48" s="718">
        <f>+landbouw!E12</f>
        <v>9.9824186583463472</v>
      </c>
      <c r="G48" s="718">
        <f>+landbouw!F12</f>
        <v>1664.1409165732557</v>
      </c>
      <c r="H48" s="718">
        <f>+landbouw!G12</f>
        <v>0</v>
      </c>
      <c r="I48" s="718">
        <f>+landbouw!H12</f>
        <v>0</v>
      </c>
      <c r="J48" s="718">
        <f>+landbouw!I12</f>
        <v>0</v>
      </c>
      <c r="K48" s="718">
        <f>+landbouw!J12</f>
        <v>76.731286928290729</v>
      </c>
      <c r="L48" s="718">
        <f>+landbouw!K12</f>
        <v>0</v>
      </c>
      <c r="M48" s="718">
        <f>+landbouw!L12</f>
        <v>0</v>
      </c>
      <c r="N48" s="718">
        <f>+landbouw!M12</f>
        <v>0</v>
      </c>
      <c r="O48" s="718">
        <f>+landbouw!N12</f>
        <v>0</v>
      </c>
      <c r="P48" s="718">
        <f>+landbouw!O12</f>
        <v>0</v>
      </c>
      <c r="Q48" s="719">
        <f>+landbouw!P12</f>
        <v>0</v>
      </c>
      <c r="R48" s="761">
        <f ca="1">SUM(C48:Q48)</f>
        <v>9409.5815860864495</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158674.21819243758</v>
      </c>
      <c r="D53" s="773">
        <f t="shared" ref="D53:Q53" ca="1" si="6">D41+D46+D48</f>
        <v>14.588417121695903</v>
      </c>
      <c r="E53" s="773">
        <f t="shared" ca="1" si="6"/>
        <v>218414.40599430571</v>
      </c>
      <c r="F53" s="773">
        <f t="shared" si="6"/>
        <v>7680.8497575041829</v>
      </c>
      <c r="G53" s="773">
        <f t="shared" ca="1" si="6"/>
        <v>62803.199752714521</v>
      </c>
      <c r="H53" s="773">
        <f t="shared" si="6"/>
        <v>124576.93393938577</v>
      </c>
      <c r="I53" s="773">
        <f t="shared" si="6"/>
        <v>26620.891956139589</v>
      </c>
      <c r="J53" s="773">
        <f t="shared" si="6"/>
        <v>0</v>
      </c>
      <c r="K53" s="773">
        <f t="shared" si="6"/>
        <v>137.38691430144223</v>
      </c>
      <c r="L53" s="773">
        <f t="shared" si="6"/>
        <v>0</v>
      </c>
      <c r="M53" s="773">
        <f t="shared" ca="1" si="6"/>
        <v>0</v>
      </c>
      <c r="N53" s="773">
        <f t="shared" si="6"/>
        <v>0</v>
      </c>
      <c r="O53" s="773">
        <f t="shared" ca="1" si="6"/>
        <v>0</v>
      </c>
      <c r="P53" s="773">
        <f>P41+P46+P48</f>
        <v>0</v>
      </c>
      <c r="Q53" s="774">
        <f t="shared" si="6"/>
        <v>0</v>
      </c>
      <c r="R53" s="775">
        <f ca="1">R41+R46+R48</f>
        <v>598922.47492391046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0.2167298666418877</v>
      </c>
      <c r="D55" s="836">
        <f t="shared" ca="1" si="7"/>
        <v>0.23742927604321648</v>
      </c>
      <c r="E55" s="836">
        <f t="shared" ca="1" si="7"/>
        <v>0.20200000000000001</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12745.29871029023</v>
      </c>
      <c r="C66" s="795">
        <f>'lokale energieproductie'!B6</f>
        <v>12745.29871029023</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43.00833333333334</v>
      </c>
      <c r="C67" s="794">
        <f>B67*IFERROR(SUM(J67:L67)/SUM(D67:M67),0)</f>
        <v>0</v>
      </c>
      <c r="D67" s="826">
        <f>'lokale energieproductie'!C7</f>
        <v>50.551670530488465</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10.211437447158671</v>
      </c>
      <c r="P67" s="922">
        <v>0</v>
      </c>
      <c r="Q67" s="785"/>
      <c r="R67" s="742"/>
    </row>
    <row r="68" spans="1:18" ht="30.75" thickBot="1">
      <c r="A68" s="801" t="s">
        <v>353</v>
      </c>
      <c r="B68" s="794">
        <f>'lokale energieproductie'!B8</f>
        <v>1404</v>
      </c>
      <c r="C68" s="794">
        <f>B68*IFERROR(SUM(J68:L68)/SUM(D68:M68),0)</f>
        <v>1404</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4011.4285714285716</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14192.307043623563</v>
      </c>
      <c r="C69" s="803">
        <f>SUM(C64:C68)</f>
        <v>14149.29871029023</v>
      </c>
      <c r="D69" s="804">
        <f t="shared" ref="D69:M69" si="8">SUM(D67:D68)</f>
        <v>50.551670530488465</v>
      </c>
      <c r="E69" s="804">
        <f t="shared" si="8"/>
        <v>0</v>
      </c>
      <c r="F69" s="804">
        <f t="shared" si="8"/>
        <v>0</v>
      </c>
      <c r="G69" s="804">
        <f t="shared" si="8"/>
        <v>0</v>
      </c>
      <c r="H69" s="804">
        <f t="shared" si="8"/>
        <v>0</v>
      </c>
      <c r="I69" s="804">
        <f t="shared" si="8"/>
        <v>0</v>
      </c>
      <c r="J69" s="804">
        <f t="shared" si="8"/>
        <v>0</v>
      </c>
      <c r="K69" s="804">
        <f t="shared" si="8"/>
        <v>4011.4285714285716</v>
      </c>
      <c r="L69" s="804">
        <f t="shared" si="8"/>
        <v>0</v>
      </c>
      <c r="M69" s="930">
        <f t="shared" si="8"/>
        <v>0</v>
      </c>
      <c r="N69" s="805">
        <v>0</v>
      </c>
      <c r="O69" s="805">
        <f>SUM(O67:O68)</f>
        <v>10.211437447158671</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61.443211068211077</v>
      </c>
      <c r="C78" s="817">
        <f>B78*IFERROR(SUM(I78:L78)/SUM(D78:M78),0)</f>
        <v>0</v>
      </c>
      <c r="D78" s="832">
        <f>'lokale energieproductie'!C16</f>
        <v>72.219886741068819</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14.588417121695903</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61.443211068211077</v>
      </c>
      <c r="C81" s="803">
        <f>SUM(C78:C80)</f>
        <v>0</v>
      </c>
      <c r="D81" s="803">
        <f t="shared" ref="D81:P81" si="9">SUM(D78:D80)</f>
        <v>72.219886741068819</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14.588417121695903</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141902.17118525712</v>
      </c>
      <c r="C4" s="478">
        <f>huishoudens!C8</f>
        <v>0</v>
      </c>
      <c r="D4" s="478">
        <f>huishoudens!D8</f>
        <v>410760.40541802999</v>
      </c>
      <c r="E4" s="478">
        <f>huishoudens!E8</f>
        <v>16140.018223016936</v>
      </c>
      <c r="F4" s="478">
        <f>huishoudens!F8</f>
        <v>125379.56103341833</v>
      </c>
      <c r="G4" s="478">
        <f>huishoudens!G8</f>
        <v>0</v>
      </c>
      <c r="H4" s="478">
        <f>huishoudens!H8</f>
        <v>0</v>
      </c>
      <c r="I4" s="478">
        <f>huishoudens!I8</f>
        <v>0</v>
      </c>
      <c r="J4" s="478">
        <f>huishoudens!J8</f>
        <v>0</v>
      </c>
      <c r="K4" s="478">
        <f>huishoudens!K8</f>
        <v>0</v>
      </c>
      <c r="L4" s="478">
        <f>huishoudens!L8</f>
        <v>0</v>
      </c>
      <c r="M4" s="478">
        <f>huishoudens!M8</f>
        <v>0</v>
      </c>
      <c r="N4" s="478">
        <f>huishoudens!N8</f>
        <v>23306.909286880949</v>
      </c>
      <c r="O4" s="478">
        <f>huishoudens!O8</f>
        <v>1124.0366666666669</v>
      </c>
      <c r="P4" s="479">
        <f>huishoudens!P8</f>
        <v>2936.2666666666664</v>
      </c>
      <c r="Q4" s="480">
        <f>SUM(B4:P4)</f>
        <v>721549.36847993673</v>
      </c>
    </row>
    <row r="5" spans="1:17">
      <c r="A5" s="477" t="s">
        <v>156</v>
      </c>
      <c r="B5" s="478">
        <f ca="1">tertiair!B16</f>
        <v>474680.89879912569</v>
      </c>
      <c r="C5" s="478">
        <f ca="1">tertiair!C16</f>
        <v>61.443211068211077</v>
      </c>
      <c r="D5" s="478">
        <f ca="1">tertiair!D16</f>
        <v>526502.40398381476</v>
      </c>
      <c r="E5" s="478">
        <f>tertiair!E16</f>
        <v>5666.0331408111888</v>
      </c>
      <c r="F5" s="478">
        <f ca="1">tertiair!F16</f>
        <v>70396.663726422878</v>
      </c>
      <c r="G5" s="478">
        <f>tertiair!G16</f>
        <v>0</v>
      </c>
      <c r="H5" s="478">
        <f>tertiair!H16</f>
        <v>0</v>
      </c>
      <c r="I5" s="478">
        <f>tertiair!I16</f>
        <v>0</v>
      </c>
      <c r="J5" s="478">
        <f>tertiair!J16</f>
        <v>0.61959944618678664</v>
      </c>
      <c r="K5" s="478">
        <f>tertiair!K16</f>
        <v>0</v>
      </c>
      <c r="L5" s="478">
        <f ca="1">tertiair!L16</f>
        <v>0</v>
      </c>
      <c r="M5" s="478">
        <f>tertiair!M16</f>
        <v>0</v>
      </c>
      <c r="N5" s="478">
        <f ca="1">tertiair!N16</f>
        <v>20670.306044177258</v>
      </c>
      <c r="O5" s="478">
        <f>tertiair!O16</f>
        <v>12.506666666666668</v>
      </c>
      <c r="P5" s="479">
        <f>tertiair!P16</f>
        <v>419.4666666666667</v>
      </c>
      <c r="Q5" s="477">
        <f t="shared" ref="Q5:Q13" ca="1" si="0">SUM(B5:P5)</f>
        <v>1098410.3418381992</v>
      </c>
    </row>
    <row r="6" spans="1:17">
      <c r="A6" s="477" t="s">
        <v>194</v>
      </c>
      <c r="B6" s="478">
        <f>'openbare verlichting'!B8</f>
        <v>5448.2659999999996</v>
      </c>
      <c r="C6" s="478"/>
      <c r="D6" s="478"/>
      <c r="E6" s="478"/>
      <c r="F6" s="478"/>
      <c r="G6" s="478"/>
      <c r="H6" s="478"/>
      <c r="I6" s="478"/>
      <c r="J6" s="478"/>
      <c r="K6" s="478"/>
      <c r="L6" s="478"/>
      <c r="M6" s="478"/>
      <c r="N6" s="478"/>
      <c r="O6" s="478"/>
      <c r="P6" s="479"/>
      <c r="Q6" s="477">
        <f t="shared" si="0"/>
        <v>5448.2659999999996</v>
      </c>
    </row>
    <row r="7" spans="1:17">
      <c r="A7" s="477" t="s">
        <v>112</v>
      </c>
      <c r="B7" s="478">
        <f>landbouw!B8</f>
        <v>1496.1157851918531</v>
      </c>
      <c r="C7" s="478">
        <f>landbouw!C8</f>
        <v>0</v>
      </c>
      <c r="D7" s="478">
        <f>landbouw!D8</f>
        <v>36309.277174856943</v>
      </c>
      <c r="E7" s="478">
        <f>landbouw!E8</f>
        <v>43.975412591834129</v>
      </c>
      <c r="F7" s="478">
        <f>landbouw!F8</f>
        <v>6232.7375152556388</v>
      </c>
      <c r="G7" s="478">
        <f>landbouw!G8</f>
        <v>0</v>
      </c>
      <c r="H7" s="478">
        <f>landbouw!H8</f>
        <v>0</v>
      </c>
      <c r="I7" s="478">
        <f>landbouw!I8</f>
        <v>0</v>
      </c>
      <c r="J7" s="478">
        <f>landbouw!J8</f>
        <v>216.75504782003031</v>
      </c>
      <c r="K7" s="478">
        <f>landbouw!K8</f>
        <v>0</v>
      </c>
      <c r="L7" s="478">
        <f>landbouw!L8</f>
        <v>0</v>
      </c>
      <c r="M7" s="478">
        <f>landbouw!M8</f>
        <v>0</v>
      </c>
      <c r="N7" s="478">
        <f>landbouw!N8</f>
        <v>0</v>
      </c>
      <c r="O7" s="478">
        <f>landbouw!O8</f>
        <v>0</v>
      </c>
      <c r="P7" s="479">
        <f>landbouw!P8</f>
        <v>0</v>
      </c>
      <c r="Q7" s="477">
        <f t="shared" si="0"/>
        <v>44298.8609357163</v>
      </c>
    </row>
    <row r="8" spans="1:17">
      <c r="A8" s="477" t="s">
        <v>635</v>
      </c>
      <c r="B8" s="478">
        <f>industrie!B18</f>
        <v>108334.46255445947</v>
      </c>
      <c r="C8" s="478">
        <f>industrie!C18</f>
        <v>0</v>
      </c>
      <c r="D8" s="478">
        <f>industrie!D18</f>
        <v>106760.50564495186</v>
      </c>
      <c r="E8" s="478">
        <f>industrie!E18</f>
        <v>10585.51486105708</v>
      </c>
      <c r="F8" s="478">
        <f>industrie!F18</f>
        <v>33209.014326830184</v>
      </c>
      <c r="G8" s="478">
        <f>industrie!G18</f>
        <v>0</v>
      </c>
      <c r="H8" s="478">
        <f>industrie!H18</f>
        <v>0</v>
      </c>
      <c r="I8" s="478">
        <f>industrie!I18</f>
        <v>0</v>
      </c>
      <c r="J8" s="478">
        <f>industrie!J18</f>
        <v>170.72398070395874</v>
      </c>
      <c r="K8" s="478">
        <f>industrie!K18</f>
        <v>0</v>
      </c>
      <c r="L8" s="478">
        <f>industrie!L18</f>
        <v>0</v>
      </c>
      <c r="M8" s="478">
        <f>industrie!M18</f>
        <v>0</v>
      </c>
      <c r="N8" s="478">
        <f>industrie!N18</f>
        <v>27009.758485083628</v>
      </c>
      <c r="O8" s="478">
        <f>industrie!O18</f>
        <v>0</v>
      </c>
      <c r="P8" s="479">
        <f>industrie!P18</f>
        <v>0</v>
      </c>
      <c r="Q8" s="477">
        <f t="shared" si="0"/>
        <v>286069.97985308623</v>
      </c>
    </row>
    <row r="9" spans="1:17" s="483" customFormat="1">
      <c r="A9" s="481" t="s">
        <v>561</v>
      </c>
      <c r="B9" s="482">
        <f>transport!B14</f>
        <v>267.07486886734449</v>
      </c>
      <c r="C9" s="482"/>
      <c r="D9" s="482">
        <f>transport!D14</f>
        <v>926.84339372119882</v>
      </c>
      <c r="E9" s="482">
        <f>transport!E14</f>
        <v>1400.8009065942524</v>
      </c>
      <c r="F9" s="482"/>
      <c r="G9" s="482">
        <f>transport!G14</f>
        <v>443340.35751590418</v>
      </c>
      <c r="H9" s="482">
        <f>transport!H14</f>
        <v>106911.21267525939</v>
      </c>
      <c r="I9" s="482"/>
      <c r="J9" s="482"/>
      <c r="K9" s="482"/>
      <c r="L9" s="482"/>
      <c r="M9" s="482">
        <f>transport!M14</f>
        <v>29075.406517314146</v>
      </c>
      <c r="N9" s="482"/>
      <c r="O9" s="482"/>
      <c r="P9" s="482"/>
      <c r="Q9" s="481">
        <f>SUM(B9:P9)</f>
        <v>581921.69587766053</v>
      </c>
    </row>
    <row r="10" spans="1:17">
      <c r="A10" s="477" t="s">
        <v>551</v>
      </c>
      <c r="B10" s="478">
        <f>transport!B54</f>
        <v>0</v>
      </c>
      <c r="C10" s="478"/>
      <c r="D10" s="478">
        <f>transport!D54</f>
        <v>0</v>
      </c>
      <c r="E10" s="478"/>
      <c r="F10" s="478"/>
      <c r="G10" s="478">
        <f>transport!G54</f>
        <v>23239.919410634277</v>
      </c>
      <c r="H10" s="478"/>
      <c r="I10" s="478"/>
      <c r="J10" s="478"/>
      <c r="K10" s="478"/>
      <c r="L10" s="478"/>
      <c r="M10" s="478">
        <f>transport!M54</f>
        <v>1319.9248281246173</v>
      </c>
      <c r="N10" s="478"/>
      <c r="O10" s="478"/>
      <c r="P10" s="479"/>
      <c r="Q10" s="477">
        <f t="shared" si="0"/>
        <v>24559.844238758895</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732128.98919290141</v>
      </c>
      <c r="C14" s="488">
        <f t="shared" ref="C14:Q14" ca="1" si="1">SUM(C4:C13)</f>
        <v>61.443211068211077</v>
      </c>
      <c r="D14" s="488">
        <f t="shared" ca="1" si="1"/>
        <v>1081259.4356153747</v>
      </c>
      <c r="E14" s="488">
        <f t="shared" si="1"/>
        <v>33836.342544071289</v>
      </c>
      <c r="F14" s="488">
        <f t="shared" ca="1" si="1"/>
        <v>235217.97660192705</v>
      </c>
      <c r="G14" s="488">
        <f t="shared" si="1"/>
        <v>466580.27692653844</v>
      </c>
      <c r="H14" s="488">
        <f t="shared" si="1"/>
        <v>106911.21267525939</v>
      </c>
      <c r="I14" s="488">
        <f t="shared" si="1"/>
        <v>0</v>
      </c>
      <c r="J14" s="488">
        <f t="shared" si="1"/>
        <v>388.09862797017581</v>
      </c>
      <c r="K14" s="488">
        <f t="shared" si="1"/>
        <v>0</v>
      </c>
      <c r="L14" s="488">
        <f t="shared" ca="1" si="1"/>
        <v>0</v>
      </c>
      <c r="M14" s="488">
        <f t="shared" si="1"/>
        <v>30395.331345438764</v>
      </c>
      <c r="N14" s="488">
        <f t="shared" ca="1" si="1"/>
        <v>70986.973816141835</v>
      </c>
      <c r="O14" s="488">
        <f t="shared" si="1"/>
        <v>1136.5433333333335</v>
      </c>
      <c r="P14" s="489">
        <f t="shared" si="1"/>
        <v>3355.7333333333331</v>
      </c>
      <c r="Q14" s="489">
        <f t="shared" ca="1" si="1"/>
        <v>2762258.357223358</v>
      </c>
    </row>
    <row r="16" spans="1:17">
      <c r="A16" s="491" t="s">
        <v>556</v>
      </c>
      <c r="B16" s="841">
        <f ca="1">huishoudens!B10</f>
        <v>0.2167298666418877</v>
      </c>
      <c r="C16" s="841">
        <f ca="1">huishoudens!C10</f>
        <v>0.23742927604321648</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30754.438637175095</v>
      </c>
      <c r="C21" s="478">
        <f t="shared" ref="C21:C28" ca="1" si="3">C4*$C$16</f>
        <v>0</v>
      </c>
      <c r="D21" s="478">
        <f t="shared" ref="D21:D30" si="4">D4*$D$16</f>
        <v>82973.601894442065</v>
      </c>
      <c r="E21" s="478">
        <f t="shared" ref="E21:E30" si="5">E4*$E$16</f>
        <v>3663.7841366248445</v>
      </c>
      <c r="F21" s="478">
        <f t="shared" ref="F21:F28" si="6">F4*$F$16</f>
        <v>33476.342795922697</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150868.1674641647</v>
      </c>
    </row>
    <row r="22" spans="1:17">
      <c r="A22" s="477" t="s">
        <v>156</v>
      </c>
      <c r="B22" s="478">
        <f t="shared" ca="1" si="2"/>
        <v>102877.5278941859</v>
      </c>
      <c r="C22" s="478">
        <f t="shared" ca="1" si="3"/>
        <v>14.588417121695903</v>
      </c>
      <c r="D22" s="478">
        <f t="shared" ca="1" si="4"/>
        <v>106353.48560473059</v>
      </c>
      <c r="E22" s="478">
        <f t="shared" si="5"/>
        <v>1286.18952296414</v>
      </c>
      <c r="F22" s="478">
        <f t="shared" ca="1" si="6"/>
        <v>18795.909214954911</v>
      </c>
      <c r="G22" s="478">
        <f t="shared" si="7"/>
        <v>0</v>
      </c>
      <c r="H22" s="478">
        <f t="shared" si="8"/>
        <v>0</v>
      </c>
      <c r="I22" s="478">
        <f t="shared" si="9"/>
        <v>0</v>
      </c>
      <c r="J22" s="478">
        <f t="shared" si="10"/>
        <v>0.21933820395012246</v>
      </c>
      <c r="K22" s="478">
        <f t="shared" si="11"/>
        <v>0</v>
      </c>
      <c r="L22" s="478">
        <f t="shared" ca="1" si="12"/>
        <v>0</v>
      </c>
      <c r="M22" s="478">
        <f t="shared" si="13"/>
        <v>0</v>
      </c>
      <c r="N22" s="478">
        <f t="shared" ca="1" si="14"/>
        <v>0</v>
      </c>
      <c r="O22" s="478">
        <f t="shared" si="15"/>
        <v>0</v>
      </c>
      <c r="P22" s="479">
        <f t="shared" si="16"/>
        <v>0</v>
      </c>
      <c r="Q22" s="477">
        <f t="shared" ref="Q22:Q30" ca="1" si="17">SUM(B22:P22)</f>
        <v>229327.91999216122</v>
      </c>
    </row>
    <row r="23" spans="1:17">
      <c r="A23" s="477" t="s">
        <v>194</v>
      </c>
      <c r="B23" s="478">
        <f t="shared" ca="1" si="2"/>
        <v>1180.801963609531</v>
      </c>
      <c r="C23" s="478"/>
      <c r="D23" s="478"/>
      <c r="E23" s="478"/>
      <c r="F23" s="478"/>
      <c r="G23" s="478"/>
      <c r="H23" s="478"/>
      <c r="I23" s="478"/>
      <c r="J23" s="478"/>
      <c r="K23" s="478"/>
      <c r="L23" s="478"/>
      <c r="M23" s="478"/>
      <c r="N23" s="478"/>
      <c r="O23" s="478"/>
      <c r="P23" s="479"/>
      <c r="Q23" s="477">
        <f t="shared" ca="1" si="17"/>
        <v>1180.801963609531</v>
      </c>
    </row>
    <row r="24" spans="1:17">
      <c r="A24" s="477" t="s">
        <v>112</v>
      </c>
      <c r="B24" s="478">
        <f t="shared" ca="1" si="2"/>
        <v>324.2529746054534</v>
      </c>
      <c r="C24" s="478">
        <f t="shared" ca="1" si="3"/>
        <v>0</v>
      </c>
      <c r="D24" s="478">
        <f t="shared" si="4"/>
        <v>7334.4739893211026</v>
      </c>
      <c r="E24" s="478">
        <f t="shared" si="5"/>
        <v>9.9824186583463472</v>
      </c>
      <c r="F24" s="478">
        <f t="shared" si="6"/>
        <v>1664.1409165732557</v>
      </c>
      <c r="G24" s="478">
        <f t="shared" si="7"/>
        <v>0</v>
      </c>
      <c r="H24" s="478">
        <f t="shared" si="8"/>
        <v>0</v>
      </c>
      <c r="I24" s="478">
        <f t="shared" si="9"/>
        <v>0</v>
      </c>
      <c r="J24" s="478">
        <f t="shared" si="10"/>
        <v>76.731286928290729</v>
      </c>
      <c r="K24" s="478">
        <f t="shared" si="11"/>
        <v>0</v>
      </c>
      <c r="L24" s="478">
        <f t="shared" si="12"/>
        <v>0</v>
      </c>
      <c r="M24" s="478">
        <f t="shared" si="13"/>
        <v>0</v>
      </c>
      <c r="N24" s="478">
        <f t="shared" si="14"/>
        <v>0</v>
      </c>
      <c r="O24" s="478">
        <f t="shared" si="15"/>
        <v>0</v>
      </c>
      <c r="P24" s="479">
        <f t="shared" si="16"/>
        <v>0</v>
      </c>
      <c r="Q24" s="477">
        <f t="shared" ca="1" si="17"/>
        <v>9409.5815860864495</v>
      </c>
    </row>
    <row r="25" spans="1:17">
      <c r="A25" s="477" t="s">
        <v>635</v>
      </c>
      <c r="B25" s="478">
        <f t="shared" ca="1" si="2"/>
        <v>23479.31362214858</v>
      </c>
      <c r="C25" s="478">
        <f t="shared" ca="1" si="3"/>
        <v>0</v>
      </c>
      <c r="D25" s="478">
        <f t="shared" si="4"/>
        <v>21565.622140280277</v>
      </c>
      <c r="E25" s="478">
        <f t="shared" si="5"/>
        <v>2402.911873459957</v>
      </c>
      <c r="F25" s="478">
        <f t="shared" si="6"/>
        <v>8866.8068252636604</v>
      </c>
      <c r="G25" s="478">
        <f t="shared" si="7"/>
        <v>0</v>
      </c>
      <c r="H25" s="478">
        <f t="shared" si="8"/>
        <v>0</v>
      </c>
      <c r="I25" s="478">
        <f t="shared" si="9"/>
        <v>0</v>
      </c>
      <c r="J25" s="478">
        <f t="shared" si="10"/>
        <v>60.436289169201395</v>
      </c>
      <c r="K25" s="478">
        <f t="shared" si="11"/>
        <v>0</v>
      </c>
      <c r="L25" s="478">
        <f t="shared" si="12"/>
        <v>0</v>
      </c>
      <c r="M25" s="478">
        <f t="shared" si="13"/>
        <v>0</v>
      </c>
      <c r="N25" s="478">
        <f t="shared" si="14"/>
        <v>0</v>
      </c>
      <c r="O25" s="478">
        <f t="shared" si="15"/>
        <v>0</v>
      </c>
      <c r="P25" s="479">
        <f t="shared" si="16"/>
        <v>0</v>
      </c>
      <c r="Q25" s="477">
        <f t="shared" ca="1" si="17"/>
        <v>56375.090750321666</v>
      </c>
    </row>
    <row r="26" spans="1:17" s="483" customFormat="1">
      <c r="A26" s="481" t="s">
        <v>561</v>
      </c>
      <c r="B26" s="835">
        <f t="shared" ca="1" si="2"/>
        <v>57.883100713019218</v>
      </c>
      <c r="C26" s="482"/>
      <c r="D26" s="482">
        <f t="shared" si="4"/>
        <v>187.22236553168219</v>
      </c>
      <c r="E26" s="482">
        <f t="shared" si="5"/>
        <v>317.98180579689529</v>
      </c>
      <c r="F26" s="482"/>
      <c r="G26" s="482">
        <f t="shared" si="7"/>
        <v>118371.87545674642</v>
      </c>
      <c r="H26" s="482">
        <f t="shared" si="8"/>
        <v>26620.891956139589</v>
      </c>
      <c r="I26" s="482"/>
      <c r="J26" s="482"/>
      <c r="K26" s="482"/>
      <c r="L26" s="482"/>
      <c r="M26" s="482">
        <f t="shared" si="13"/>
        <v>0</v>
      </c>
      <c r="N26" s="482"/>
      <c r="O26" s="482"/>
      <c r="P26" s="493"/>
      <c r="Q26" s="481">
        <f t="shared" ca="1" si="17"/>
        <v>145555.85468492762</v>
      </c>
    </row>
    <row r="27" spans="1:17">
      <c r="A27" s="477" t="s">
        <v>551</v>
      </c>
      <c r="B27" s="478">
        <f t="shared" ca="1" si="2"/>
        <v>0</v>
      </c>
      <c r="C27" s="478"/>
      <c r="D27" s="482">
        <f t="shared" si="4"/>
        <v>0</v>
      </c>
      <c r="E27" s="478"/>
      <c r="F27" s="478"/>
      <c r="G27" s="478">
        <f t="shared" si="7"/>
        <v>6205.0584826393524</v>
      </c>
      <c r="H27" s="478"/>
      <c r="I27" s="478"/>
      <c r="J27" s="478"/>
      <c r="K27" s="478"/>
      <c r="L27" s="478"/>
      <c r="M27" s="478">
        <f t="shared" si="13"/>
        <v>0</v>
      </c>
      <c r="N27" s="478"/>
      <c r="O27" s="478"/>
      <c r="P27" s="479"/>
      <c r="Q27" s="477">
        <f t="shared" ca="1" si="17"/>
        <v>6205.0584826393524</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158674.21819243758</v>
      </c>
      <c r="C31" s="488">
        <f t="shared" ca="1" si="18"/>
        <v>14.588417121695903</v>
      </c>
      <c r="D31" s="488">
        <f t="shared" ca="1" si="18"/>
        <v>218414.40599430571</v>
      </c>
      <c r="E31" s="488">
        <f t="shared" si="18"/>
        <v>7680.8497575041829</v>
      </c>
      <c r="F31" s="488">
        <f t="shared" ca="1" si="18"/>
        <v>62803.199752714521</v>
      </c>
      <c r="G31" s="488">
        <f t="shared" si="18"/>
        <v>124576.93393938577</v>
      </c>
      <c r="H31" s="488">
        <f t="shared" si="18"/>
        <v>26620.891956139589</v>
      </c>
      <c r="I31" s="488">
        <f t="shared" si="18"/>
        <v>0</v>
      </c>
      <c r="J31" s="488">
        <f t="shared" si="18"/>
        <v>137.38691430144223</v>
      </c>
      <c r="K31" s="488">
        <f t="shared" si="18"/>
        <v>0</v>
      </c>
      <c r="L31" s="488">
        <f t="shared" ca="1" si="18"/>
        <v>0</v>
      </c>
      <c r="M31" s="488">
        <f t="shared" si="18"/>
        <v>0</v>
      </c>
      <c r="N31" s="488">
        <f t="shared" ca="1" si="18"/>
        <v>0</v>
      </c>
      <c r="O31" s="488">
        <f t="shared" si="18"/>
        <v>0</v>
      </c>
      <c r="P31" s="489">
        <f t="shared" si="18"/>
        <v>0</v>
      </c>
      <c r="Q31" s="489">
        <f t="shared" ca="1" si="18"/>
        <v>598922.47492391046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0.2167298666418877</v>
      </c>
      <c r="C17" s="528">
        <f ca="1">'EF ele_warmte'!B22</f>
        <v>0.23742927604321648</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2</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3.1266666666666669</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0.2167298666418877</v>
      </c>
      <c r="C17" s="528">
        <f ca="1">'EF ele_warmte'!B22</f>
        <v>0.23742927604321648</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0.2167298666418877</v>
      </c>
      <c r="C29" s="529">
        <f ca="1">'EF ele_warmte'!B22</f>
        <v>0.23742927604321648</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2019-01-01T21:18:52Z</dcterms:modified>
</cp:coreProperties>
</file>